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/>
  <mc:AlternateContent xmlns:mc="http://schemas.openxmlformats.org/markup-compatibility/2006">
    <mc:Choice Requires="x15">
      <x15ac:absPath xmlns:x15ac="http://schemas.microsoft.com/office/spreadsheetml/2010/11/ac" url="T:\Aanbestedingen\Hans\2023-4099 Ollandseweg\4 nota van inlichtingen\"/>
    </mc:Choice>
  </mc:AlternateContent>
  <xr:revisionPtr revIDLastSave="0" documentId="13_ncr:1_{3B8CBBC2-8BE8-4F9F-A798-FF08EAA49E0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EMVI-vragenlijst" sheetId="1" r:id="rId1"/>
    <sheet name="Voertuigen en materieel" sheetId="3" r:id="rId2"/>
    <sheet name="Invulwaarden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3" l="1"/>
  <c r="J18" i="3" s="1"/>
  <c r="D9" i="3"/>
  <c r="I18" i="3"/>
  <c r="G18" i="3"/>
  <c r="F18" i="3"/>
  <c r="E18" i="3"/>
  <c r="D18" i="3"/>
  <c r="C18" i="3"/>
  <c r="Q16" i="3"/>
  <c r="P16" i="3"/>
  <c r="O16" i="3"/>
  <c r="N16" i="3"/>
  <c r="M16" i="3"/>
  <c r="G16" i="3"/>
  <c r="G19" i="3" s="1"/>
  <c r="F16" i="3"/>
  <c r="F19" i="3" s="1"/>
  <c r="E16" i="3"/>
  <c r="E19" i="3" s="1"/>
  <c r="C16" i="3"/>
  <c r="C19" i="3" s="1"/>
  <c r="D16" i="3"/>
  <c r="D19" i="3" s="1"/>
  <c r="S16" i="3" l="1"/>
  <c r="I16" i="3"/>
  <c r="I19" i="3" s="1"/>
  <c r="J19" i="3" s="1"/>
  <c r="O79" i="1"/>
  <c r="N9" i="3" s="1"/>
  <c r="O104" i="1"/>
  <c r="O64" i="1"/>
  <c r="O76" i="1"/>
  <c r="N8" i="3" s="1"/>
  <c r="O74" i="1"/>
  <c r="O72" i="1"/>
  <c r="U72" i="1" s="1"/>
  <c r="Q6" i="2"/>
  <c r="Q4" i="2"/>
  <c r="Q8" i="2" s="1"/>
  <c r="AF51" i="1"/>
  <c r="AD51" i="1"/>
  <c r="AE51" i="1"/>
  <c r="AO76" i="1" l="1"/>
  <c r="R82" i="1"/>
  <c r="AB74" i="1"/>
  <c r="AL76" i="1"/>
  <c r="AM76" i="1"/>
  <c r="U76" i="1"/>
  <c r="AN76" i="1"/>
  <c r="AK76" i="1"/>
  <c r="X72" i="1"/>
  <c r="P88" i="1"/>
  <c r="O27" i="1"/>
  <c r="AB23" i="1"/>
  <c r="AC23" i="1" s="1"/>
  <c r="AD23" i="1" s="1"/>
  <c r="AE23" i="1" s="1"/>
  <c r="AF23" i="1" s="1"/>
  <c r="AG23" i="1" s="1"/>
  <c r="AH23" i="1" s="1"/>
  <c r="AI23" i="1" s="1"/>
  <c r="AJ23" i="1" s="1"/>
  <c r="N6" i="2"/>
  <c r="N5" i="2"/>
  <c r="N4" i="2"/>
  <c r="N8" i="2" s="1"/>
  <c r="AJ50" i="1"/>
  <c r="AF50" i="1"/>
  <c r="O24" i="1"/>
  <c r="O21" i="1"/>
  <c r="U21" i="1" s="1"/>
  <c r="AB20" i="1"/>
  <c r="AC20" i="1" s="1"/>
  <c r="AD20" i="1" s="1"/>
  <c r="AE20" i="1" s="1"/>
  <c r="AF20" i="1" s="1"/>
  <c r="AG20" i="1" s="1"/>
  <c r="AH20" i="1" s="1"/>
  <c r="AI20" i="1" s="1"/>
  <c r="AJ20" i="1" s="1"/>
  <c r="O49" i="1"/>
  <c r="J6" i="2"/>
  <c r="J5" i="2"/>
  <c r="J4" i="2"/>
  <c r="J8" i="2" s="1"/>
  <c r="AB79" i="1" l="1"/>
  <c r="L84" i="1" s="1"/>
  <c r="U79" i="1"/>
  <c r="X79" i="1" s="1"/>
  <c r="X76" i="1"/>
  <c r="AP76" i="1"/>
  <c r="R76" i="1" s="1"/>
  <c r="U27" i="1"/>
  <c r="X27" i="1" s="1"/>
  <c r="AC27" i="1"/>
  <c r="N9" i="2"/>
  <c r="N10" i="2" s="1"/>
  <c r="N11" i="2" s="1"/>
  <c r="N12" i="2" s="1"/>
  <c r="N13" i="2" s="1"/>
  <c r="J9" i="2"/>
  <c r="J10" i="2" s="1"/>
  <c r="J11" i="2" s="1"/>
  <c r="J12" i="2" s="1"/>
  <c r="J13" i="2" s="1"/>
  <c r="J14" i="2" s="1"/>
  <c r="J15" i="2" s="1"/>
  <c r="J16" i="2" s="1"/>
  <c r="J17" i="2" s="1"/>
  <c r="J18" i="2" s="1"/>
  <c r="J19" i="2" s="1"/>
  <c r="J20" i="2" s="1"/>
  <c r="J21" i="2" s="1"/>
  <c r="AD48" i="1" s="1"/>
  <c r="AP50" i="1"/>
  <c r="AL50" i="1"/>
  <c r="AH50" i="1"/>
  <c r="AM50" i="1"/>
  <c r="AI50" i="1"/>
  <c r="AE50" i="1"/>
  <c r="AO50" i="1"/>
  <c r="AK50" i="1"/>
  <c r="AG50" i="1"/>
  <c r="AN50" i="1"/>
  <c r="AE27" i="1"/>
  <c r="AD27" i="1"/>
  <c r="AF27" i="1"/>
  <c r="AB27" i="1"/>
  <c r="AG27" i="1"/>
  <c r="X21" i="1"/>
  <c r="U24" i="1"/>
  <c r="X24" i="1" s="1"/>
  <c r="Q88" i="1" l="1"/>
  <c r="Q89" i="1" s="1"/>
  <c r="V76" i="1"/>
  <c r="W76" i="1" s="1"/>
  <c r="P79" i="1"/>
  <c r="R79" i="1" s="1"/>
  <c r="U82" i="1"/>
  <c r="V82" i="1" s="1"/>
  <c r="W82" i="1" s="1"/>
  <c r="AE48" i="1"/>
  <c r="AE49" i="1" s="1"/>
  <c r="AD52" i="1"/>
  <c r="AL27" i="1"/>
  <c r="AD49" i="1"/>
  <c r="Q91" i="1" l="1"/>
  <c r="Q90" i="1"/>
  <c r="V79" i="1"/>
  <c r="W79" i="1" s="1"/>
  <c r="AF48" i="1"/>
  <c r="AF49" i="1" s="1"/>
  <c r="AE52" i="1"/>
  <c r="Q5" i="2" l="1"/>
  <c r="Q9" i="2" s="1"/>
  <c r="Q10" i="2" s="1"/>
  <c r="Q11" i="2" s="1"/>
  <c r="Q12" i="2" s="1"/>
  <c r="Q13" i="2" s="1"/>
  <c r="Q14" i="2" s="1"/>
  <c r="Q15" i="2" s="1"/>
  <c r="Q16" i="2" s="1"/>
  <c r="Q17" i="2" s="1"/>
  <c r="Q18" i="2" s="1"/>
  <c r="Q19" i="2" s="1"/>
  <c r="Q20" i="2" s="1"/>
  <c r="Q21" i="2" s="1"/>
  <c r="Q22" i="2" s="1"/>
  <c r="Q23" i="2" s="1"/>
  <c r="Q24" i="2" s="1"/>
  <c r="Q25" i="2" s="1"/>
  <c r="Q26" i="2" s="1"/>
  <c r="Q27" i="2" s="1"/>
  <c r="Q28" i="2" s="1"/>
  <c r="O84" i="1"/>
  <c r="AG48" i="1"/>
  <c r="AG49" i="1" s="1"/>
  <c r="AF52" i="1"/>
  <c r="O42" i="1"/>
  <c r="U42" i="1" s="1"/>
  <c r="AB34" i="1"/>
  <c r="AB24" i="1" s="1"/>
  <c r="L8" i="2"/>
  <c r="O38" i="1"/>
  <c r="O35" i="1"/>
  <c r="U35" i="1" s="1"/>
  <c r="O88" i="1" l="1"/>
  <c r="U88" i="1" s="1"/>
  <c r="U89" i="1" s="1"/>
  <c r="U90" i="1" s="1"/>
  <c r="U91" i="1" s="1"/>
  <c r="U100" i="1" s="1"/>
  <c r="J88" i="1"/>
  <c r="AH48" i="1"/>
  <c r="AH49" i="1" s="1"/>
  <c r="AG52" i="1"/>
  <c r="AC34" i="1"/>
  <c r="AC24" i="1" s="1"/>
  <c r="AB21" i="1"/>
  <c r="L9" i="2"/>
  <c r="L10" i="2" s="1"/>
  <c r="L11" i="2" s="1"/>
  <c r="L12" i="2" s="1"/>
  <c r="L13" i="2" s="1"/>
  <c r="L14" i="2" s="1"/>
  <c r="L15" i="2" s="1"/>
  <c r="L16" i="2" s="1"/>
  <c r="L17" i="2" s="1"/>
  <c r="L18" i="2" s="1"/>
  <c r="L19" i="2" s="1"/>
  <c r="L20" i="2" s="1"/>
  <c r="X42" i="1"/>
  <c r="AB35" i="1"/>
  <c r="AB38" i="1"/>
  <c r="X35" i="1"/>
  <c r="U49" i="1"/>
  <c r="U38" i="1"/>
  <c r="R88" i="1" l="1"/>
  <c r="O95" i="1"/>
  <c r="O89" i="1"/>
  <c r="J89" i="1"/>
  <c r="AC35" i="1"/>
  <c r="AI48" i="1"/>
  <c r="AI49" i="1" s="1"/>
  <c r="AH52" i="1"/>
  <c r="AC38" i="1"/>
  <c r="AD34" i="1"/>
  <c r="AD24" i="1" s="1"/>
  <c r="AC21" i="1"/>
  <c r="X38" i="1"/>
  <c r="D2" i="3"/>
  <c r="B2" i="3"/>
  <c r="R89" i="1" l="1"/>
  <c r="O96" i="1"/>
  <c r="O90" i="1"/>
  <c r="J90" i="1"/>
  <c r="V88" i="1"/>
  <c r="AJ48" i="1"/>
  <c r="AJ49" i="1" s="1"/>
  <c r="AI52" i="1"/>
  <c r="AE34" i="1"/>
  <c r="AE24" i="1" s="1"/>
  <c r="AD21" i="1"/>
  <c r="AD35" i="1"/>
  <c r="AD38" i="1"/>
  <c r="O57" i="1"/>
  <c r="O59" i="1"/>
  <c r="O61" i="1"/>
  <c r="W88" i="1" l="1"/>
  <c r="R90" i="1"/>
  <c r="O97" i="1"/>
  <c r="O91" i="1"/>
  <c r="O98" i="1" s="1"/>
  <c r="J91" i="1"/>
  <c r="AL61" i="1"/>
  <c r="AK48" i="1"/>
  <c r="AJ52" i="1"/>
  <c r="AF34" i="1"/>
  <c r="AF24" i="1" s="1"/>
  <c r="AE21" i="1"/>
  <c r="AE38" i="1"/>
  <c r="AE35" i="1"/>
  <c r="AK61" i="1"/>
  <c r="AO61" i="1"/>
  <c r="AM61" i="1"/>
  <c r="AN61" i="1"/>
  <c r="R91" i="1" l="1"/>
  <c r="AL48" i="1"/>
  <c r="AL49" i="1" s="1"/>
  <c r="AK52" i="1"/>
  <c r="AK49" i="1"/>
  <c r="AG34" i="1"/>
  <c r="AG24" i="1" s="1"/>
  <c r="AF21" i="1"/>
  <c r="AF35" i="1"/>
  <c r="AF38" i="1"/>
  <c r="R72" i="1"/>
  <c r="V72" i="1" s="1"/>
  <c r="W72" i="1" s="1"/>
  <c r="R57" i="1"/>
  <c r="AM48" i="1" l="1"/>
  <c r="AM49" i="1" s="1"/>
  <c r="AL52" i="1"/>
  <c r="AH34" i="1"/>
  <c r="AH24" i="1" s="1"/>
  <c r="AG21" i="1"/>
  <c r="AG35" i="1"/>
  <c r="AG38" i="1"/>
  <c r="Q15" i="3"/>
  <c r="P15" i="3"/>
  <c r="O15" i="3"/>
  <c r="N15" i="3"/>
  <c r="M15" i="3"/>
  <c r="M19" i="3" s="1"/>
  <c r="G15" i="3"/>
  <c r="F15" i="3"/>
  <c r="E15" i="3"/>
  <c r="D15" i="3"/>
  <c r="C15" i="3"/>
  <c r="Q14" i="3"/>
  <c r="P14" i="3"/>
  <c r="O14" i="3"/>
  <c r="N14" i="3"/>
  <c r="M14" i="3"/>
  <c r="G14" i="3"/>
  <c r="F14" i="3"/>
  <c r="E14" i="3"/>
  <c r="D14" i="3"/>
  <c r="C14" i="3"/>
  <c r="Q13" i="3"/>
  <c r="P13" i="3"/>
  <c r="O13" i="3"/>
  <c r="N13" i="3"/>
  <c r="M13" i="3"/>
  <c r="G13" i="3"/>
  <c r="F13" i="3"/>
  <c r="E13" i="3"/>
  <c r="D13" i="3"/>
  <c r="C13" i="3"/>
  <c r="P18" i="3" l="1"/>
  <c r="P19" i="3"/>
  <c r="N18" i="3"/>
  <c r="N19" i="3"/>
  <c r="Q18" i="3"/>
  <c r="Q19" i="3"/>
  <c r="O18" i="3"/>
  <c r="O19" i="3"/>
  <c r="M18" i="3"/>
  <c r="S13" i="3"/>
  <c r="AN48" i="1"/>
  <c r="AN49" i="1" s="1"/>
  <c r="AM52" i="1"/>
  <c r="AI34" i="1"/>
  <c r="AI24" i="1" s="1"/>
  <c r="AH21" i="1"/>
  <c r="AH38" i="1"/>
  <c r="AH35" i="1"/>
  <c r="I14" i="3"/>
  <c r="S14" i="3"/>
  <c r="U57" i="1"/>
  <c r="U61" i="1"/>
  <c r="U64" i="1" s="1"/>
  <c r="I13" i="3"/>
  <c r="I15" i="3"/>
  <c r="S15" i="3"/>
  <c r="S19" i="3" s="1"/>
  <c r="T19" i="3" s="1"/>
  <c r="AP61" i="1"/>
  <c r="R61" i="1" s="1"/>
  <c r="P64" i="1" s="1"/>
  <c r="R64" i="1" s="1"/>
  <c r="S18" i="3" l="1"/>
  <c r="T18" i="3" s="1"/>
  <c r="V64" i="1"/>
  <c r="W64" i="1" s="1"/>
  <c r="X64" i="1"/>
  <c r="AO48" i="1"/>
  <c r="AO49" i="1" s="1"/>
  <c r="AN52" i="1"/>
  <c r="AJ34" i="1"/>
  <c r="AJ24" i="1" s="1"/>
  <c r="AL24" i="1" s="1"/>
  <c r="AI21" i="1"/>
  <c r="AI35" i="1"/>
  <c r="AI38" i="1"/>
  <c r="X61" i="1"/>
  <c r="V61" i="1"/>
  <c r="W61" i="1" s="1"/>
  <c r="X57" i="1"/>
  <c r="V57" i="1"/>
  <c r="W57" i="1" s="1"/>
  <c r="AP48" i="1" l="1"/>
  <c r="AO52" i="1"/>
  <c r="AJ21" i="1"/>
  <c r="AL21" i="1" s="1"/>
  <c r="R21" i="1" s="1"/>
  <c r="V21" i="1" s="1"/>
  <c r="W21" i="1" s="1"/>
  <c r="R24" i="1"/>
  <c r="V24" i="1" s="1"/>
  <c r="W24" i="1" s="1"/>
  <c r="AJ38" i="1"/>
  <c r="AJ35" i="1"/>
  <c r="AP49" i="1"/>
  <c r="F6" i="2"/>
  <c r="F4" i="2"/>
  <c r="F8" i="2" s="1"/>
  <c r="AQ48" i="1" l="1"/>
  <c r="AQ52" i="1" s="1"/>
  <c r="AP52" i="1"/>
  <c r="F9" i="2"/>
  <c r="F10" i="2" s="1"/>
  <c r="F11" i="2" s="1"/>
  <c r="F12" i="2" s="1"/>
  <c r="AQ49" i="1" l="1"/>
  <c r="AL35" i="1" l="1"/>
  <c r="R35" i="1" s="1"/>
  <c r="V35" i="1" s="1"/>
  <c r="W35" i="1" s="1"/>
  <c r="AL38" i="1"/>
  <c r="R38" i="1" s="1"/>
  <c r="V38" i="1" s="1"/>
  <c r="W38" i="1" s="1"/>
  <c r="P42" i="1"/>
  <c r="O103" i="1" s="1"/>
  <c r="AD42" i="1"/>
  <c r="AH42" i="1"/>
  <c r="AE42" i="1"/>
  <c r="AI42" i="1"/>
  <c r="AC42" i="1"/>
  <c r="AJ42" i="1"/>
  <c r="AF42" i="1"/>
  <c r="AG42" i="1"/>
  <c r="AB42" i="1"/>
  <c r="AL42" i="1" l="1"/>
  <c r="R42" i="1" s="1"/>
  <c r="V42" i="1" l="1"/>
  <c r="W42" i="1" s="1"/>
  <c r="J38" i="2" l="1"/>
  <c r="AS49" i="1" l="1"/>
  <c r="R49" i="1" s="1"/>
  <c r="V49" i="1" l="1"/>
  <c r="W49" i="1" s="1"/>
  <c r="R27" i="1" l="1"/>
  <c r="V27" i="1" l="1"/>
  <c r="W27" i="1" s="1"/>
  <c r="R105" i="1"/>
  <c r="AS52" i="1"/>
  <c r="S49" i="1" s="1"/>
  <c r="X49" i="1" s="1"/>
  <c r="V89" i="1" l="1"/>
  <c r="V91" i="1"/>
  <c r="W91" i="1" s="1"/>
  <c r="V90" i="1"/>
  <c r="W90" i="1" s="1"/>
  <c r="O92" i="1"/>
  <c r="O99" i="1" s="1"/>
  <c r="O100" i="1" s="1"/>
  <c r="X100" i="1" s="1"/>
  <c r="W89" i="1" l="1"/>
  <c r="W104" i="1" s="1"/>
  <c r="V100" i="1"/>
  <c r="W100" i="1" s="1"/>
  <c r="V105" i="1"/>
  <c r="Q109" i="1" l="1"/>
  <c r="Q112" i="1" s="1"/>
  <c r="V107" i="1"/>
</calcChain>
</file>

<file path=xl/sharedStrings.xml><?xml version="1.0" encoding="utf-8"?>
<sst xmlns="http://schemas.openxmlformats.org/spreadsheetml/2006/main" count="220" uniqueCount="145">
  <si>
    <t>:</t>
  </si>
  <si>
    <t>Wensen</t>
  </si>
  <si>
    <t>Categorie</t>
  </si>
  <si>
    <t>Ja/nee</t>
  </si>
  <si>
    <t>Ja</t>
  </si>
  <si>
    <t>nee</t>
  </si>
  <si>
    <t>punten</t>
  </si>
  <si>
    <t>tot</t>
  </si>
  <si>
    <t>Dit zijn de door u behaalde punten op basis van uw opgave</t>
  </si>
  <si>
    <t>Hoe meer vertrouwen u hebt in het waar kunnen maken van uw toezeggingen, des te hoger durft u zichzelf een boete op te leggen. De gemiddelde verhoging van uw boete is basis voor verhoging van het aantal extra punten</t>
  </si>
  <si>
    <t>Uw score op  het onderdeel kwaliteit</t>
  </si>
  <si>
    <t>maximaal te behalen score</t>
  </si>
  <si>
    <t>bonus
punten</t>
  </si>
  <si>
    <t>boetefactor</t>
  </si>
  <si>
    <t>boetefactor 1 tot 3 keer 
stappen van 0,2</t>
  </si>
  <si>
    <t>werkelijke op te leggen boete indien van toepassing</t>
  </si>
  <si>
    <t>Maximaal toe te kennen punten</t>
  </si>
  <si>
    <t>Door inschrijver behaalde punten</t>
  </si>
  <si>
    <t>Opties</t>
  </si>
  <si>
    <t>Omschrijving</t>
  </si>
  <si>
    <t>Toelichting</t>
  </si>
  <si>
    <t>Vet gedrukte teksten kunnen uitsluitend door de aanbestedende dienst worden aangepast en zijn uiterste gewenste waarden.</t>
  </si>
  <si>
    <t>Deze velden kunnen door de inschrijver worden ingevuld en hebben betrekking op de uitvoeringswijze van de inschrijver</t>
  </si>
  <si>
    <t>Deze velden kunnen door de inschrijver worden ingevukld en hebben betrekking op de verhoging van de boete die de inschrijver zichzelf oplegt</t>
  </si>
  <si>
    <t>procent</t>
  </si>
  <si>
    <t>stap</t>
  </si>
  <si>
    <t>Euro 6</t>
  </si>
  <si>
    <t>min :</t>
  </si>
  <si>
    <t>max :</t>
  </si>
  <si>
    <t>stap :</t>
  </si>
  <si>
    <t>Voor voertuigen die worden gebruikt voor transport naar, van en op het werk geldt:.</t>
  </si>
  <si>
    <t>minimaal te behalen score</t>
  </si>
  <si>
    <t>Welk materieel gebruikt u tijdens de uitvoering  van het werk</t>
  </si>
  <si>
    <t>Voertuigen</t>
  </si>
  <si>
    <t>Materieel</t>
  </si>
  <si>
    <t>%</t>
  </si>
  <si>
    <t>Minimaal toe te kennen punten</t>
  </si>
  <si>
    <t>behaalde punten</t>
  </si>
  <si>
    <t>max korting</t>
  </si>
  <si>
    <t>behaalde korting</t>
  </si>
  <si>
    <t>Basis voor berekening</t>
  </si>
  <si>
    <t>aannemer</t>
  </si>
  <si>
    <t xml:space="preserve">: </t>
  </si>
  <si>
    <t xml:space="preserve">week </t>
  </si>
  <si>
    <t>maandag</t>
  </si>
  <si>
    <t>t/m vrijdag</t>
  </si>
  <si>
    <t>dinsdag</t>
  </si>
  <si>
    <t>woensdag</t>
  </si>
  <si>
    <t>donderdag</t>
  </si>
  <si>
    <t>vrijdag</t>
  </si>
  <si>
    <t>totaal</t>
  </si>
  <si>
    <t>overzicht van voertuigen per klasse per dag</t>
  </si>
  <si>
    <t>overzicht van materieel per bouwjaar per dag</t>
  </si>
  <si>
    <t>voeg hier rij in&gt;</t>
  </si>
  <si>
    <t>Indien u rijen toe wilt voegen, gelieve dat op deze rij te doen.</t>
  </si>
  <si>
    <t>Toetsingsstaat ingezet(te) voertuigen en materieel</t>
  </si>
  <si>
    <t>inschrijver</t>
  </si>
  <si>
    <t>naam</t>
  </si>
  <si>
    <t>functie</t>
  </si>
  <si>
    <t>Handtekening</t>
  </si>
  <si>
    <t>Duurzaamheid</t>
  </si>
  <si>
    <t>vlakheid straatwerk</t>
  </si>
  <si>
    <t>Afwijking van het dwarsprofiel</t>
  </si>
  <si>
    <t xml:space="preserve">tot </t>
  </si>
  <si>
    <t>Afwijking van het lengteprofiel</t>
  </si>
  <si>
    <t>Afwijking van de elementen onderling</t>
  </si>
  <si>
    <t>Doorlooptijd</t>
  </si>
  <si>
    <t>datum</t>
  </si>
  <si>
    <t>vlakheid</t>
  </si>
  <si>
    <t xml:space="preserve">stap </t>
  </si>
  <si>
    <t>Euro 5 en 6 is  minimum gewenst en wordt derhalve niet gewaardeerd of bestraft</t>
  </si>
  <si>
    <t>bij een inzet van tenminste</t>
  </si>
  <si>
    <t>Werkelijk behaalde punten na boetebonus</t>
  </si>
  <si>
    <t>behaalde score voor/na boete/bonus</t>
  </si>
  <si>
    <t xml:space="preserve"> </t>
  </si>
  <si>
    <t>% elektrisch</t>
  </si>
  <si>
    <t>Bestek 2023-4099</t>
  </si>
  <si>
    <t>Reconstructie Ollandseweg</t>
  </si>
  <si>
    <t>Asfalt</t>
  </si>
  <si>
    <t>Wanneer u de deklaag met een grotere vlakheid kunt aanbrengen dan is geëist in het bestek, wat zegt u dan te kunnen garanderen?</t>
  </si>
  <si>
    <t>mm</t>
  </si>
  <si>
    <t>Wanneer u ons een eerdere opleverdatum toe kunt zeggen dan 1 april 2025, welke datum is dat?</t>
  </si>
  <si>
    <t>liter</t>
  </si>
  <si>
    <t>HVO</t>
  </si>
  <si>
    <t>stap dgn</t>
  </si>
  <si>
    <t>hvo25</t>
  </si>
  <si>
    <t>hvo50</t>
  </si>
  <si>
    <t>hvo75</t>
  </si>
  <si>
    <t>hvo100</t>
  </si>
  <si>
    <t>geen</t>
  </si>
  <si>
    <t>Maximale afwijking ter hoogte van een dwarslas</t>
  </si>
  <si>
    <t>afwijking dwarslas</t>
  </si>
  <si>
    <t>Behaalde EMVI-bonus op regel</t>
  </si>
  <si>
    <t>ja = vermindering met 200 punten, nee = 0 punten</t>
  </si>
  <si>
    <t>Wanneer u de bestrating met een grotere vlakheid kunt aanbrengen dan is geëist in het bestek, wat zegt u dan te kunnen garanderen?</t>
  </si>
  <si>
    <t>Minimale boete bij niet nakoming toezegging voor toetsingen en handhaving</t>
  </si>
  <si>
    <t>HVO2</t>
  </si>
  <si>
    <t>Aandeel HVO in gebruikte diesel</t>
  </si>
  <si>
    <t>&gt;95%</t>
  </si>
  <si>
    <t>van 75% tot 95%</t>
  </si>
  <si>
    <t>Van 50% tot 75%</t>
  </si>
  <si>
    <t>Van 20% tot 50%</t>
  </si>
  <si>
    <t>&lt;20%</t>
  </si>
  <si>
    <t>Indien u gebruik maakt van HVO diesel voor uw materieel en voertuigen met verbrandingsmotoren, hoeveel liter is dat dan?</t>
  </si>
  <si>
    <t>tot 0</t>
  </si>
  <si>
    <t>ja = vermindering met 100 punten, nee = 0 punten</t>
  </si>
  <si>
    <t>Daarvan is ##% full elektrisch</t>
  </si>
  <si>
    <t>Bij full elektrisch gaan de punten van HvO naar rato naar deze regel</t>
  </si>
  <si>
    <t>euro</t>
  </si>
  <si>
    <t>toelichting en tussenuitkomsten van de berekeningen</t>
  </si>
  <si>
    <t>diesel</t>
  </si>
  <si>
    <t>werkelijke hoeveelheid HVO</t>
  </si>
  <si>
    <t>Klasse 1 - Deze voertuigen zijn (deels)  van de klasse Euro 5 of lager?</t>
  </si>
  <si>
    <t>Klasse 2 - Deze voertuigen zijn (deels)  van de klasse Euro 6</t>
  </si>
  <si>
    <t>Klasse 3 - 'Deze voertuigen zijn zijn hybride, full elektrisch of van de klasse Euro 7</t>
  </si>
  <si>
    <t>Klasse A - Dit materieel is (deels) van 2012 of ouder is</t>
  </si>
  <si>
    <t xml:space="preserve">Klasse B - Dit materieel is (deels) van de periode 2013 tot en met heden </t>
  </si>
  <si>
    <t>Klasse C - Dit materieel is hybride of full elektrisch of met waterstof aangedreven</t>
  </si>
  <si>
    <t>HVO - a</t>
  </si>
  <si>
    <t>HVO - b</t>
  </si>
  <si>
    <t>HVO - c</t>
  </si>
  <si>
    <t>Klasse 1</t>
  </si>
  <si>
    <t>Klasse 2</t>
  </si>
  <si>
    <t>Klasse 3</t>
  </si>
  <si>
    <t>% klasse 3</t>
  </si>
  <si>
    <t>full elektrisch</t>
  </si>
  <si>
    <t>kentekens</t>
  </si>
  <si>
    <t>klasse 2</t>
  </si>
  <si>
    <t>klasse 1</t>
  </si>
  <si>
    <t>Kentekens</t>
  </si>
  <si>
    <t>toegezegd % klasse 3</t>
  </si>
  <si>
    <t>toegezegd % full elektrisch</t>
  </si>
  <si>
    <t>toegezegd % Klasse C    :</t>
  </si>
  <si>
    <t>Klasse A</t>
  </si>
  <si>
    <t>Klasse B</t>
  </si>
  <si>
    <t>Klasse C</t>
  </si>
  <si>
    <t>klasse 3</t>
  </si>
  <si>
    <t xml:space="preserve">Kenmerk </t>
  </si>
  <si>
    <t>Kenmerk</t>
  </si>
  <si>
    <t>Full elektrisch</t>
  </si>
  <si>
    <t>Vul in deze rijen per dag de kentekens in van full elektrische voertuigen die, of kenmerken van het full elektrisch materieel  dat, op deze dag op het werk aanwezig zijn/is.</t>
  </si>
  <si>
    <t>Vul in deze rijen per dag de kentekens in van voertuigen (klasse 3 ) die, of kenmerken van het hybride materieel (klasse C) dat, op deze dag op het werk aanwezig zijn/is.</t>
  </si>
  <si>
    <t>Vul in deze rijen per dag de kentekens in van voertuigen (klasse 2) die, of kenmerken van het materieel (klasse B) dat, op deze dag op het werk aanwezig zijn/is.</t>
  </si>
  <si>
    <t>Vul in deze rijen per dag de kentekens in van voertuigen (met klasse 1 of lager) die, of kenmerken van het materieel (klasse A) dat, op deze dag op het werk aanwezig zijn/is.</t>
  </si>
  <si>
    <t>totaal effectief HVO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</si>
</sst>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0.0"/>
    <numFmt numFmtId="165" formatCode="_ * #,##0.000_ ;_ * \-#,##0.000_ ;_ * &quot;-&quot;??_ ;_ @_ "/>
    <numFmt numFmtId="166" formatCode="0.0%"/>
    <numFmt numFmtId="167" formatCode="d/m;@"/>
    <numFmt numFmtId="168" formatCode="[$-F800]dddd\,\ mmmm\ dd\,\ yyyy"/>
    <numFmt numFmtId="169" formatCode="d/mm/yy;@"/>
    <numFmt numFmtId="170" formatCode="0.000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164" fontId="0" fillId="0" borderId="0" xfId="0" applyNumberFormat="1"/>
    <xf numFmtId="0" fontId="2" fillId="3" borderId="0" xfId="0" applyFont="1" applyFill="1" applyBorder="1" applyAlignment="1" applyProtection="1">
      <alignment vertical="top"/>
      <protection locked="0"/>
    </xf>
    <xf numFmtId="0" fontId="2" fillId="0" borderId="0" xfId="0" applyFont="1" applyFill="1" applyBorder="1" applyAlignment="1" applyProtection="1">
      <alignment vertical="top"/>
    </xf>
    <xf numFmtId="0" fontId="2" fillId="0" borderId="4" xfId="0" applyFont="1" applyBorder="1" applyProtection="1"/>
    <xf numFmtId="0" fontId="2" fillId="0" borderId="0" xfId="0" applyFont="1" applyBorder="1" applyProtection="1"/>
    <xf numFmtId="0" fontId="2" fillId="0" borderId="0" xfId="0" quotePrefix="1" applyFont="1" applyFill="1" applyBorder="1" applyAlignment="1" applyProtection="1">
      <alignment horizontal="left" indent="1"/>
    </xf>
    <xf numFmtId="0" fontId="2" fillId="0" borderId="0" xfId="0" applyFont="1" applyBorder="1" applyAlignment="1" applyProtection="1">
      <alignment horizontal="left" indent="1"/>
    </xf>
    <xf numFmtId="0" fontId="2" fillId="0" borderId="14" xfId="0" applyFont="1" applyFill="1" applyBorder="1" applyAlignment="1" applyProtection="1">
      <alignment vertical="top"/>
    </xf>
    <xf numFmtId="0" fontId="3" fillId="0" borderId="0" xfId="0" applyFont="1" applyBorder="1" applyAlignment="1" applyProtection="1">
      <alignment vertical="top"/>
    </xf>
    <xf numFmtId="0" fontId="2" fillId="0" borderId="0" xfId="0" applyFont="1" applyBorder="1" applyAlignment="1" applyProtection="1">
      <alignment vertical="top"/>
    </xf>
    <xf numFmtId="0" fontId="3" fillId="0" borderId="0" xfId="0" applyFont="1" applyFill="1" applyBorder="1" applyAlignment="1" applyProtection="1">
      <alignment vertical="top"/>
    </xf>
    <xf numFmtId="44" fontId="3" fillId="0" borderId="0" xfId="1" applyFont="1" applyFill="1" applyBorder="1" applyAlignment="1" applyProtection="1">
      <alignment vertical="top"/>
    </xf>
    <xf numFmtId="0" fontId="2" fillId="0" borderId="14" xfId="0" applyFont="1" applyBorder="1" applyAlignment="1" applyProtection="1">
      <alignment vertical="top"/>
    </xf>
    <xf numFmtId="44" fontId="2" fillId="0" borderId="5" xfId="0" applyNumberFormat="1" applyFont="1" applyBorder="1" applyAlignment="1" applyProtection="1">
      <alignment vertical="top"/>
    </xf>
    <xf numFmtId="0" fontId="2" fillId="0" borderId="0" xfId="0" applyFont="1" applyAlignment="1" applyProtection="1">
      <alignment vertical="top"/>
    </xf>
    <xf numFmtId="0" fontId="2" fillId="0" borderId="0" xfId="0" applyFont="1" applyProtection="1"/>
    <xf numFmtId="1" fontId="2" fillId="0" borderId="0" xfId="0" applyNumberFormat="1" applyFont="1" applyProtection="1"/>
    <xf numFmtId="0" fontId="2" fillId="0" borderId="5" xfId="0" applyFont="1" applyBorder="1" applyAlignment="1" applyProtection="1">
      <alignment vertical="top"/>
    </xf>
    <xf numFmtId="0" fontId="2" fillId="0" borderId="0" xfId="0" applyFont="1" applyFill="1" applyAlignment="1" applyProtection="1">
      <alignment vertical="top"/>
    </xf>
    <xf numFmtId="0" fontId="3" fillId="0" borderId="0" xfId="0" applyFont="1" applyBorder="1" applyProtection="1"/>
    <xf numFmtId="164" fontId="2" fillId="0" borderId="0" xfId="0" applyNumberFormat="1" applyFont="1" applyBorder="1" applyAlignment="1" applyProtection="1">
      <alignment vertical="top"/>
    </xf>
    <xf numFmtId="0" fontId="0" fillId="0" borderId="0" xfId="0" applyNumberFormat="1"/>
    <xf numFmtId="0" fontId="2" fillId="0" borderId="0" xfId="0" quotePrefix="1" applyFont="1" applyFill="1" applyBorder="1" applyAlignment="1" applyProtection="1">
      <alignment horizontal="left"/>
    </xf>
    <xf numFmtId="0" fontId="0" fillId="7" borderId="0" xfId="0" applyFill="1" applyProtection="1">
      <protection locked="0"/>
    </xf>
    <xf numFmtId="44" fontId="2" fillId="0" borderId="5" xfId="0" applyNumberFormat="1" applyFont="1" applyFill="1" applyBorder="1" applyAlignment="1" applyProtection="1">
      <alignment vertical="top"/>
    </xf>
    <xf numFmtId="0" fontId="3" fillId="0" borderId="0" xfId="0" applyNumberFormat="1" applyFont="1" applyBorder="1" applyAlignment="1" applyProtection="1">
      <alignment vertical="top"/>
    </xf>
    <xf numFmtId="0" fontId="2" fillId="0" borderId="0" xfId="0" applyNumberFormat="1" applyFont="1" applyBorder="1" applyAlignment="1" applyProtection="1">
      <alignment vertical="top"/>
    </xf>
    <xf numFmtId="44" fontId="3" fillId="0" borderId="31" xfId="1" applyFont="1" applyFill="1" applyBorder="1" applyAlignment="1" applyProtection="1">
      <alignment vertical="top"/>
    </xf>
    <xf numFmtId="0" fontId="2" fillId="0" borderId="31" xfId="0" applyFont="1" applyBorder="1" applyAlignment="1" applyProtection="1">
      <alignment vertical="top"/>
    </xf>
    <xf numFmtId="0" fontId="2" fillId="0" borderId="0" xfId="0" applyNumberFormat="1" applyFont="1" applyProtection="1"/>
    <xf numFmtId="0" fontId="0" fillId="0" borderId="0" xfId="0" applyProtection="1"/>
    <xf numFmtId="0" fontId="2" fillId="0" borderId="0" xfId="0" applyNumberFormat="1" applyFont="1" applyBorder="1" applyProtection="1"/>
    <xf numFmtId="0" fontId="2" fillId="0" borderId="1" xfId="0" applyFont="1" applyBorder="1" applyProtection="1"/>
    <xf numFmtId="0" fontId="2" fillId="0" borderId="2" xfId="0" applyFont="1" applyBorder="1" applyProtection="1"/>
    <xf numFmtId="0" fontId="2" fillId="0" borderId="2" xfId="0" applyFont="1" applyBorder="1" applyAlignment="1" applyProtection="1">
      <alignment vertical="top"/>
    </xf>
    <xf numFmtId="0" fontId="2" fillId="0" borderId="3" xfId="0" applyFont="1" applyBorder="1" applyAlignment="1" applyProtection="1">
      <alignment vertical="top"/>
    </xf>
    <xf numFmtId="0" fontId="2" fillId="0" borderId="4" xfId="0" applyFont="1" applyBorder="1" applyAlignment="1" applyProtection="1">
      <alignment vertical="top"/>
    </xf>
    <xf numFmtId="0" fontId="2" fillId="0" borderId="6" xfId="0" applyFont="1" applyBorder="1" applyProtection="1"/>
    <xf numFmtId="0" fontId="2" fillId="0" borderId="7" xfId="0" applyFont="1" applyBorder="1" applyProtection="1"/>
    <xf numFmtId="0" fontId="2" fillId="0" borderId="7" xfId="0" applyFont="1" applyBorder="1" applyAlignment="1" applyProtection="1">
      <alignment vertical="top"/>
    </xf>
    <xf numFmtId="0" fontId="2" fillId="0" borderId="6" xfId="0" applyFont="1" applyBorder="1" applyAlignment="1" applyProtection="1">
      <alignment vertical="top"/>
    </xf>
    <xf numFmtId="0" fontId="2" fillId="0" borderId="8" xfId="0" applyFont="1" applyBorder="1" applyAlignment="1" applyProtection="1">
      <alignment vertical="top"/>
    </xf>
    <xf numFmtId="0" fontId="2" fillId="0" borderId="0" xfId="0" applyNumberFormat="1" applyFont="1" applyAlignment="1" applyProtection="1">
      <alignment vertical="top"/>
    </xf>
    <xf numFmtId="0" fontId="2" fillId="0" borderId="9" xfId="0" applyFont="1" applyBorder="1" applyAlignment="1" applyProtection="1">
      <alignment horizontal="left" vertical="top"/>
    </xf>
    <xf numFmtId="0" fontId="2" fillId="0" borderId="10" xfId="0" applyFont="1" applyBorder="1" applyAlignment="1" applyProtection="1">
      <alignment horizontal="left" vertical="top"/>
    </xf>
    <xf numFmtId="0" fontId="2" fillId="0" borderId="12" xfId="0" applyFont="1" applyBorder="1" applyAlignment="1" applyProtection="1">
      <alignment horizontal="left" vertical="top"/>
    </xf>
    <xf numFmtId="0" fontId="2" fillId="0" borderId="11" xfId="0" applyNumberFormat="1" applyFont="1" applyBorder="1" applyAlignment="1" applyProtection="1">
      <alignment horizontal="left" vertical="top"/>
    </xf>
    <xf numFmtId="0" fontId="2" fillId="0" borderId="10" xfId="0" applyFont="1" applyFill="1" applyBorder="1" applyAlignment="1" applyProtection="1">
      <alignment horizontal="left" vertical="top" wrapText="1"/>
    </xf>
    <xf numFmtId="0" fontId="2" fillId="0" borderId="16" xfId="0" applyFont="1" applyFill="1" applyBorder="1" applyAlignment="1" applyProtection="1">
      <alignment horizontal="left" vertical="top" wrapText="1"/>
    </xf>
    <xf numFmtId="0" fontId="2" fillId="0" borderId="12" xfId="0" applyFont="1" applyFill="1" applyBorder="1" applyAlignment="1" applyProtection="1">
      <alignment horizontal="left" vertical="top" wrapText="1"/>
    </xf>
    <xf numFmtId="0" fontId="2" fillId="0" borderId="11" xfId="0" applyFont="1" applyFill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horizontal="left" vertical="top"/>
    </xf>
    <xf numFmtId="0" fontId="2" fillId="0" borderId="2" xfId="0" applyFont="1" applyFill="1" applyBorder="1" applyAlignment="1" applyProtection="1">
      <alignment horizontal="left" vertical="top"/>
    </xf>
    <xf numFmtId="0" fontId="2" fillId="0" borderId="13" xfId="0" applyFont="1" applyFill="1" applyBorder="1" applyAlignment="1" applyProtection="1">
      <alignment vertical="top"/>
    </xf>
    <xf numFmtId="0" fontId="2" fillId="0" borderId="2" xfId="0" applyFont="1" applyFill="1" applyBorder="1" applyAlignment="1" applyProtection="1">
      <alignment vertical="top"/>
    </xf>
    <xf numFmtId="0" fontId="2" fillId="0" borderId="2" xfId="0" applyNumberFormat="1" applyFont="1" applyFill="1" applyBorder="1" applyAlignment="1" applyProtection="1">
      <alignment vertical="top"/>
    </xf>
    <xf numFmtId="0" fontId="2" fillId="0" borderId="1" xfId="0" applyFont="1" applyFill="1" applyBorder="1" applyAlignment="1" applyProtection="1">
      <alignment vertical="top"/>
    </xf>
    <xf numFmtId="0" fontId="2" fillId="0" borderId="2" xfId="0" applyFont="1" applyFill="1" applyBorder="1" applyProtection="1"/>
    <xf numFmtId="0" fontId="2" fillId="0" borderId="13" xfId="0" applyFont="1" applyFill="1" applyBorder="1" applyProtection="1"/>
    <xf numFmtId="0" fontId="2" fillId="0" borderId="3" xfId="0" applyFont="1" applyFill="1" applyBorder="1" applyProtection="1"/>
    <xf numFmtId="0" fontId="2" fillId="0" borderId="0" xfId="0" applyFont="1" applyBorder="1" applyAlignment="1" applyProtection="1"/>
    <xf numFmtId="0" fontId="2" fillId="0" borderId="0" xfId="0" applyFont="1" applyFill="1" applyProtection="1"/>
    <xf numFmtId="1" fontId="2" fillId="0" borderId="4" xfId="0" applyNumberFormat="1" applyFont="1" applyBorder="1" applyAlignment="1" applyProtection="1">
      <alignment vertical="top"/>
    </xf>
    <xf numFmtId="0" fontId="2" fillId="0" borderId="0" xfId="0" quotePrefix="1" applyFont="1" applyBorder="1" applyAlignment="1" applyProtection="1"/>
    <xf numFmtId="2" fontId="3" fillId="0" borderId="0" xfId="0" applyNumberFormat="1" applyFont="1" applyBorder="1" applyAlignment="1" applyProtection="1">
      <alignment vertical="top"/>
    </xf>
    <xf numFmtId="165" fontId="2" fillId="0" borderId="0" xfId="2" applyNumberFormat="1" applyFont="1" applyFill="1" applyBorder="1" applyAlignment="1" applyProtection="1">
      <alignment vertical="top"/>
    </xf>
    <xf numFmtId="16" fontId="2" fillId="0" borderId="0" xfId="0" applyNumberFormat="1" applyFont="1" applyFill="1" applyBorder="1" applyAlignment="1" applyProtection="1">
      <alignment vertical="top"/>
    </xf>
    <xf numFmtId="0" fontId="2" fillId="0" borderId="0" xfId="0" applyNumberFormat="1" applyFont="1" applyFill="1" applyBorder="1" applyAlignment="1" applyProtection="1">
      <alignment vertical="top"/>
    </xf>
    <xf numFmtId="0" fontId="2" fillId="0" borderId="4" xfId="0" applyFont="1" applyFill="1" applyBorder="1" applyAlignment="1" applyProtection="1">
      <alignment vertical="top"/>
    </xf>
    <xf numFmtId="0" fontId="2" fillId="0" borderId="0" xfId="0" quotePrefix="1" applyFont="1" applyBorder="1" applyAlignment="1" applyProtection="1">
      <alignment horizontal="left" indent="1"/>
    </xf>
    <xf numFmtId="164" fontId="2" fillId="0" borderId="31" xfId="0" applyNumberFormat="1" applyFont="1" applyBorder="1" applyAlignment="1" applyProtection="1">
      <alignment vertical="top"/>
    </xf>
    <xf numFmtId="0" fontId="0" fillId="0" borderId="0" xfId="0" applyFill="1" applyProtection="1"/>
    <xf numFmtId="0" fontId="0" fillId="0" borderId="0" xfId="0" applyFill="1" applyBorder="1" applyProtection="1"/>
    <xf numFmtId="164" fontId="2" fillId="0" borderId="7" xfId="0" applyNumberFormat="1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15" xfId="0" applyFont="1" applyBorder="1" applyAlignment="1" applyProtection="1">
      <alignment vertical="top"/>
    </xf>
    <xf numFmtId="0" fontId="2" fillId="0" borderId="13" xfId="0" applyFont="1" applyBorder="1" applyAlignment="1" applyProtection="1">
      <alignment vertical="top"/>
    </xf>
    <xf numFmtId="0" fontId="2" fillId="0" borderId="2" xfId="0" applyNumberFormat="1" applyFont="1" applyBorder="1" applyAlignment="1" applyProtection="1">
      <alignment vertical="top"/>
    </xf>
    <xf numFmtId="164" fontId="2" fillId="0" borderId="2" xfId="0" applyNumberFormat="1" applyFont="1" applyBorder="1" applyAlignment="1" applyProtection="1">
      <alignment vertical="top"/>
    </xf>
    <xf numFmtId="0" fontId="2" fillId="0" borderId="19" xfId="0" applyFont="1" applyBorder="1" applyProtection="1"/>
    <xf numFmtId="0" fontId="2" fillId="0" borderId="20" xfId="0" applyFont="1" applyBorder="1" applyProtection="1"/>
    <xf numFmtId="0" fontId="2" fillId="0" borderId="22" xfId="0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/>
    </xf>
    <xf numFmtId="0" fontId="2" fillId="0" borderId="20" xfId="0" applyNumberFormat="1" applyFont="1" applyBorder="1" applyAlignment="1" applyProtection="1">
      <alignment vertical="top"/>
    </xf>
    <xf numFmtId="164" fontId="2" fillId="0" borderId="20" xfId="0" applyNumberFormat="1" applyFont="1" applyBorder="1" applyAlignment="1" applyProtection="1">
      <alignment vertical="top"/>
    </xf>
    <xf numFmtId="0" fontId="2" fillId="0" borderId="20" xfId="0" applyFont="1" applyBorder="1" applyAlignment="1" applyProtection="1">
      <alignment vertical="top" wrapText="1"/>
    </xf>
    <xf numFmtId="2" fontId="2" fillId="0" borderId="22" xfId="0" applyNumberFormat="1" applyFont="1" applyBorder="1" applyAlignment="1" applyProtection="1">
      <alignment vertical="top"/>
    </xf>
    <xf numFmtId="2" fontId="2" fillId="0" borderId="20" xfId="0" applyNumberFormat="1" applyFont="1" applyBorder="1" applyAlignment="1" applyProtection="1">
      <alignment vertical="top"/>
    </xf>
    <xf numFmtId="0" fontId="2" fillId="0" borderId="21" xfId="0" applyFont="1" applyBorder="1" applyAlignment="1" applyProtection="1">
      <alignment vertical="top" wrapText="1"/>
    </xf>
    <xf numFmtId="0" fontId="2" fillId="0" borderId="7" xfId="0" applyNumberFormat="1" applyFont="1" applyBorder="1" applyAlignment="1" applyProtection="1">
      <alignment vertical="top"/>
    </xf>
    <xf numFmtId="0" fontId="2" fillId="0" borderId="8" xfId="0" applyFont="1" applyBorder="1" applyProtection="1"/>
    <xf numFmtId="44" fontId="2" fillId="0" borderId="0" xfId="1" applyFont="1" applyBorder="1" applyAlignment="1" applyProtection="1">
      <alignment vertical="top"/>
    </xf>
    <xf numFmtId="14" fontId="0" fillId="2" borderId="0" xfId="0" applyNumberFormat="1" applyFill="1" applyProtection="1">
      <protection locked="0"/>
    </xf>
    <xf numFmtId="0" fontId="2" fillId="0" borderId="0" xfId="0" applyFont="1" applyFill="1" applyBorder="1" applyProtection="1"/>
    <xf numFmtId="0" fontId="3" fillId="0" borderId="4" xfId="0" applyFont="1" applyBorder="1" applyProtection="1"/>
    <xf numFmtId="0" fontId="2" fillId="3" borderId="0" xfId="0" applyFont="1" applyFill="1" applyAlignment="1" applyProtection="1">
      <alignment vertical="top"/>
      <protection locked="0"/>
    </xf>
    <xf numFmtId="0" fontId="2" fillId="2" borderId="0" xfId="0" applyFont="1" applyFill="1" applyAlignment="1" applyProtection="1">
      <alignment vertical="top"/>
      <protection locked="0"/>
    </xf>
    <xf numFmtId="0" fontId="2" fillId="0" borderId="4" xfId="0" applyFont="1" applyFill="1" applyBorder="1" applyProtection="1"/>
    <xf numFmtId="0" fontId="2" fillId="0" borderId="0" xfId="0" applyFont="1" applyFill="1" applyBorder="1" applyAlignment="1" applyProtection="1"/>
    <xf numFmtId="0" fontId="2" fillId="0" borderId="0" xfId="0" quotePrefix="1" applyFont="1" applyFill="1" applyBorder="1" applyAlignment="1" applyProtection="1"/>
    <xf numFmtId="2" fontId="3" fillId="0" borderId="0" xfId="0" applyNumberFormat="1" applyFont="1" applyFill="1" applyBorder="1" applyAlignment="1" applyProtection="1">
      <alignment vertical="top"/>
    </xf>
    <xf numFmtId="0" fontId="3" fillId="0" borderId="0" xfId="0" applyNumberFormat="1" applyFont="1" applyFill="1" applyBorder="1" applyAlignment="1" applyProtection="1">
      <alignment vertical="top"/>
    </xf>
    <xf numFmtId="1" fontId="2" fillId="0" borderId="4" xfId="0" applyNumberFormat="1" applyFont="1" applyFill="1" applyBorder="1" applyAlignment="1" applyProtection="1">
      <alignment vertical="top"/>
    </xf>
    <xf numFmtId="0" fontId="2" fillId="0" borderId="0" xfId="0" applyFont="1" applyFill="1" applyAlignment="1" applyProtection="1">
      <alignment horizontal="left" vertical="top"/>
    </xf>
    <xf numFmtId="0" fontId="3" fillId="0" borderId="0" xfId="0" applyFont="1" applyFill="1" applyAlignment="1" applyProtection="1">
      <alignment vertical="top"/>
    </xf>
    <xf numFmtId="9" fontId="3" fillId="0" borderId="0" xfId="0" applyNumberFormat="1" applyFont="1" applyFill="1" applyAlignment="1" applyProtection="1">
      <alignment vertical="top"/>
    </xf>
    <xf numFmtId="1" fontId="2" fillId="0" borderId="0" xfId="0" applyNumberFormat="1" applyFont="1" applyFill="1" applyProtection="1"/>
    <xf numFmtId="1" fontId="0" fillId="0" borderId="0" xfId="0" applyNumberFormat="1"/>
    <xf numFmtId="9" fontId="2" fillId="0" borderId="0" xfId="3" applyFont="1" applyAlignment="1" applyProtection="1">
      <alignment vertical="top"/>
    </xf>
    <xf numFmtId="9" fontId="2" fillId="0" borderId="0" xfId="0" applyNumberFormat="1" applyFont="1" applyProtection="1"/>
    <xf numFmtId="168" fontId="0" fillId="0" borderId="0" xfId="0" applyNumberFormat="1"/>
    <xf numFmtId="167" fontId="0" fillId="0" borderId="0" xfId="0" applyNumberFormat="1"/>
    <xf numFmtId="169" fontId="2" fillId="3" borderId="0" xfId="0" applyNumberFormat="1" applyFont="1" applyFill="1" applyAlignment="1" applyProtection="1">
      <alignment vertical="top"/>
      <protection locked="0"/>
    </xf>
    <xf numFmtId="0" fontId="2" fillId="0" borderId="4" xfId="0" applyFont="1" applyBorder="1" applyAlignment="1" applyProtection="1">
      <alignment vertical="top" wrapText="1"/>
    </xf>
    <xf numFmtId="9" fontId="2" fillId="0" borderId="0" xfId="0" applyNumberFormat="1" applyFont="1" applyAlignment="1" applyProtection="1">
      <alignment vertical="top"/>
    </xf>
    <xf numFmtId="1" fontId="2" fillId="0" borderId="0" xfId="0" applyNumberFormat="1" applyFont="1" applyAlignment="1" applyProtection="1">
      <alignment vertical="top"/>
    </xf>
    <xf numFmtId="164" fontId="2" fillId="0" borderId="0" xfId="0" applyNumberFormat="1" applyFont="1" applyAlignment="1" applyProtection="1">
      <alignment vertical="top"/>
    </xf>
    <xf numFmtId="1" fontId="3" fillId="0" borderId="0" xfId="0" applyNumberFormat="1" applyFont="1" applyAlignment="1" applyProtection="1">
      <alignment vertical="top"/>
    </xf>
    <xf numFmtId="0" fontId="3" fillId="0" borderId="0" xfId="0" applyFont="1" applyAlignment="1" applyProtection="1">
      <alignment vertical="top"/>
    </xf>
    <xf numFmtId="164" fontId="3" fillId="0" borderId="0" xfId="0" applyNumberFormat="1" applyFont="1" applyAlignment="1" applyProtection="1">
      <alignment vertical="top"/>
    </xf>
    <xf numFmtId="0" fontId="2" fillId="0" borderId="0" xfId="0" quotePrefix="1" applyFont="1" applyFill="1" applyProtection="1"/>
    <xf numFmtId="1" fontId="3" fillId="0" borderId="0" xfId="0" applyNumberFormat="1" applyFont="1" applyFill="1" applyAlignment="1" applyProtection="1">
      <alignment vertical="top"/>
    </xf>
    <xf numFmtId="0" fontId="2" fillId="0" borderId="31" xfId="0" applyFont="1" applyBorder="1" applyProtection="1"/>
    <xf numFmtId="16" fontId="2" fillId="0" borderId="0" xfId="0" applyNumberFormat="1" applyFont="1" applyAlignment="1" applyProtection="1">
      <alignment vertical="top"/>
    </xf>
    <xf numFmtId="0" fontId="3" fillId="0" borderId="0" xfId="0" applyFont="1" applyProtection="1"/>
    <xf numFmtId="14" fontId="3" fillId="0" borderId="0" xfId="0" applyNumberFormat="1" applyFont="1" applyFill="1" applyAlignment="1" applyProtection="1">
      <alignment vertical="top"/>
    </xf>
    <xf numFmtId="14" fontId="2" fillId="0" borderId="0" xfId="0" applyNumberFormat="1" applyFont="1" applyProtection="1"/>
    <xf numFmtId="44" fontId="2" fillId="0" borderId="0" xfId="0" applyNumberFormat="1" applyFont="1" applyAlignment="1" applyProtection="1">
      <alignment vertical="top"/>
    </xf>
    <xf numFmtId="44" fontId="2" fillId="0" borderId="0" xfId="0" applyNumberFormat="1" applyFont="1" applyBorder="1" applyAlignment="1" applyProtection="1">
      <alignment vertical="top"/>
    </xf>
    <xf numFmtId="44" fontId="2" fillId="0" borderId="2" xfId="0" applyNumberFormat="1" applyFont="1" applyBorder="1" applyAlignment="1" applyProtection="1">
      <alignment vertical="top"/>
    </xf>
    <xf numFmtId="44" fontId="2" fillId="0" borderId="7" xfId="0" applyNumberFormat="1" applyFont="1" applyBorder="1" applyAlignment="1" applyProtection="1">
      <alignment vertical="top"/>
    </xf>
    <xf numFmtId="44" fontId="2" fillId="0" borderId="10" xfId="0" applyNumberFormat="1" applyFont="1" applyFill="1" applyBorder="1" applyAlignment="1" applyProtection="1">
      <alignment horizontal="left" vertical="top" wrapText="1"/>
    </xf>
    <xf numFmtId="44" fontId="2" fillId="0" borderId="2" xfId="0" applyNumberFormat="1" applyFont="1" applyFill="1" applyBorder="1" applyProtection="1"/>
    <xf numFmtId="44" fontId="2" fillId="0" borderId="0" xfId="0" applyNumberFormat="1" applyFont="1" applyFill="1" applyBorder="1" applyAlignment="1" applyProtection="1">
      <alignment vertical="top"/>
    </xf>
    <xf numFmtId="44" fontId="2" fillId="0" borderId="20" xfId="0" applyNumberFormat="1" applyFont="1" applyBorder="1" applyAlignment="1" applyProtection="1">
      <alignment vertical="top"/>
    </xf>
    <xf numFmtId="44" fontId="2" fillId="0" borderId="0" xfId="0" applyNumberFormat="1" applyFont="1" applyProtection="1"/>
    <xf numFmtId="14" fontId="0" fillId="0" borderId="0" xfId="0" applyNumberFormat="1"/>
    <xf numFmtId="2" fontId="2" fillId="0" borderId="0" xfId="0" applyNumberFormat="1" applyFont="1" applyFill="1" applyAlignment="1" applyProtection="1">
      <alignment vertical="top"/>
    </xf>
    <xf numFmtId="0" fontId="2" fillId="0" borderId="0" xfId="0" applyFont="1" applyFill="1" applyBorder="1" applyAlignment="1" applyProtection="1">
      <alignment horizontal="left" indent="1"/>
    </xf>
    <xf numFmtId="0" fontId="2" fillId="0" borderId="0" xfId="0" applyFont="1" applyFill="1" applyBorder="1" applyAlignment="1" applyProtection="1">
      <alignment horizontal="left"/>
    </xf>
    <xf numFmtId="11" fontId="2" fillId="0" borderId="0" xfId="0" applyNumberFormat="1" applyFont="1" applyFill="1" applyBorder="1" applyProtection="1"/>
    <xf numFmtId="2" fontId="2" fillId="0" borderId="0" xfId="0" applyNumberFormat="1" applyFont="1" applyBorder="1" applyProtection="1"/>
    <xf numFmtId="2" fontId="2" fillId="0" borderId="17" xfId="0" applyNumberFormat="1" applyFont="1" applyFill="1" applyBorder="1" applyProtection="1"/>
    <xf numFmtId="2" fontId="2" fillId="0" borderId="18" xfId="0" applyNumberFormat="1" applyFont="1" applyBorder="1" applyAlignment="1" applyProtection="1">
      <alignment vertical="top"/>
    </xf>
    <xf numFmtId="2" fontId="2" fillId="0" borderId="18" xfId="0" applyNumberFormat="1" applyFont="1" applyFill="1" applyBorder="1" applyAlignment="1" applyProtection="1">
      <alignment vertical="top"/>
    </xf>
    <xf numFmtId="2" fontId="2" fillId="0" borderId="0" xfId="0" applyNumberFormat="1" applyFont="1" applyBorder="1" applyAlignment="1" applyProtection="1">
      <alignment vertical="top"/>
    </xf>
    <xf numFmtId="2" fontId="0" fillId="0" borderId="0" xfId="0" applyNumberFormat="1" applyFill="1" applyBorder="1" applyProtection="1"/>
    <xf numFmtId="2" fontId="2" fillId="0" borderId="0" xfId="0" applyNumberFormat="1" applyFont="1" applyProtection="1"/>
    <xf numFmtId="0" fontId="2" fillId="0" borderId="0" xfId="0" applyFont="1" applyBorder="1" applyAlignment="1" applyProtection="1">
      <alignment horizontal="left"/>
    </xf>
    <xf numFmtId="0" fontId="2" fillId="0" borderId="2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2" fillId="0" borderId="0" xfId="0" applyNumberFormat="1" applyFont="1" applyFill="1" applyBorder="1" applyProtection="1"/>
    <xf numFmtId="0" fontId="2" fillId="0" borderId="0" xfId="0" applyFont="1" applyFill="1" applyBorder="1" applyAlignment="1" applyProtection="1">
      <alignment horizontal="left" vertical="top" wrapText="1"/>
    </xf>
    <xf numFmtId="0" fontId="2" fillId="0" borderId="0" xfId="0" applyFont="1" applyFill="1" applyBorder="1" applyAlignment="1" applyProtection="1">
      <alignment vertical="top" wrapText="1"/>
    </xf>
    <xf numFmtId="44" fontId="2" fillId="0" borderId="0" xfId="0" applyNumberFormat="1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horizontal="left" vertical="top"/>
    </xf>
    <xf numFmtId="170" fontId="2" fillId="0" borderId="0" xfId="0" applyNumberFormat="1" applyFont="1" applyAlignment="1" applyProtection="1">
      <alignment vertical="top"/>
    </xf>
    <xf numFmtId="170" fontId="2" fillId="0" borderId="0" xfId="0" applyNumberFormat="1" applyFont="1" applyProtection="1"/>
    <xf numFmtId="0" fontId="5" fillId="0" borderId="0" xfId="0" applyFont="1" applyFill="1" applyProtection="1"/>
    <xf numFmtId="2" fontId="2" fillId="0" borderId="0" xfId="0" applyNumberFormat="1" applyFont="1" applyAlignment="1" applyProtection="1">
      <alignment vertical="top"/>
    </xf>
    <xf numFmtId="2" fontId="2" fillId="0" borderId="0" xfId="0" applyNumberFormat="1" applyFont="1" applyFill="1" applyBorder="1" applyAlignment="1" applyProtection="1">
      <alignment vertical="top"/>
    </xf>
    <xf numFmtId="0" fontId="0" fillId="0" borderId="0" xfId="0" applyAlignment="1" applyProtection="1">
      <alignment horizontal="right"/>
    </xf>
    <xf numFmtId="0" fontId="0" fillId="0" borderId="0" xfId="0" applyAlignment="1" applyProtection="1">
      <alignment vertical="top"/>
    </xf>
    <xf numFmtId="9" fontId="0" fillId="0" borderId="0" xfId="3" applyFont="1" applyProtection="1"/>
    <xf numFmtId="0" fontId="0" fillId="0" borderId="0" xfId="0" applyBorder="1" applyProtection="1"/>
    <xf numFmtId="0" fontId="0" fillId="0" borderId="9" xfId="0" applyBorder="1" applyProtection="1"/>
    <xf numFmtId="0" fontId="0" fillId="0" borderId="12" xfId="0" applyBorder="1" applyProtection="1"/>
    <xf numFmtId="0" fontId="0" fillId="0" borderId="23" xfId="0" applyBorder="1" applyProtection="1"/>
    <xf numFmtId="0" fontId="0" fillId="0" borderId="24" xfId="0" applyBorder="1" applyProtection="1"/>
    <xf numFmtId="0" fontId="0" fillId="0" borderId="1" xfId="0" applyBorder="1" applyProtection="1"/>
    <xf numFmtId="0" fontId="0" fillId="0" borderId="13" xfId="0" applyBorder="1" applyProtection="1"/>
    <xf numFmtId="0" fontId="0" fillId="0" borderId="28" xfId="0" applyBorder="1" applyProtection="1"/>
    <xf numFmtId="0" fontId="0" fillId="0" borderId="25" xfId="0" applyBorder="1" applyProtection="1"/>
    <xf numFmtId="0" fontId="0" fillId="4" borderId="25" xfId="0" applyFill="1" applyBorder="1" applyProtection="1"/>
    <xf numFmtId="0" fontId="0" fillId="4" borderId="13" xfId="0" applyFill="1" applyBorder="1" applyProtection="1"/>
    <xf numFmtId="0" fontId="0" fillId="4" borderId="33" xfId="0" applyFill="1" applyBorder="1" applyProtection="1"/>
    <xf numFmtId="0" fontId="0" fillId="4" borderId="28" xfId="0" applyFill="1" applyBorder="1" applyProtection="1"/>
    <xf numFmtId="0" fontId="0" fillId="5" borderId="26" xfId="0" applyFill="1" applyBorder="1" applyProtection="1"/>
    <xf numFmtId="0" fontId="0" fillId="5" borderId="4" xfId="0" applyFill="1" applyBorder="1" applyProtection="1"/>
    <xf numFmtId="0" fontId="0" fillId="5" borderId="14" xfId="0" applyFill="1" applyBorder="1" applyProtection="1"/>
    <xf numFmtId="0" fontId="0" fillId="5" borderId="31" xfId="0" applyFill="1" applyBorder="1" applyProtection="1"/>
    <xf numFmtId="0" fontId="0" fillId="5" borderId="32" xfId="0" applyFill="1" applyBorder="1" applyProtection="1"/>
    <xf numFmtId="0" fontId="0" fillId="6" borderId="26" xfId="0" applyFill="1" applyBorder="1" applyProtection="1"/>
    <xf numFmtId="0" fontId="0" fillId="6" borderId="4" xfId="0" applyFill="1" applyBorder="1" applyProtection="1"/>
    <xf numFmtId="0" fontId="0" fillId="6" borderId="14" xfId="0" applyFill="1" applyBorder="1" applyProtection="1"/>
    <xf numFmtId="0" fontId="0" fillId="6" borderId="31" xfId="0" applyFill="1" applyBorder="1" applyProtection="1"/>
    <xf numFmtId="0" fontId="0" fillId="6" borderId="32" xfId="0" applyFill="1" applyBorder="1" applyProtection="1"/>
    <xf numFmtId="0" fontId="0" fillId="6" borderId="27" xfId="0" applyFill="1" applyBorder="1" applyProtection="1"/>
    <xf numFmtId="0" fontId="0" fillId="6" borderId="6" xfId="0" applyFill="1" applyBorder="1" applyProtection="1"/>
    <xf numFmtId="0" fontId="0" fillId="6" borderId="15" xfId="0" applyFill="1" applyBorder="1" applyProtection="1"/>
    <xf numFmtId="0" fontId="0" fillId="6" borderId="30" xfId="0" applyFill="1" applyBorder="1" applyProtection="1"/>
    <xf numFmtId="0" fontId="0" fillId="6" borderId="29" xfId="0" applyFill="1" applyBorder="1" applyProtection="1"/>
    <xf numFmtId="0" fontId="0" fillId="0" borderId="26" xfId="0" applyBorder="1" applyProtection="1"/>
    <xf numFmtId="0" fontId="0" fillId="0" borderId="34" xfId="0" applyBorder="1" applyProtection="1"/>
    <xf numFmtId="0" fontId="0" fillId="0" borderId="33" xfId="0" applyBorder="1" applyProtection="1"/>
    <xf numFmtId="166" fontId="0" fillId="0" borderId="35" xfId="3" applyNumberFormat="1" applyFont="1" applyBorder="1" applyProtection="1"/>
    <xf numFmtId="166" fontId="0" fillId="0" borderId="31" xfId="3" applyNumberFormat="1" applyFont="1" applyBorder="1" applyProtection="1"/>
    <xf numFmtId="166" fontId="0" fillId="0" borderId="32" xfId="3" applyNumberFormat="1" applyFont="1" applyBorder="1" applyProtection="1"/>
    <xf numFmtId="166" fontId="0" fillId="0" borderId="26" xfId="3" applyNumberFormat="1" applyFont="1" applyBorder="1" applyProtection="1"/>
    <xf numFmtId="0" fontId="0" fillId="0" borderId="27" xfId="0" applyBorder="1" applyProtection="1"/>
    <xf numFmtId="166" fontId="0" fillId="0" borderId="36" xfId="3" applyNumberFormat="1" applyFont="1" applyBorder="1" applyProtection="1"/>
    <xf numFmtId="166" fontId="0" fillId="0" borderId="30" xfId="3" applyNumberFormat="1" applyFont="1" applyBorder="1" applyProtection="1"/>
    <xf numFmtId="166" fontId="0" fillId="0" borderId="29" xfId="3" applyNumberFormat="1" applyFont="1" applyBorder="1" applyProtection="1"/>
    <xf numFmtId="166" fontId="0" fillId="0" borderId="27" xfId="3" applyNumberFormat="1" applyFont="1" applyBorder="1" applyProtection="1"/>
    <xf numFmtId="166" fontId="0" fillId="0" borderId="0" xfId="0" applyNumberFormat="1" applyProtection="1"/>
    <xf numFmtId="0" fontId="3" fillId="0" borderId="0" xfId="0" applyFont="1" applyFill="1" applyBorder="1" applyAlignment="1" applyProtection="1"/>
    <xf numFmtId="0" fontId="2" fillId="0" borderId="0" xfId="0" applyFont="1" applyAlignment="1" applyProtection="1">
      <alignment horizontal="left"/>
    </xf>
    <xf numFmtId="0" fontId="0" fillId="3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left"/>
    </xf>
    <xf numFmtId="0" fontId="0" fillId="3" borderId="0" xfId="0" applyFill="1" applyAlignment="1" applyProtection="1">
      <alignment horizontal="left"/>
      <protection locked="0"/>
    </xf>
    <xf numFmtId="0" fontId="2" fillId="0" borderId="20" xfId="0" applyFont="1" applyBorder="1" applyAlignment="1" applyProtection="1">
      <alignment horizontal="left"/>
    </xf>
    <xf numFmtId="0" fontId="2" fillId="0" borderId="0" xfId="0" applyFont="1" applyAlignment="1" applyProtection="1">
      <alignment horizontal="left" vertical="top" wrapText="1"/>
    </xf>
    <xf numFmtId="0" fontId="2" fillId="0" borderId="18" xfId="0" applyFont="1" applyBorder="1" applyAlignment="1" applyProtection="1">
      <alignment horizontal="left" vertical="top" wrapText="1"/>
    </xf>
    <xf numFmtId="0" fontId="2" fillId="0" borderId="0" xfId="0" quotePrefix="1" applyFont="1" applyFill="1" applyBorder="1" applyAlignment="1" applyProtection="1">
      <alignment horizontal="left" wrapText="1"/>
    </xf>
    <xf numFmtId="0" fontId="2" fillId="0" borderId="18" xfId="0" quotePrefix="1" applyFont="1" applyFill="1" applyBorder="1" applyAlignment="1" applyProtection="1">
      <alignment horizontal="left" wrapText="1"/>
    </xf>
    <xf numFmtId="0" fontId="2" fillId="0" borderId="0" xfId="0" applyFont="1" applyBorder="1" applyAlignment="1" applyProtection="1">
      <alignment horizontal="left"/>
    </xf>
    <xf numFmtId="0" fontId="2" fillId="0" borderId="7" xfId="0" applyFont="1" applyBorder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2" fillId="3" borderId="0" xfId="0" applyFont="1" applyFill="1" applyBorder="1" applyAlignment="1" applyProtection="1">
      <alignment horizontal="left" vertical="top" wrapText="1"/>
    </xf>
    <xf numFmtId="0" fontId="2" fillId="0" borderId="2" xfId="0" applyFont="1" applyFill="1" applyBorder="1" applyAlignment="1" applyProtection="1">
      <alignment horizontal="left" vertical="top" wrapText="1"/>
    </xf>
    <xf numFmtId="0" fontId="2" fillId="2" borderId="0" xfId="0" applyFont="1" applyFill="1" applyAlignment="1" applyProtection="1">
      <alignment horizontal="left" vertical="top" wrapText="1"/>
    </xf>
    <xf numFmtId="0" fontId="0" fillId="0" borderId="0" xfId="0" applyAlignment="1" applyProtection="1">
      <alignment horizontal="left" vertical="top" wrapText="1"/>
    </xf>
    <xf numFmtId="0" fontId="0" fillId="2" borderId="0" xfId="0" applyFill="1" applyAlignment="1" applyProtection="1">
      <alignment horizontal="left" vertical="top"/>
      <protection locked="0"/>
    </xf>
    <xf numFmtId="0" fontId="2" fillId="2" borderId="14" xfId="0" applyFont="1" applyFill="1" applyBorder="1" applyAlignment="1" applyProtection="1">
      <alignment vertical="top"/>
      <protection locked="0"/>
    </xf>
  </cellXfs>
  <cellStyles count="4">
    <cellStyle name="Komma" xfId="2" builtinId="3"/>
    <cellStyle name="Procent" xfId="3" builtinId="5"/>
    <cellStyle name="Standaard" xfId="0" builtinId="0"/>
    <cellStyle name="Valuta" xfId="1" builtinId="4"/>
  </cellStyles>
  <dxfs count="1">
    <dxf>
      <font>
        <b/>
        <i val="0"/>
        <strike val="0"/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369794</xdr:colOff>
      <xdr:row>61</xdr:row>
      <xdr:rowOff>3</xdr:rowOff>
    </xdr:from>
    <xdr:to>
      <xdr:col>20</xdr:col>
      <xdr:colOff>666750</xdr:colOff>
      <xdr:row>62</xdr:row>
      <xdr:rowOff>140075</xdr:rowOff>
    </xdr:to>
    <xdr:sp macro="" textlink="">
      <xdr:nvSpPr>
        <xdr:cNvPr id="4" name="Pijl: rechts 3">
          <a:extLst>
            <a:ext uri="{FF2B5EF4-FFF2-40B4-BE49-F238E27FC236}">
              <a16:creationId xmlns:a16="http://schemas.microsoft.com/office/drawing/2014/main" id="{FB7813AA-C56F-80FB-E582-ABF40C250E8B}"/>
            </a:ext>
          </a:extLst>
        </xdr:cNvPr>
        <xdr:cNvSpPr/>
      </xdr:nvSpPr>
      <xdr:spPr>
        <a:xfrm rot="5400000">
          <a:off x="15318442" y="10410267"/>
          <a:ext cx="296954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20</xdr:col>
      <xdr:colOff>392206</xdr:colOff>
      <xdr:row>76</xdr:row>
      <xdr:rowOff>11210</xdr:rowOff>
    </xdr:from>
    <xdr:to>
      <xdr:col>20</xdr:col>
      <xdr:colOff>689162</xdr:colOff>
      <xdr:row>77</xdr:row>
      <xdr:rowOff>151282</xdr:rowOff>
    </xdr:to>
    <xdr:sp macro="" textlink="">
      <xdr:nvSpPr>
        <xdr:cNvPr id="5" name="Pijl: rechts 4">
          <a:extLst>
            <a:ext uri="{FF2B5EF4-FFF2-40B4-BE49-F238E27FC236}">
              <a16:creationId xmlns:a16="http://schemas.microsoft.com/office/drawing/2014/main" id="{B36CEDC2-EA26-4D0A-9BED-16FA54C48AB7}"/>
            </a:ext>
          </a:extLst>
        </xdr:cNvPr>
        <xdr:cNvSpPr/>
      </xdr:nvSpPr>
      <xdr:spPr>
        <a:xfrm rot="5400000">
          <a:off x="15374471" y="12830739"/>
          <a:ext cx="296955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20</xdr:col>
      <xdr:colOff>392206</xdr:colOff>
      <xdr:row>79</xdr:row>
      <xdr:rowOff>11210</xdr:rowOff>
    </xdr:from>
    <xdr:to>
      <xdr:col>20</xdr:col>
      <xdr:colOff>689162</xdr:colOff>
      <xdr:row>80</xdr:row>
      <xdr:rowOff>151282</xdr:rowOff>
    </xdr:to>
    <xdr:sp macro="" textlink="">
      <xdr:nvSpPr>
        <xdr:cNvPr id="2" name="Pijl: rechts 1">
          <a:extLst>
            <a:ext uri="{FF2B5EF4-FFF2-40B4-BE49-F238E27FC236}">
              <a16:creationId xmlns:a16="http://schemas.microsoft.com/office/drawing/2014/main" id="{92FD3ECC-A433-442D-A45E-8583845CB06B}"/>
            </a:ext>
          </a:extLst>
        </xdr:cNvPr>
        <xdr:cNvSpPr/>
      </xdr:nvSpPr>
      <xdr:spPr>
        <a:xfrm rot="5400000">
          <a:off x="15945971" y="12830739"/>
          <a:ext cx="296955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20</xdr:col>
      <xdr:colOff>414617</xdr:colOff>
      <xdr:row>91</xdr:row>
      <xdr:rowOff>67236</xdr:rowOff>
    </xdr:from>
    <xdr:to>
      <xdr:col>20</xdr:col>
      <xdr:colOff>711573</xdr:colOff>
      <xdr:row>98</xdr:row>
      <xdr:rowOff>78441</xdr:rowOff>
    </xdr:to>
    <xdr:sp macro="" textlink="">
      <xdr:nvSpPr>
        <xdr:cNvPr id="3" name="Pijl: rechts 2">
          <a:extLst>
            <a:ext uri="{FF2B5EF4-FFF2-40B4-BE49-F238E27FC236}">
              <a16:creationId xmlns:a16="http://schemas.microsoft.com/office/drawing/2014/main" id="{A73D7980-0447-44B6-AC41-0F9EBBED8921}"/>
            </a:ext>
          </a:extLst>
        </xdr:cNvPr>
        <xdr:cNvSpPr/>
      </xdr:nvSpPr>
      <xdr:spPr>
        <a:xfrm rot="5400000">
          <a:off x="14957051" y="15769478"/>
          <a:ext cx="1109382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20</xdr:col>
      <xdr:colOff>61633</xdr:colOff>
      <xdr:row>87</xdr:row>
      <xdr:rowOff>151278</xdr:rowOff>
    </xdr:from>
    <xdr:to>
      <xdr:col>20</xdr:col>
      <xdr:colOff>369793</xdr:colOff>
      <xdr:row>89</xdr:row>
      <xdr:rowOff>134469</xdr:rowOff>
    </xdr:to>
    <xdr:sp macro="" textlink="">
      <xdr:nvSpPr>
        <xdr:cNvPr id="6" name="Pijl: rechts 5">
          <a:extLst>
            <a:ext uri="{FF2B5EF4-FFF2-40B4-BE49-F238E27FC236}">
              <a16:creationId xmlns:a16="http://schemas.microsoft.com/office/drawing/2014/main" id="{C60181A4-AD8B-4B3D-8CC4-0D799878A019}"/>
            </a:ext>
          </a:extLst>
        </xdr:cNvPr>
        <xdr:cNvSpPr/>
      </xdr:nvSpPr>
      <xdr:spPr>
        <a:xfrm rot="1788474">
          <a:off x="15010280" y="14819778"/>
          <a:ext cx="308160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21</xdr:col>
      <xdr:colOff>414617</xdr:colOff>
      <xdr:row>91</xdr:row>
      <xdr:rowOff>67236</xdr:rowOff>
    </xdr:from>
    <xdr:to>
      <xdr:col>21</xdr:col>
      <xdr:colOff>711573</xdr:colOff>
      <xdr:row>98</xdr:row>
      <xdr:rowOff>78441</xdr:rowOff>
    </xdr:to>
    <xdr:sp macro="" textlink="">
      <xdr:nvSpPr>
        <xdr:cNvPr id="9" name="Pijl: rechts 8">
          <a:extLst>
            <a:ext uri="{FF2B5EF4-FFF2-40B4-BE49-F238E27FC236}">
              <a16:creationId xmlns:a16="http://schemas.microsoft.com/office/drawing/2014/main" id="{A474DFF2-4047-4A96-9F66-D69A4ACF2FF7}"/>
            </a:ext>
          </a:extLst>
        </xdr:cNvPr>
        <xdr:cNvSpPr/>
      </xdr:nvSpPr>
      <xdr:spPr>
        <a:xfrm rot="5400000">
          <a:off x="14957051" y="15769478"/>
          <a:ext cx="1109382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  <xdr:twoCellAnchor>
    <xdr:from>
      <xdr:col>22</xdr:col>
      <xdr:colOff>638734</xdr:colOff>
      <xdr:row>91</xdr:row>
      <xdr:rowOff>67236</xdr:rowOff>
    </xdr:from>
    <xdr:to>
      <xdr:col>22</xdr:col>
      <xdr:colOff>935690</xdr:colOff>
      <xdr:row>98</xdr:row>
      <xdr:rowOff>78441</xdr:rowOff>
    </xdr:to>
    <xdr:sp macro="" textlink="">
      <xdr:nvSpPr>
        <xdr:cNvPr id="10" name="Pijl: rechts 9">
          <a:extLst>
            <a:ext uri="{FF2B5EF4-FFF2-40B4-BE49-F238E27FC236}">
              <a16:creationId xmlns:a16="http://schemas.microsoft.com/office/drawing/2014/main" id="{E14A9A73-865E-4CC1-9D89-C7F2093F94F4}"/>
            </a:ext>
          </a:extLst>
        </xdr:cNvPr>
        <xdr:cNvSpPr/>
      </xdr:nvSpPr>
      <xdr:spPr>
        <a:xfrm rot="5400000">
          <a:off x="16637933" y="15769478"/>
          <a:ext cx="1109382" cy="296956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nl-NL" sz="1100"/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27"/>
  <sheetViews>
    <sheetView tabSelected="1" topLeftCell="A58" zoomScale="85" zoomScaleNormal="85" workbookViewId="0">
      <selection activeCell="T82" sqref="T82"/>
    </sheetView>
  </sheetViews>
  <sheetFormatPr defaultRowHeight="12.75" x14ac:dyDescent="0.2"/>
  <cols>
    <col min="1" max="1" width="9.140625" style="16"/>
    <col min="2" max="2" width="12.85546875" style="16" bestFit="1" customWidth="1"/>
    <col min="3" max="3" width="1.140625" style="16" customWidth="1"/>
    <col min="4" max="4" width="3.140625" style="16" customWidth="1"/>
    <col min="5" max="5" width="10.7109375" style="16" customWidth="1"/>
    <col min="6" max="6" width="11.28515625" style="16" customWidth="1"/>
    <col min="7" max="7" width="9.140625" style="16"/>
    <col min="8" max="8" width="47.7109375" style="16" customWidth="1"/>
    <col min="9" max="9" width="7.7109375" style="16" customWidth="1"/>
    <col min="10" max="10" width="10.140625" style="16" customWidth="1"/>
    <col min="11" max="11" width="3.140625" style="16" bestFit="1" customWidth="1"/>
    <col min="12" max="12" width="10.5703125" style="30" bestFit="1" customWidth="1"/>
    <col min="13" max="13" width="3.140625" style="16" customWidth="1"/>
    <col min="14" max="14" width="10.5703125" style="16" bestFit="1" customWidth="1"/>
    <col min="15" max="15" width="10.42578125" style="16" customWidth="1"/>
    <col min="16" max="16" width="9.42578125" style="16" customWidth="1"/>
    <col min="17" max="17" width="14.5703125" style="16" bestFit="1" customWidth="1"/>
    <col min="18" max="18" width="9.5703125" style="16" bestFit="1" customWidth="1"/>
    <col min="19" max="19" width="18.7109375" style="16" customWidth="1"/>
    <col min="20" max="22" width="10.85546875" style="16" customWidth="1"/>
    <col min="23" max="23" width="14.5703125" style="136" bestFit="1" customWidth="1"/>
    <col min="24" max="24" width="15.28515625" style="16" customWidth="1"/>
    <col min="25" max="25" width="3.85546875" style="16" customWidth="1"/>
    <col min="26" max="26" width="2.42578125" style="16" bestFit="1" customWidth="1"/>
    <col min="27" max="27" width="2.85546875" style="16" customWidth="1"/>
    <col min="28" max="28" width="9.42578125" style="16" customWidth="1"/>
    <col min="29" max="29" width="7.140625" style="16" bestFit="1" customWidth="1"/>
    <col min="30" max="30" width="10.5703125" style="16" bestFit="1" customWidth="1"/>
    <col min="31" max="31" width="8.5703125" style="16" bestFit="1" customWidth="1"/>
    <col min="32" max="32" width="9.5703125" style="16" bestFit="1" customWidth="1"/>
    <col min="33" max="34" width="9.42578125" style="16" customWidth="1"/>
    <col min="35" max="35" width="9.5703125" style="16" bestFit="1" customWidth="1"/>
    <col min="36" max="36" width="8.5703125" style="16" bestFit="1" customWidth="1"/>
    <col min="37" max="39" width="9.5703125" style="16" bestFit="1" customWidth="1"/>
    <col min="40" max="40" width="8.5703125" style="16" bestFit="1" customWidth="1"/>
    <col min="41" max="43" width="9.5703125" style="16" bestFit="1" customWidth="1"/>
    <col min="44" max="44" width="5.85546875" style="16" bestFit="1" customWidth="1"/>
    <col min="45" max="45" width="7.140625" style="16" bestFit="1" customWidth="1"/>
    <col min="46" max="60" width="5.85546875" style="16" bestFit="1" customWidth="1"/>
    <col min="61" max="16384" width="9.140625" style="16"/>
  </cols>
  <sheetData>
    <row r="1" spans="1:35" x14ac:dyDescent="0.2">
      <c r="S1" s="15"/>
      <c r="T1" s="15"/>
      <c r="U1" s="15"/>
      <c r="V1" s="15"/>
      <c r="W1" s="128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</row>
    <row r="2" spans="1:35" x14ac:dyDescent="0.2">
      <c r="B2" s="31" t="s">
        <v>76</v>
      </c>
      <c r="C2" s="31"/>
      <c r="E2" s="31" t="s">
        <v>77</v>
      </c>
      <c r="F2" s="31"/>
      <c r="G2" s="5"/>
      <c r="H2" s="5"/>
      <c r="I2" s="5"/>
      <c r="J2" s="5"/>
      <c r="K2" s="5"/>
      <c r="L2" s="32"/>
      <c r="M2" s="5"/>
      <c r="N2" s="5"/>
      <c r="O2" s="5"/>
      <c r="P2" s="5"/>
      <c r="Q2" s="5"/>
      <c r="R2" s="5"/>
      <c r="S2" s="10"/>
      <c r="T2" s="10"/>
      <c r="U2" s="10"/>
      <c r="V2" s="10"/>
      <c r="W2" s="129"/>
      <c r="X2" s="10"/>
      <c r="Y2" s="10"/>
      <c r="Z2" s="15"/>
      <c r="AA2" s="15"/>
      <c r="AB2" s="15"/>
      <c r="AC2" s="15"/>
      <c r="AD2" s="15"/>
      <c r="AE2" s="15"/>
      <c r="AF2" s="15"/>
      <c r="AG2" s="15"/>
      <c r="AH2" s="15"/>
      <c r="AI2" s="15"/>
    </row>
    <row r="3" spans="1:35" x14ac:dyDescent="0.2">
      <c r="B3" s="5"/>
      <c r="C3" s="5"/>
      <c r="D3" s="5"/>
      <c r="E3" s="5"/>
      <c r="F3" s="5"/>
      <c r="G3" s="5"/>
      <c r="H3" s="5"/>
      <c r="I3" s="5"/>
      <c r="J3" s="5"/>
      <c r="K3" s="5"/>
      <c r="L3" s="32"/>
      <c r="M3" s="5"/>
      <c r="N3" s="5"/>
      <c r="O3" s="5"/>
      <c r="P3" s="5"/>
      <c r="Q3" s="5"/>
      <c r="R3" s="5"/>
      <c r="S3" s="10"/>
      <c r="T3" s="10"/>
      <c r="U3" s="10"/>
      <c r="V3" s="10"/>
      <c r="W3" s="129"/>
      <c r="X3" s="10"/>
      <c r="Y3" s="10"/>
      <c r="Z3" s="15"/>
      <c r="AA3" s="15"/>
      <c r="AB3" s="15"/>
      <c r="AC3" s="15"/>
      <c r="AD3" s="15"/>
      <c r="AE3" s="15"/>
      <c r="AF3" s="15"/>
      <c r="AG3" s="15"/>
      <c r="AH3" s="15"/>
      <c r="AI3" s="15"/>
    </row>
    <row r="4" spans="1:35" x14ac:dyDescent="0.2">
      <c r="B4" s="5"/>
      <c r="C4" s="5"/>
      <c r="D4" s="5"/>
      <c r="E4" s="217"/>
      <c r="F4" s="217"/>
      <c r="G4" s="217"/>
      <c r="H4" s="217"/>
      <c r="I4" s="5"/>
      <c r="J4" s="5"/>
      <c r="K4" s="5"/>
      <c r="L4" s="32"/>
      <c r="M4" s="5"/>
      <c r="N4" s="5"/>
      <c r="O4" s="5"/>
      <c r="P4" s="5"/>
      <c r="Q4" s="5"/>
      <c r="R4" s="5"/>
      <c r="S4" s="10"/>
      <c r="T4" s="10"/>
      <c r="U4" s="10"/>
      <c r="V4" s="10"/>
      <c r="W4" s="129"/>
      <c r="X4" s="10"/>
      <c r="Y4" s="10"/>
      <c r="Z4" s="15"/>
      <c r="AA4" s="15"/>
      <c r="AB4" s="15"/>
      <c r="AC4" s="15"/>
      <c r="AD4" s="15"/>
      <c r="AE4" s="15"/>
      <c r="AF4" s="15"/>
      <c r="AG4" s="15"/>
      <c r="AH4" s="15"/>
      <c r="AI4" s="15"/>
    </row>
    <row r="5" spans="1:35" x14ac:dyDescent="0.2">
      <c r="A5" s="94"/>
      <c r="B5" s="15" t="s">
        <v>20</v>
      </c>
      <c r="C5" s="15"/>
      <c r="D5" s="15"/>
      <c r="E5" s="15"/>
      <c r="F5" s="15"/>
      <c r="G5" s="15"/>
      <c r="H5" s="15"/>
      <c r="I5" s="15"/>
      <c r="J5" s="15"/>
      <c r="K5" s="94"/>
      <c r="L5" s="153"/>
      <c r="M5" s="94"/>
      <c r="N5" s="94"/>
      <c r="O5" s="94"/>
      <c r="P5" s="94"/>
      <c r="Q5" s="94"/>
      <c r="R5" s="94"/>
      <c r="S5" s="3"/>
      <c r="T5" s="3"/>
      <c r="U5" s="3"/>
      <c r="V5" s="3"/>
      <c r="W5" s="134"/>
      <c r="X5" s="3"/>
      <c r="Y5" s="10"/>
      <c r="Z5" s="15"/>
    </row>
    <row r="6" spans="1:35" x14ac:dyDescent="0.2">
      <c r="A6" s="94"/>
      <c r="B6" s="15"/>
      <c r="C6" s="15"/>
      <c r="D6" s="15"/>
      <c r="E6" s="15"/>
      <c r="F6" s="15"/>
      <c r="G6" s="15"/>
      <c r="H6" s="15"/>
      <c r="I6" s="15"/>
      <c r="J6" s="15"/>
      <c r="K6" s="94"/>
      <c r="L6" s="153"/>
      <c r="M6" s="94"/>
      <c r="N6" s="94"/>
      <c r="O6" s="94"/>
      <c r="P6" s="94"/>
      <c r="Q6" s="94"/>
      <c r="R6" s="94"/>
      <c r="S6" s="3"/>
      <c r="T6" s="3"/>
      <c r="U6" s="3"/>
      <c r="V6" s="3"/>
      <c r="W6" s="134"/>
      <c r="X6" s="3"/>
      <c r="Z6" s="15"/>
    </row>
    <row r="7" spans="1:35" ht="12.75" customHeight="1" x14ac:dyDescent="0.2">
      <c r="A7" s="94"/>
      <c r="B7" s="219" t="s">
        <v>21</v>
      </c>
      <c r="C7" s="219"/>
      <c r="D7" s="219"/>
      <c r="E7" s="219"/>
      <c r="F7" s="219"/>
      <c r="G7" s="219"/>
      <c r="H7" s="219"/>
      <c r="I7" s="219"/>
      <c r="J7" s="219"/>
      <c r="K7" s="3"/>
      <c r="L7" s="68"/>
      <c r="M7" s="3"/>
      <c r="N7" s="3"/>
      <c r="O7" s="3"/>
      <c r="P7" s="3"/>
      <c r="Q7" s="3"/>
      <c r="R7" s="3"/>
      <c r="S7" s="154"/>
      <c r="T7" s="154"/>
      <c r="U7" s="154"/>
      <c r="V7" s="154"/>
      <c r="W7" s="154"/>
      <c r="X7" s="154"/>
      <c r="Z7" s="15"/>
    </row>
    <row r="8" spans="1:35" x14ac:dyDescent="0.2">
      <c r="A8" s="94"/>
      <c r="B8" s="219"/>
      <c r="C8" s="219"/>
      <c r="D8" s="219"/>
      <c r="E8" s="219"/>
      <c r="F8" s="219"/>
      <c r="G8" s="219"/>
      <c r="H8" s="219"/>
      <c r="I8" s="219"/>
      <c r="J8" s="219"/>
      <c r="K8" s="3"/>
      <c r="L8" s="68"/>
      <c r="M8" s="3"/>
      <c r="N8" s="3"/>
      <c r="O8" s="3"/>
      <c r="P8" s="3"/>
      <c r="Q8" s="155"/>
      <c r="R8" s="155"/>
      <c r="S8" s="154"/>
      <c r="T8" s="154"/>
      <c r="U8" s="154"/>
      <c r="V8" s="154"/>
      <c r="W8" s="154"/>
      <c r="X8" s="154"/>
      <c r="Z8" s="15"/>
    </row>
    <row r="9" spans="1:35" x14ac:dyDescent="0.2">
      <c r="A9" s="94"/>
      <c r="B9" s="220" t="s">
        <v>22</v>
      </c>
      <c r="C9" s="220"/>
      <c r="D9" s="220"/>
      <c r="E9" s="220"/>
      <c r="F9" s="220"/>
      <c r="G9" s="220"/>
      <c r="H9" s="220"/>
      <c r="I9" s="220"/>
      <c r="J9" s="220"/>
      <c r="K9" s="3"/>
      <c r="L9" s="68"/>
      <c r="M9" s="3"/>
      <c r="N9" s="3"/>
      <c r="O9" s="3"/>
      <c r="P9" s="3"/>
      <c r="Q9" s="155"/>
      <c r="R9" s="155"/>
      <c r="S9" s="154"/>
      <c r="T9" s="154"/>
      <c r="U9" s="154"/>
      <c r="V9" s="154"/>
      <c r="W9" s="154"/>
      <c r="X9" s="154"/>
      <c r="Z9" s="15"/>
    </row>
    <row r="10" spans="1:35" x14ac:dyDescent="0.2">
      <c r="A10" s="94"/>
      <c r="B10" s="220"/>
      <c r="C10" s="220"/>
      <c r="D10" s="220"/>
      <c r="E10" s="220"/>
      <c r="F10" s="220"/>
      <c r="G10" s="220"/>
      <c r="H10" s="220"/>
      <c r="I10" s="220"/>
      <c r="J10" s="220"/>
      <c r="K10" s="3"/>
      <c r="L10" s="68"/>
      <c r="M10" s="3"/>
      <c r="N10" s="3"/>
      <c r="O10" s="3"/>
      <c r="P10" s="3"/>
      <c r="Q10" s="155"/>
      <c r="R10" s="155"/>
      <c r="S10" s="154"/>
      <c r="T10" s="154"/>
      <c r="U10" s="154"/>
      <c r="V10" s="154"/>
      <c r="W10" s="154"/>
      <c r="X10" s="154"/>
      <c r="Z10" s="15"/>
    </row>
    <row r="11" spans="1:35" x14ac:dyDescent="0.2">
      <c r="A11" s="94"/>
      <c r="B11" s="152"/>
      <c r="C11" s="152"/>
      <c r="D11" s="152"/>
      <c r="E11" s="152"/>
      <c r="F11" s="152"/>
      <c r="G11" s="152"/>
      <c r="H11" s="152"/>
      <c r="I11" s="152"/>
      <c r="J11" s="152"/>
      <c r="K11" s="3"/>
      <c r="L11" s="68"/>
      <c r="M11" s="3"/>
      <c r="N11" s="3"/>
      <c r="O11" s="3"/>
      <c r="P11" s="3"/>
      <c r="Q11" s="155"/>
      <c r="R11" s="155"/>
      <c r="S11" s="154"/>
      <c r="T11" s="154"/>
      <c r="U11" s="154"/>
      <c r="V11" s="154"/>
      <c r="W11" s="154"/>
      <c r="X11" s="154"/>
      <c r="Z11" s="15"/>
    </row>
    <row r="12" spans="1:35" x14ac:dyDescent="0.2">
      <c r="A12" s="94"/>
      <c r="B12" s="222" t="s">
        <v>23</v>
      </c>
      <c r="C12" s="222"/>
      <c r="D12" s="222"/>
      <c r="E12" s="222"/>
      <c r="F12" s="222"/>
      <c r="G12" s="222"/>
      <c r="H12" s="222"/>
      <c r="I12" s="222"/>
      <c r="J12" s="222"/>
      <c r="K12" s="3"/>
      <c r="L12" s="68"/>
      <c r="M12" s="3"/>
      <c r="N12" s="3"/>
      <c r="O12" s="3"/>
      <c r="P12" s="3"/>
      <c r="Q12" s="155"/>
      <c r="R12" s="155"/>
      <c r="S12" s="154"/>
      <c r="T12" s="154"/>
      <c r="U12" s="154"/>
      <c r="V12" s="154"/>
      <c r="W12" s="154"/>
      <c r="X12" s="154"/>
      <c r="Z12" s="15"/>
    </row>
    <row r="13" spans="1:35" x14ac:dyDescent="0.2">
      <c r="A13" s="94"/>
      <c r="B13" s="222"/>
      <c r="C13" s="222"/>
      <c r="D13" s="222"/>
      <c r="E13" s="222"/>
      <c r="F13" s="222"/>
      <c r="G13" s="222"/>
      <c r="H13" s="222"/>
      <c r="I13" s="222"/>
      <c r="J13" s="222"/>
      <c r="K13" s="3"/>
      <c r="L13" s="68"/>
      <c r="M13" s="3"/>
      <c r="N13" s="3"/>
      <c r="O13" s="3"/>
      <c r="P13" s="3"/>
      <c r="Q13" s="155"/>
      <c r="R13" s="155"/>
      <c r="S13" s="155"/>
      <c r="T13" s="155"/>
      <c r="U13" s="155"/>
      <c r="V13" s="155"/>
      <c r="W13" s="156"/>
      <c r="X13" s="155"/>
      <c r="Z13" s="15"/>
    </row>
    <row r="14" spans="1:35" x14ac:dyDescent="0.2">
      <c r="A14" s="94"/>
      <c r="B14" s="94"/>
      <c r="C14" s="94"/>
      <c r="D14" s="94"/>
      <c r="E14" s="140"/>
      <c r="F14" s="140"/>
      <c r="G14" s="140"/>
      <c r="H14" s="140"/>
      <c r="I14" s="3"/>
      <c r="J14" s="3"/>
      <c r="K14" s="3"/>
      <c r="L14" s="68"/>
      <c r="M14" s="3"/>
      <c r="N14" s="157"/>
      <c r="O14" s="157"/>
      <c r="P14" s="157"/>
      <c r="Q14" s="157"/>
      <c r="R14" s="157"/>
      <c r="S14" s="157"/>
      <c r="T14" s="157"/>
      <c r="U14" s="3"/>
      <c r="V14" s="3"/>
      <c r="W14" s="134"/>
      <c r="X14" s="3"/>
      <c r="Z14" s="15"/>
      <c r="AA14" s="15"/>
      <c r="AB14" s="15"/>
      <c r="AC14" s="15"/>
      <c r="AD14" s="15"/>
      <c r="AE14" s="15"/>
      <c r="AF14" s="15"/>
      <c r="AG14" s="15"/>
      <c r="AH14" s="15"/>
      <c r="AI14" s="15"/>
    </row>
    <row r="15" spans="1:35" x14ac:dyDescent="0.2">
      <c r="A15" s="94"/>
      <c r="B15" s="94"/>
      <c r="C15" s="94"/>
      <c r="D15" s="94"/>
      <c r="E15" s="140"/>
      <c r="F15" s="140"/>
      <c r="G15" s="140"/>
      <c r="H15" s="140"/>
      <c r="I15" s="3"/>
      <c r="J15" s="3"/>
      <c r="K15" s="3"/>
      <c r="L15" s="68"/>
      <c r="M15" s="3"/>
      <c r="N15" s="3"/>
      <c r="O15" s="3"/>
      <c r="P15" s="3"/>
      <c r="Q15" s="3"/>
      <c r="R15" s="3"/>
      <c r="S15" s="3"/>
      <c r="T15" s="3"/>
      <c r="U15" s="3"/>
      <c r="V15" s="3"/>
      <c r="W15" s="134"/>
      <c r="X15" s="3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</row>
    <row r="16" spans="1:35" ht="13.5" thickBot="1" x14ac:dyDescent="0.25">
      <c r="B16" s="16" t="s">
        <v>1</v>
      </c>
      <c r="I16" s="15"/>
      <c r="J16" s="15"/>
      <c r="K16" s="15"/>
      <c r="L16" s="43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28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</row>
    <row r="17" spans="2:41" ht="53.25" customHeight="1" thickBot="1" x14ac:dyDescent="0.25">
      <c r="B17" s="44" t="s">
        <v>2</v>
      </c>
      <c r="C17" s="45"/>
      <c r="D17" s="45"/>
      <c r="E17" s="45" t="s">
        <v>19</v>
      </c>
      <c r="F17" s="45"/>
      <c r="G17" s="45"/>
      <c r="H17" s="45"/>
      <c r="I17" s="46" t="s">
        <v>18</v>
      </c>
      <c r="J17" s="45"/>
      <c r="K17" s="45"/>
      <c r="L17" s="47"/>
      <c r="M17" s="44"/>
      <c r="N17" s="45"/>
      <c r="O17" s="48" t="s">
        <v>40</v>
      </c>
      <c r="P17" s="48" t="s">
        <v>36</v>
      </c>
      <c r="Q17" s="48" t="s">
        <v>16</v>
      </c>
      <c r="R17" s="49" t="s">
        <v>17</v>
      </c>
      <c r="S17" s="48" t="s">
        <v>95</v>
      </c>
      <c r="T17" s="50" t="s">
        <v>14</v>
      </c>
      <c r="U17" s="48"/>
      <c r="V17" s="48" t="s">
        <v>72</v>
      </c>
      <c r="W17" s="132" t="s">
        <v>92</v>
      </c>
      <c r="X17" s="51" t="s">
        <v>15</v>
      </c>
      <c r="Y17" s="10"/>
      <c r="Z17" s="15"/>
      <c r="AA17" s="15"/>
      <c r="AB17" s="15" t="s">
        <v>109</v>
      </c>
      <c r="AC17" s="15"/>
      <c r="AD17" s="15"/>
      <c r="AE17" s="15"/>
      <c r="AF17" s="15"/>
      <c r="AG17" s="15"/>
      <c r="AH17" s="15"/>
      <c r="AI17" s="15"/>
    </row>
    <row r="18" spans="2:41" x14ac:dyDescent="0.2">
      <c r="B18" s="52"/>
      <c r="C18" s="53"/>
      <c r="D18" s="221"/>
      <c r="E18" s="221"/>
      <c r="F18" s="221"/>
      <c r="G18" s="221"/>
      <c r="H18" s="221"/>
      <c r="I18" s="54"/>
      <c r="J18" s="55"/>
      <c r="K18" s="55"/>
      <c r="L18" s="56"/>
      <c r="M18" s="57"/>
      <c r="N18" s="55"/>
      <c r="O18" s="55"/>
      <c r="P18" s="55"/>
      <c r="Q18" s="58"/>
      <c r="R18" s="143"/>
      <c r="S18" s="58"/>
      <c r="T18" s="59"/>
      <c r="U18" s="58"/>
      <c r="V18" s="58"/>
      <c r="W18" s="133"/>
      <c r="X18" s="60"/>
      <c r="Y18" s="3"/>
      <c r="Z18" s="19"/>
      <c r="AA18" s="19"/>
      <c r="AB18" s="19"/>
      <c r="AC18" s="19"/>
      <c r="AD18" s="19"/>
      <c r="AE18" s="19"/>
      <c r="AF18" s="19"/>
      <c r="AG18" s="19"/>
      <c r="AH18" s="19"/>
      <c r="AI18" s="19"/>
    </row>
    <row r="19" spans="2:41" ht="24" customHeight="1" x14ac:dyDescent="0.2">
      <c r="B19" s="114" t="s">
        <v>78</v>
      </c>
      <c r="D19" s="213" t="s">
        <v>79</v>
      </c>
      <c r="E19" s="213"/>
      <c r="F19" s="213"/>
      <c r="G19" s="213"/>
      <c r="H19" s="214"/>
      <c r="I19" s="13"/>
      <c r="J19" s="15"/>
      <c r="K19" s="15"/>
      <c r="L19" s="15"/>
      <c r="M19" s="37"/>
      <c r="N19" s="15"/>
      <c r="O19" s="15"/>
      <c r="P19" s="15"/>
      <c r="Q19" s="15"/>
      <c r="R19" s="144"/>
      <c r="S19" s="15"/>
      <c r="T19" s="13"/>
      <c r="U19" s="15"/>
      <c r="V19" s="15"/>
      <c r="W19" s="128"/>
      <c r="X19" s="18"/>
      <c r="Z19" s="15"/>
      <c r="AA19" s="15"/>
      <c r="AB19" s="15">
        <v>0</v>
      </c>
      <c r="AC19" s="115">
        <v>0.05</v>
      </c>
      <c r="AD19" s="115">
        <v>0.2</v>
      </c>
      <c r="AE19" s="115">
        <v>0.4</v>
      </c>
      <c r="AF19" s="115">
        <v>0.6</v>
      </c>
      <c r="AG19" s="115">
        <v>0.8</v>
      </c>
      <c r="AH19" s="115">
        <v>0.9</v>
      </c>
      <c r="AI19" s="109">
        <v>0.95</v>
      </c>
      <c r="AJ19" s="109">
        <v>1</v>
      </c>
      <c r="AK19" s="17"/>
      <c r="AL19" s="17"/>
      <c r="AO19" s="17"/>
    </row>
    <row r="20" spans="2:41" x14ac:dyDescent="0.2">
      <c r="B20" s="114"/>
      <c r="D20" s="151"/>
      <c r="E20" s="151"/>
      <c r="F20" s="151"/>
      <c r="G20" s="151"/>
      <c r="H20" s="151"/>
      <c r="I20" s="13"/>
      <c r="J20" s="15"/>
      <c r="K20" s="15"/>
      <c r="L20" s="15"/>
      <c r="M20" s="37"/>
      <c r="N20" s="15"/>
      <c r="O20" s="15"/>
      <c r="P20" s="15"/>
      <c r="Q20" s="15"/>
      <c r="R20" s="144"/>
      <c r="S20" s="15"/>
      <c r="T20" s="13"/>
      <c r="U20" s="15"/>
      <c r="V20" s="15"/>
      <c r="W20" s="128"/>
      <c r="X20" s="18"/>
      <c r="Z20" s="15"/>
      <c r="AA20" s="15"/>
      <c r="AB20" s="116">
        <f>+J21</f>
        <v>80</v>
      </c>
      <c r="AC20" s="117">
        <f t="shared" ref="AC20:AJ20" si="0">+$J$36+AB20</f>
        <v>82.5</v>
      </c>
      <c r="AD20" s="117">
        <f t="shared" si="0"/>
        <v>85</v>
      </c>
      <c r="AE20" s="117">
        <f t="shared" si="0"/>
        <v>87.5</v>
      </c>
      <c r="AF20" s="117">
        <f t="shared" si="0"/>
        <v>90</v>
      </c>
      <c r="AG20" s="117">
        <f t="shared" si="0"/>
        <v>92.5</v>
      </c>
      <c r="AH20" s="117">
        <f t="shared" si="0"/>
        <v>95</v>
      </c>
      <c r="AI20" s="117">
        <f t="shared" si="0"/>
        <v>97.5</v>
      </c>
      <c r="AJ20" s="117">
        <f t="shared" si="0"/>
        <v>100</v>
      </c>
      <c r="AK20" s="17"/>
      <c r="AL20" s="17"/>
      <c r="AO20" s="17"/>
    </row>
    <row r="21" spans="2:41" x14ac:dyDescent="0.2">
      <c r="B21" s="4"/>
      <c r="E21" s="16" t="s">
        <v>62</v>
      </c>
      <c r="I21" s="13" t="s">
        <v>35</v>
      </c>
      <c r="J21" s="118">
        <v>80</v>
      </c>
      <c r="K21" s="15" t="s">
        <v>63</v>
      </c>
      <c r="L21" s="119">
        <v>100</v>
      </c>
      <c r="M21" s="37"/>
      <c r="N21" s="96"/>
      <c r="O21" s="15">
        <f>IF(OR(N21="",0),0,N21)</f>
        <v>0</v>
      </c>
      <c r="P21" s="119">
        <v>0</v>
      </c>
      <c r="Q21" s="119">
        <v>60</v>
      </c>
      <c r="R21" s="144">
        <f>+AL21</f>
        <v>0</v>
      </c>
      <c r="S21" s="28">
        <v>2000</v>
      </c>
      <c r="T21" s="97">
        <v>1</v>
      </c>
      <c r="U21" s="15">
        <f>IF(O21=0,1,T21)</f>
        <v>1</v>
      </c>
      <c r="V21" s="15">
        <f>+U21*R21</f>
        <v>0</v>
      </c>
      <c r="W21" s="128">
        <f>+V21/3000*1400000</f>
        <v>0</v>
      </c>
      <c r="X21" s="14">
        <f>IF(O21=0,0,+U21*S21)</f>
        <v>0</v>
      </c>
      <c r="Z21" s="15"/>
      <c r="AA21" s="15"/>
      <c r="AB21" s="15">
        <f t="shared" ref="AB21:AJ21" si="1">IF($O21=AB$34,AB$33*$Q21,0)</f>
        <v>0</v>
      </c>
      <c r="AC21" s="15">
        <f t="shared" si="1"/>
        <v>0</v>
      </c>
      <c r="AD21" s="15">
        <f t="shared" si="1"/>
        <v>0</v>
      </c>
      <c r="AE21" s="15">
        <f t="shared" si="1"/>
        <v>0</v>
      </c>
      <c r="AF21" s="15">
        <f t="shared" si="1"/>
        <v>0</v>
      </c>
      <c r="AG21" s="15">
        <f t="shared" si="1"/>
        <v>0</v>
      </c>
      <c r="AH21" s="15">
        <f t="shared" si="1"/>
        <v>0</v>
      </c>
      <c r="AI21" s="15">
        <f t="shared" si="1"/>
        <v>0</v>
      </c>
      <c r="AJ21" s="15">
        <f t="shared" si="1"/>
        <v>0</v>
      </c>
      <c r="AK21" s="17"/>
      <c r="AL21" s="17">
        <f>SUM(AB21:AJ21)</f>
        <v>0</v>
      </c>
      <c r="AO21" s="17"/>
    </row>
    <row r="22" spans="2:41" x14ac:dyDescent="0.2">
      <c r="B22" s="4"/>
      <c r="I22" s="13" t="s">
        <v>25</v>
      </c>
      <c r="J22" s="120">
        <v>2.5</v>
      </c>
      <c r="K22" s="15"/>
      <c r="L22" s="119"/>
      <c r="M22" s="37"/>
      <c r="N22" s="15"/>
      <c r="O22" s="15"/>
      <c r="P22" s="15"/>
      <c r="Q22" s="15"/>
      <c r="R22" s="144"/>
      <c r="S22" s="15"/>
      <c r="T22" s="13"/>
      <c r="U22" s="15"/>
      <c r="V22" s="15"/>
      <c r="W22" s="128"/>
      <c r="X22" s="18"/>
      <c r="Z22" s="15"/>
      <c r="AA22" s="15"/>
      <c r="AK22" s="17"/>
      <c r="AL22" s="17"/>
      <c r="AO22" s="17"/>
    </row>
    <row r="23" spans="2:41" x14ac:dyDescent="0.2">
      <c r="B23" s="4"/>
      <c r="I23" s="13"/>
      <c r="J23" s="118"/>
      <c r="K23" s="15"/>
      <c r="L23" s="119"/>
      <c r="M23" s="37"/>
      <c r="N23" s="15"/>
      <c r="O23" s="15"/>
      <c r="P23" s="15"/>
      <c r="Q23" s="15"/>
      <c r="R23" s="144"/>
      <c r="S23" s="15"/>
      <c r="T23" s="13"/>
      <c r="U23" s="15"/>
      <c r="V23" s="15"/>
      <c r="W23" s="128"/>
      <c r="X23" s="18"/>
      <c r="Z23" s="15"/>
      <c r="AA23" s="15"/>
      <c r="AB23" s="116">
        <f>+J24</f>
        <v>80</v>
      </c>
      <c r="AC23" s="117">
        <f t="shared" ref="AC23:AJ23" si="2">+$J$36+AB23</f>
        <v>82.5</v>
      </c>
      <c r="AD23" s="117">
        <f t="shared" si="2"/>
        <v>85</v>
      </c>
      <c r="AE23" s="117">
        <f t="shared" si="2"/>
        <v>87.5</v>
      </c>
      <c r="AF23" s="117">
        <f t="shared" si="2"/>
        <v>90</v>
      </c>
      <c r="AG23" s="117">
        <f t="shared" si="2"/>
        <v>92.5</v>
      </c>
      <c r="AH23" s="117">
        <f t="shared" si="2"/>
        <v>95</v>
      </c>
      <c r="AI23" s="117">
        <f t="shared" si="2"/>
        <v>97.5</v>
      </c>
      <c r="AJ23" s="117">
        <f t="shared" si="2"/>
        <v>100</v>
      </c>
      <c r="AK23" s="17"/>
      <c r="AL23" s="17"/>
      <c r="AO23" s="17"/>
    </row>
    <row r="24" spans="2:41" x14ac:dyDescent="0.2">
      <c r="B24" s="4"/>
      <c r="E24" s="16" t="s">
        <v>64</v>
      </c>
      <c r="I24" s="13" t="s">
        <v>35</v>
      </c>
      <c r="J24" s="118">
        <v>80</v>
      </c>
      <c r="K24" s="15" t="s">
        <v>63</v>
      </c>
      <c r="L24" s="119">
        <v>100</v>
      </c>
      <c r="M24" s="37"/>
      <c r="N24" s="96"/>
      <c r="O24" s="15">
        <f>IF(OR(N24="",0),0,N24)</f>
        <v>0</v>
      </c>
      <c r="P24" s="119">
        <v>0</v>
      </c>
      <c r="Q24" s="119">
        <v>60</v>
      </c>
      <c r="R24" s="144">
        <f>+AL24</f>
        <v>0</v>
      </c>
      <c r="S24" s="28">
        <v>2000</v>
      </c>
      <c r="T24" s="97">
        <v>1</v>
      </c>
      <c r="U24" s="15">
        <f>IF(O24=0,1,T24)</f>
        <v>1</v>
      </c>
      <c r="V24" s="15">
        <f>+U24*R24</f>
        <v>0</v>
      </c>
      <c r="W24" s="128">
        <f>+V24/3000*1400000</f>
        <v>0</v>
      </c>
      <c r="X24" s="14">
        <f>IF(O24=0,0,+U24*S24)</f>
        <v>0</v>
      </c>
      <c r="Z24" s="15"/>
      <c r="AA24" s="15"/>
      <c r="AB24" s="15">
        <f t="shared" ref="AB24:AJ24" si="3">IF($O24=AB$34,AB$33*$Q24,0)</f>
        <v>0</v>
      </c>
      <c r="AC24" s="15">
        <f t="shared" si="3"/>
        <v>0</v>
      </c>
      <c r="AD24" s="15">
        <f t="shared" si="3"/>
        <v>0</v>
      </c>
      <c r="AE24" s="15">
        <f t="shared" si="3"/>
        <v>0</v>
      </c>
      <c r="AF24" s="15">
        <f t="shared" si="3"/>
        <v>0</v>
      </c>
      <c r="AG24" s="15">
        <f t="shared" si="3"/>
        <v>0</v>
      </c>
      <c r="AH24" s="15">
        <f t="shared" si="3"/>
        <v>0</v>
      </c>
      <c r="AI24" s="15">
        <f t="shared" si="3"/>
        <v>0</v>
      </c>
      <c r="AJ24" s="15">
        <f t="shared" si="3"/>
        <v>0</v>
      </c>
      <c r="AK24" s="17"/>
      <c r="AL24" s="17">
        <f>SUM(AB24:AJ24)</f>
        <v>0</v>
      </c>
      <c r="AO24" s="17"/>
    </row>
    <row r="25" spans="2:41" x14ac:dyDescent="0.2">
      <c r="B25" s="4"/>
      <c r="I25" s="13" t="s">
        <v>25</v>
      </c>
      <c r="J25" s="120">
        <v>2.5</v>
      </c>
      <c r="K25" s="15"/>
      <c r="L25" s="119"/>
      <c r="M25" s="37"/>
      <c r="N25" s="15"/>
      <c r="O25" s="15"/>
      <c r="P25" s="15"/>
      <c r="Q25" s="15"/>
      <c r="R25" s="144"/>
      <c r="S25" s="15"/>
      <c r="T25" s="13"/>
      <c r="U25" s="15"/>
      <c r="V25" s="15"/>
      <c r="W25" s="128"/>
      <c r="X25" s="18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7"/>
      <c r="AL25" s="17"/>
      <c r="AO25" s="17"/>
    </row>
    <row r="26" spans="2:41" x14ac:dyDescent="0.2">
      <c r="B26" s="4"/>
      <c r="I26" s="13"/>
      <c r="J26" s="120"/>
      <c r="K26" s="15"/>
      <c r="L26" s="119"/>
      <c r="M26" s="37"/>
      <c r="N26" s="15"/>
      <c r="O26" s="15"/>
      <c r="P26" s="15"/>
      <c r="Q26" s="15"/>
      <c r="R26" s="144"/>
      <c r="S26" s="15"/>
      <c r="T26" s="13"/>
      <c r="U26" s="15"/>
      <c r="V26" s="15"/>
      <c r="W26" s="128"/>
      <c r="X26" s="18"/>
      <c r="Z26" s="15"/>
      <c r="AA26" s="15"/>
      <c r="AB26" s="16">
        <v>0</v>
      </c>
      <c r="AC26" s="16">
        <v>1</v>
      </c>
      <c r="AD26" s="16">
        <v>2</v>
      </c>
      <c r="AE26" s="16">
        <v>3</v>
      </c>
      <c r="AF26" s="16">
        <v>4</v>
      </c>
      <c r="AG26" s="16">
        <v>5</v>
      </c>
      <c r="AI26" s="17"/>
      <c r="AJ26" s="17"/>
      <c r="AK26" s="17"/>
      <c r="AL26" s="17"/>
      <c r="AO26" s="17"/>
    </row>
    <row r="27" spans="2:41" x14ac:dyDescent="0.2">
      <c r="B27" s="4"/>
      <c r="E27" s="16" t="s">
        <v>90</v>
      </c>
      <c r="I27" s="13" t="s">
        <v>80</v>
      </c>
      <c r="J27" s="118">
        <v>0</v>
      </c>
      <c r="K27" s="15" t="s">
        <v>63</v>
      </c>
      <c r="L27" s="119">
        <v>5</v>
      </c>
      <c r="M27" s="37"/>
      <c r="N27" s="96"/>
      <c r="O27" s="15">
        <f>IF(+N27="",5,N27)</f>
        <v>5</v>
      </c>
      <c r="P27" s="15">
        <v>0</v>
      </c>
      <c r="Q27" s="15">
        <v>60</v>
      </c>
      <c r="R27" s="144">
        <f>+AL27</f>
        <v>0</v>
      </c>
      <c r="S27" s="28">
        <v>2000</v>
      </c>
      <c r="T27" s="97">
        <v>1</v>
      </c>
      <c r="U27" s="15">
        <f>IF(O27=5,1,T27)</f>
        <v>1</v>
      </c>
      <c r="V27" s="15">
        <f>+U27*R27</f>
        <v>0</v>
      </c>
      <c r="W27" s="128">
        <f>+V27/3000*1400000</f>
        <v>0</v>
      </c>
      <c r="X27" s="14">
        <f>IF(O27=5,0,+U27*S27)</f>
        <v>0</v>
      </c>
      <c r="Z27" s="15"/>
      <c r="AA27" s="15"/>
      <c r="AB27" s="15">
        <f t="shared" ref="AB27:AG27" si="4">IF($O$27=AB26,(+AB28^2/$AB$28^2)*$Q$27,0)</f>
        <v>0</v>
      </c>
      <c r="AC27" s="15">
        <f t="shared" si="4"/>
        <v>0</v>
      </c>
      <c r="AD27" s="15">
        <f t="shared" si="4"/>
        <v>0</v>
      </c>
      <c r="AE27" s="15">
        <f t="shared" si="4"/>
        <v>0</v>
      </c>
      <c r="AF27" s="15">
        <f t="shared" si="4"/>
        <v>0</v>
      </c>
      <c r="AG27" s="15">
        <f t="shared" si="4"/>
        <v>0</v>
      </c>
      <c r="AI27" s="17"/>
      <c r="AJ27" s="17"/>
      <c r="AK27" s="17"/>
      <c r="AL27" s="17">
        <f>SUM(AB27:AG27)</f>
        <v>0</v>
      </c>
      <c r="AO27" s="17"/>
    </row>
    <row r="28" spans="2:41" x14ac:dyDescent="0.2">
      <c r="B28" s="4"/>
      <c r="I28" s="13">
        <v>1</v>
      </c>
      <c r="J28" s="120"/>
      <c r="K28" s="15"/>
      <c r="L28" s="119"/>
      <c r="M28" s="37"/>
      <c r="N28" s="15"/>
      <c r="O28" s="15"/>
      <c r="P28" s="15"/>
      <c r="Q28" s="15"/>
      <c r="R28" s="144"/>
      <c r="S28" s="15"/>
      <c r="T28" s="13"/>
      <c r="U28" s="15"/>
      <c r="V28" s="15"/>
      <c r="W28" s="128"/>
      <c r="X28" s="18"/>
      <c r="Z28" s="15"/>
      <c r="AA28" s="15"/>
      <c r="AB28" s="15">
        <v>5</v>
      </c>
      <c r="AC28" s="15">
        <v>4</v>
      </c>
      <c r="AD28" s="15">
        <v>3</v>
      </c>
      <c r="AE28" s="15">
        <v>2</v>
      </c>
      <c r="AF28" s="15">
        <v>1</v>
      </c>
      <c r="AG28" s="15">
        <v>0</v>
      </c>
      <c r="AI28" s="17"/>
      <c r="AJ28" s="17"/>
      <c r="AK28" s="17"/>
      <c r="AL28" s="17"/>
      <c r="AO28" s="17"/>
    </row>
    <row r="29" spans="2:41" x14ac:dyDescent="0.2">
      <c r="B29" s="4"/>
      <c r="I29" s="13"/>
      <c r="J29" s="118"/>
      <c r="K29" s="15"/>
      <c r="L29" s="119"/>
      <c r="M29" s="37"/>
      <c r="N29" s="15"/>
      <c r="O29" s="15"/>
      <c r="P29" s="15"/>
      <c r="Q29" s="15"/>
      <c r="R29" s="144"/>
      <c r="S29" s="15"/>
      <c r="T29" s="13"/>
      <c r="U29" s="15"/>
      <c r="V29" s="15"/>
      <c r="W29" s="128"/>
      <c r="X29" s="18"/>
      <c r="Z29" s="15"/>
      <c r="AA29" s="15"/>
      <c r="AI29" s="17"/>
      <c r="AJ29" s="17"/>
      <c r="AK29" s="17"/>
      <c r="AL29" s="17"/>
      <c r="AO29" s="17"/>
    </row>
    <row r="30" spans="2:41" x14ac:dyDescent="0.2">
      <c r="B30" s="4"/>
      <c r="C30" s="5"/>
      <c r="D30" s="61"/>
      <c r="E30" s="64"/>
      <c r="F30" s="61"/>
      <c r="G30" s="61"/>
      <c r="H30" s="61"/>
      <c r="I30" s="13"/>
      <c r="J30" s="65"/>
      <c r="K30" s="10"/>
      <c r="L30" s="26"/>
      <c r="M30" s="63"/>
      <c r="N30" s="5"/>
      <c r="O30" s="5"/>
      <c r="P30" s="9"/>
      <c r="Q30" s="11"/>
      <c r="R30" s="144"/>
      <c r="S30" s="12"/>
      <c r="T30" s="8"/>
      <c r="U30" s="10"/>
      <c r="V30" s="10"/>
      <c r="W30" s="129"/>
      <c r="X30" s="14"/>
      <c r="Y30" s="5"/>
      <c r="Z30" s="15"/>
      <c r="AA30" s="62"/>
      <c r="AB30" s="62"/>
      <c r="AC30" s="62"/>
      <c r="AD30" s="62"/>
      <c r="AE30" s="62"/>
      <c r="AF30" s="62"/>
      <c r="AG30" s="62"/>
      <c r="AH30" s="62"/>
      <c r="AI30" s="17"/>
      <c r="AJ30" s="17"/>
      <c r="AK30" s="17"/>
      <c r="AL30" s="17"/>
      <c r="AO30" s="17"/>
    </row>
    <row r="31" spans="2:41" x14ac:dyDescent="0.2">
      <c r="B31" s="4"/>
      <c r="C31" s="5"/>
      <c r="D31" s="61"/>
      <c r="E31" s="64"/>
      <c r="F31" s="61"/>
      <c r="G31" s="61"/>
      <c r="H31" s="61"/>
      <c r="I31" s="13"/>
      <c r="J31" s="65"/>
      <c r="K31" s="10"/>
      <c r="L31" s="26"/>
      <c r="M31" s="63"/>
      <c r="N31" s="5"/>
      <c r="O31" s="5"/>
      <c r="P31" s="9"/>
      <c r="Q31" s="11"/>
      <c r="R31" s="144"/>
      <c r="S31" s="12"/>
      <c r="T31" s="8"/>
      <c r="U31" s="10"/>
      <c r="V31" s="10"/>
      <c r="W31" s="129"/>
      <c r="X31" s="14"/>
      <c r="Y31" s="5"/>
      <c r="Z31" s="15"/>
      <c r="AA31" s="62"/>
      <c r="AB31" s="62"/>
      <c r="AC31" s="62"/>
      <c r="AD31" s="62"/>
      <c r="AE31" s="62"/>
      <c r="AF31" s="62"/>
      <c r="AG31" s="62"/>
      <c r="AH31" s="62"/>
      <c r="AI31" s="17"/>
      <c r="AJ31" s="17"/>
      <c r="AK31" s="17"/>
      <c r="AL31" s="17"/>
      <c r="AO31" s="17"/>
    </row>
    <row r="32" spans="2:41" x14ac:dyDescent="0.2">
      <c r="B32" s="95" t="s">
        <v>60</v>
      </c>
      <c r="C32" s="5"/>
      <c r="D32" s="61"/>
      <c r="E32" s="64"/>
      <c r="F32" s="61"/>
      <c r="G32" s="61"/>
      <c r="H32" s="61"/>
      <c r="I32" s="13"/>
      <c r="J32" s="65"/>
      <c r="K32" s="10"/>
      <c r="L32" s="26"/>
      <c r="M32" s="63"/>
      <c r="N32" s="5"/>
      <c r="O32" s="5"/>
      <c r="P32" s="9"/>
      <c r="Q32" s="11"/>
      <c r="R32" s="144"/>
      <c r="S32" s="12"/>
      <c r="T32" s="8"/>
      <c r="U32" s="10"/>
      <c r="V32" s="10"/>
      <c r="W32" s="129"/>
      <c r="X32" s="14"/>
      <c r="Y32" s="5"/>
      <c r="Z32" s="15"/>
      <c r="AA32" s="62"/>
      <c r="AB32" s="62"/>
      <c r="AC32" s="62"/>
      <c r="AD32" s="62"/>
      <c r="AE32" s="62"/>
      <c r="AF32" s="62"/>
      <c r="AG32" s="62"/>
      <c r="AH32" s="62"/>
      <c r="AI32" s="17"/>
      <c r="AJ32" s="17"/>
      <c r="AK32" s="17"/>
      <c r="AL32" s="17"/>
      <c r="AO32" s="17"/>
    </row>
    <row r="33" spans="2:43" ht="25.5" x14ac:dyDescent="0.2">
      <c r="B33" s="114" t="s">
        <v>61</v>
      </c>
      <c r="D33" s="213" t="s">
        <v>94</v>
      </c>
      <c r="E33" s="213"/>
      <c r="F33" s="213"/>
      <c r="G33" s="213"/>
      <c r="H33" s="214"/>
      <c r="I33" s="13"/>
      <c r="J33" s="15"/>
      <c r="K33" s="15"/>
      <c r="L33" s="15"/>
      <c r="M33" s="37"/>
      <c r="N33" s="15"/>
      <c r="O33" s="15"/>
      <c r="P33" s="15"/>
      <c r="Q33" s="15"/>
      <c r="R33" s="144"/>
      <c r="S33" s="15"/>
      <c r="T33" s="13"/>
      <c r="U33" s="15"/>
      <c r="V33" s="15"/>
      <c r="W33" s="128"/>
      <c r="X33" s="18"/>
      <c r="Z33" s="15"/>
      <c r="AA33" s="15"/>
      <c r="AB33" s="15">
        <v>0</v>
      </c>
      <c r="AC33" s="115">
        <v>0.05</v>
      </c>
      <c r="AD33" s="115">
        <v>0.2</v>
      </c>
      <c r="AE33" s="115">
        <v>0.4</v>
      </c>
      <c r="AF33" s="115">
        <v>0.6</v>
      </c>
      <c r="AG33" s="115">
        <v>0.8</v>
      </c>
      <c r="AH33" s="115">
        <v>0.9</v>
      </c>
      <c r="AI33" s="109">
        <v>0.95</v>
      </c>
      <c r="AJ33" s="109">
        <v>1</v>
      </c>
      <c r="AK33" s="17"/>
      <c r="AL33" s="17"/>
      <c r="AO33" s="17"/>
    </row>
    <row r="34" spans="2:43" x14ac:dyDescent="0.2">
      <c r="B34" s="114"/>
      <c r="D34" s="151"/>
      <c r="E34" s="151"/>
      <c r="F34" s="151"/>
      <c r="G34" s="151"/>
      <c r="H34" s="151"/>
      <c r="I34" s="13"/>
      <c r="J34" s="15"/>
      <c r="K34" s="15"/>
      <c r="L34" s="15"/>
      <c r="M34" s="37"/>
      <c r="N34" s="15"/>
      <c r="O34" s="15"/>
      <c r="P34" s="15"/>
      <c r="Q34" s="15"/>
      <c r="R34" s="144"/>
      <c r="S34" s="15"/>
      <c r="T34" s="13"/>
      <c r="U34" s="15"/>
      <c r="V34" s="15"/>
      <c r="W34" s="128"/>
      <c r="X34" s="18"/>
      <c r="Z34" s="15"/>
      <c r="AA34" s="15"/>
      <c r="AB34" s="116">
        <f>+J35</f>
        <v>80</v>
      </c>
      <c r="AC34" s="117">
        <f>+$J$36+AB34</f>
        <v>82.5</v>
      </c>
      <c r="AD34" s="117">
        <f t="shared" ref="AD34:AJ34" si="5">+$J$36+AC34</f>
        <v>85</v>
      </c>
      <c r="AE34" s="117">
        <f t="shared" si="5"/>
        <v>87.5</v>
      </c>
      <c r="AF34" s="117">
        <f t="shared" si="5"/>
        <v>90</v>
      </c>
      <c r="AG34" s="117">
        <f t="shared" si="5"/>
        <v>92.5</v>
      </c>
      <c r="AH34" s="117">
        <f t="shared" si="5"/>
        <v>95</v>
      </c>
      <c r="AI34" s="117">
        <f t="shared" si="5"/>
        <v>97.5</v>
      </c>
      <c r="AJ34" s="117">
        <f t="shared" si="5"/>
        <v>100</v>
      </c>
      <c r="AK34" s="17"/>
      <c r="AL34" s="17"/>
      <c r="AO34" s="17"/>
    </row>
    <row r="35" spans="2:43" x14ac:dyDescent="0.2">
      <c r="B35" s="4"/>
      <c r="E35" s="16" t="s">
        <v>62</v>
      </c>
      <c r="I35" s="13" t="s">
        <v>35</v>
      </c>
      <c r="J35" s="118">
        <v>80</v>
      </c>
      <c r="K35" s="15" t="s">
        <v>63</v>
      </c>
      <c r="L35" s="119">
        <v>100</v>
      </c>
      <c r="M35" s="37"/>
      <c r="N35" s="96"/>
      <c r="O35" s="15">
        <f>IF(OR(N35="",0),0,N35)</f>
        <v>0</v>
      </c>
      <c r="P35" s="119">
        <v>0</v>
      </c>
      <c r="Q35" s="119">
        <v>60</v>
      </c>
      <c r="R35" s="144">
        <f>+AL35</f>
        <v>0</v>
      </c>
      <c r="S35" s="28">
        <v>2000</v>
      </c>
      <c r="T35" s="97">
        <v>1</v>
      </c>
      <c r="U35" s="15">
        <f>IF(O35=0,1,T35)</f>
        <v>1</v>
      </c>
      <c r="V35" s="161">
        <f>+U35*R35</f>
        <v>0</v>
      </c>
      <c r="W35" s="128">
        <f>+V35/3000*1400000</f>
        <v>0</v>
      </c>
      <c r="X35" s="14">
        <f>IF(O35=0,0,+U35*S35)</f>
        <v>0</v>
      </c>
      <c r="Z35" s="15"/>
      <c r="AA35" s="15"/>
      <c r="AB35" s="15">
        <f t="shared" ref="AB35:AJ35" si="6">IF($O35=AB$34,AB$33*$Q35,0)</f>
        <v>0</v>
      </c>
      <c r="AC35" s="15">
        <f t="shared" si="6"/>
        <v>0</v>
      </c>
      <c r="AD35" s="15">
        <f t="shared" si="6"/>
        <v>0</v>
      </c>
      <c r="AE35" s="15">
        <f t="shared" si="6"/>
        <v>0</v>
      </c>
      <c r="AF35" s="15">
        <f t="shared" si="6"/>
        <v>0</v>
      </c>
      <c r="AG35" s="15">
        <f t="shared" si="6"/>
        <v>0</v>
      </c>
      <c r="AH35" s="15">
        <f t="shared" si="6"/>
        <v>0</v>
      </c>
      <c r="AI35" s="15">
        <f t="shared" si="6"/>
        <v>0</v>
      </c>
      <c r="AJ35" s="15">
        <f t="shared" si="6"/>
        <v>0</v>
      </c>
      <c r="AK35" s="17"/>
      <c r="AL35" s="17">
        <f>SUM(AB35:AJ35)</f>
        <v>0</v>
      </c>
      <c r="AO35" s="17"/>
    </row>
    <row r="36" spans="2:43" x14ac:dyDescent="0.2">
      <c r="B36" s="4"/>
      <c r="I36" s="13" t="s">
        <v>25</v>
      </c>
      <c r="J36" s="120">
        <v>2.5</v>
      </c>
      <c r="K36" s="15"/>
      <c r="L36" s="119"/>
      <c r="M36" s="37"/>
      <c r="N36" s="15"/>
      <c r="O36" s="15"/>
      <c r="P36" s="15"/>
      <c r="Q36" s="15"/>
      <c r="R36" s="144"/>
      <c r="S36" s="15"/>
      <c r="T36" s="13"/>
      <c r="U36" s="15"/>
      <c r="V36" s="161"/>
      <c r="W36" s="128"/>
      <c r="X36" s="18"/>
      <c r="Z36" s="15"/>
      <c r="AA36" s="15"/>
      <c r="AK36" s="17"/>
      <c r="AL36" s="17"/>
      <c r="AO36" s="17"/>
    </row>
    <row r="37" spans="2:43" x14ac:dyDescent="0.2">
      <c r="B37" s="4"/>
      <c r="I37" s="13"/>
      <c r="J37" s="118"/>
      <c r="K37" s="15"/>
      <c r="L37" s="119"/>
      <c r="M37" s="37"/>
      <c r="N37" s="15"/>
      <c r="O37" s="15"/>
      <c r="P37" s="15"/>
      <c r="Q37" s="15"/>
      <c r="R37" s="144"/>
      <c r="S37" s="15"/>
      <c r="T37" s="13"/>
      <c r="U37" s="15"/>
      <c r="V37" s="161"/>
      <c r="W37" s="128"/>
      <c r="X37" s="18"/>
      <c r="Z37" s="15"/>
      <c r="AA37" s="15"/>
      <c r="AB37" s="15"/>
      <c r="AC37" s="15"/>
      <c r="AD37" s="15"/>
      <c r="AE37" s="15"/>
      <c r="AF37" s="15"/>
      <c r="AG37" s="15"/>
      <c r="AI37" s="17"/>
      <c r="AJ37" s="17"/>
      <c r="AK37" s="17"/>
      <c r="AL37" s="17"/>
      <c r="AO37" s="17"/>
    </row>
    <row r="38" spans="2:43" x14ac:dyDescent="0.2">
      <c r="B38" s="4"/>
      <c r="E38" s="16" t="s">
        <v>64</v>
      </c>
      <c r="I38" s="13" t="s">
        <v>35</v>
      </c>
      <c r="J38" s="118">
        <v>80</v>
      </c>
      <c r="K38" s="15" t="s">
        <v>63</v>
      </c>
      <c r="L38" s="119">
        <v>100</v>
      </c>
      <c r="M38" s="37"/>
      <c r="N38" s="96"/>
      <c r="O38" s="15">
        <f>IF(OR(N38="",0),0,N38)</f>
        <v>0</v>
      </c>
      <c r="P38" s="119">
        <v>0</v>
      </c>
      <c r="Q38" s="119">
        <v>60</v>
      </c>
      <c r="R38" s="144">
        <f>+AL38</f>
        <v>0</v>
      </c>
      <c r="S38" s="28">
        <v>2000</v>
      </c>
      <c r="T38" s="97">
        <v>1</v>
      </c>
      <c r="U38" s="15">
        <f>IF(O38=0,1,T38)</f>
        <v>1</v>
      </c>
      <c r="V38" s="161">
        <f>+U38*R38</f>
        <v>0</v>
      </c>
      <c r="W38" s="128">
        <f>+V38/3000*1400000</f>
        <v>0</v>
      </c>
      <c r="X38" s="14">
        <f>IF(O38=0,0,+U38*S38)</f>
        <v>0</v>
      </c>
      <c r="Z38" s="15"/>
      <c r="AA38" s="15"/>
      <c r="AB38" s="15">
        <f t="shared" ref="AB38:AJ38" si="7">IF($O38=AB$34,AB$33*$Q38,0)</f>
        <v>0</v>
      </c>
      <c r="AC38" s="15">
        <f t="shared" si="7"/>
        <v>0</v>
      </c>
      <c r="AD38" s="15">
        <f t="shared" si="7"/>
        <v>0</v>
      </c>
      <c r="AE38" s="15">
        <f t="shared" si="7"/>
        <v>0</v>
      </c>
      <c r="AF38" s="15">
        <f t="shared" si="7"/>
        <v>0</v>
      </c>
      <c r="AG38" s="15">
        <f t="shared" si="7"/>
        <v>0</v>
      </c>
      <c r="AH38" s="15">
        <f t="shared" si="7"/>
        <v>0</v>
      </c>
      <c r="AI38" s="15">
        <f t="shared" si="7"/>
        <v>0</v>
      </c>
      <c r="AJ38" s="15">
        <f t="shared" si="7"/>
        <v>0</v>
      </c>
      <c r="AK38" s="17"/>
      <c r="AL38" s="17">
        <f>SUM(AB38:AJ38)</f>
        <v>0</v>
      </c>
      <c r="AO38" s="17"/>
    </row>
    <row r="39" spans="2:43" x14ac:dyDescent="0.2">
      <c r="B39" s="4"/>
      <c r="I39" s="13" t="s">
        <v>25</v>
      </c>
      <c r="J39" s="120">
        <v>2.5</v>
      </c>
      <c r="K39" s="15"/>
      <c r="L39" s="119"/>
      <c r="M39" s="37"/>
      <c r="N39" s="15"/>
      <c r="O39" s="15"/>
      <c r="P39" s="15"/>
      <c r="Q39" s="15"/>
      <c r="R39" s="144"/>
      <c r="S39" s="15"/>
      <c r="T39" s="13"/>
      <c r="U39" s="15"/>
      <c r="V39" s="161"/>
      <c r="W39" s="128"/>
      <c r="X39" s="18"/>
      <c r="Z39" s="15"/>
      <c r="AA39" s="15"/>
      <c r="AB39" s="15"/>
      <c r="AC39" s="15"/>
      <c r="AD39" s="15"/>
      <c r="AE39" s="15"/>
      <c r="AF39" s="15"/>
      <c r="AG39" s="15"/>
      <c r="AI39" s="17"/>
      <c r="AJ39" s="17"/>
      <c r="AK39" s="17"/>
      <c r="AL39" s="17"/>
      <c r="AO39" s="17"/>
    </row>
    <row r="40" spans="2:43" x14ac:dyDescent="0.2">
      <c r="B40" s="4"/>
      <c r="I40" s="13"/>
      <c r="J40" s="118"/>
      <c r="K40" s="15"/>
      <c r="L40" s="119"/>
      <c r="M40" s="37"/>
      <c r="N40" s="15"/>
      <c r="O40" s="15"/>
      <c r="P40" s="15"/>
      <c r="Q40" s="15"/>
      <c r="R40" s="144"/>
      <c r="S40" s="15"/>
      <c r="T40" s="13"/>
      <c r="U40" s="15"/>
      <c r="V40" s="161"/>
      <c r="W40" s="128"/>
      <c r="X40" s="18"/>
      <c r="Z40" s="15"/>
      <c r="AA40" s="15"/>
      <c r="AB40" s="15"/>
      <c r="AC40" s="15"/>
      <c r="AD40" s="15"/>
      <c r="AE40" s="15"/>
      <c r="AF40" s="15"/>
      <c r="AG40" s="15"/>
      <c r="AI40" s="17"/>
      <c r="AJ40" s="17"/>
      <c r="AK40" s="17"/>
      <c r="AL40" s="17"/>
      <c r="AO40" s="17"/>
    </row>
    <row r="41" spans="2:43" x14ac:dyDescent="0.2">
      <c r="B41" s="4"/>
      <c r="I41" s="13"/>
      <c r="J41" s="118"/>
      <c r="K41" s="15"/>
      <c r="L41" s="119"/>
      <c r="M41" s="37"/>
      <c r="N41" s="15"/>
      <c r="O41" s="15"/>
      <c r="P41" s="15"/>
      <c r="Q41" s="15"/>
      <c r="R41" s="144"/>
      <c r="S41" s="15"/>
      <c r="T41" s="13"/>
      <c r="U41" s="15"/>
      <c r="V41" s="161"/>
      <c r="W41" s="128"/>
      <c r="X41" s="18"/>
      <c r="Z41" s="15"/>
      <c r="AA41" s="15"/>
      <c r="AB41" s="15"/>
      <c r="AC41" s="15"/>
      <c r="AD41" s="15"/>
      <c r="AE41" s="15"/>
      <c r="AF41" s="15"/>
      <c r="AG41" s="15"/>
      <c r="AI41" s="17"/>
      <c r="AJ41" s="17"/>
      <c r="AK41" s="17"/>
      <c r="AL41" s="17"/>
      <c r="AO41" s="17"/>
    </row>
    <row r="42" spans="2:43" x14ac:dyDescent="0.2">
      <c r="B42" s="4"/>
      <c r="E42" s="16" t="s">
        <v>65</v>
      </c>
      <c r="I42" s="13" t="s">
        <v>35</v>
      </c>
      <c r="J42" s="118">
        <v>80</v>
      </c>
      <c r="K42" s="15" t="s">
        <v>63</v>
      </c>
      <c r="L42" s="119">
        <v>100</v>
      </c>
      <c r="M42" s="37"/>
      <c r="N42" s="96"/>
      <c r="O42" s="15">
        <f>IF(OR(N42="",0),0,N42)</f>
        <v>0</v>
      </c>
      <c r="P42" s="15">
        <f t="shared" ref="P42" si="8">IF($O42=P$34,P$33*$Q42,0)</f>
        <v>0</v>
      </c>
      <c r="Q42" s="15">
        <v>60</v>
      </c>
      <c r="R42" s="144">
        <f>+AL42</f>
        <v>0</v>
      </c>
      <c r="S42" s="28">
        <v>2000</v>
      </c>
      <c r="T42" s="97">
        <v>1</v>
      </c>
      <c r="U42" s="15">
        <f>IF(O42=0,1,T42)</f>
        <v>1</v>
      </c>
      <c r="V42" s="161">
        <f>+U42*R42</f>
        <v>0</v>
      </c>
      <c r="W42" s="128">
        <f>+V42/3000*1400000</f>
        <v>0</v>
      </c>
      <c r="X42" s="14">
        <f>IF(O42=0,0,+U42*S42)</f>
        <v>0</v>
      </c>
      <c r="Z42" s="15"/>
      <c r="AA42" s="15"/>
      <c r="AB42" s="15">
        <f t="shared" ref="AB42:AJ42" si="9">IF($O42=AB$34,AB$33*$Q42,0)</f>
        <v>0</v>
      </c>
      <c r="AC42" s="15">
        <f t="shared" si="9"/>
        <v>0</v>
      </c>
      <c r="AD42" s="15">
        <f t="shared" si="9"/>
        <v>0</v>
      </c>
      <c r="AE42" s="15">
        <f t="shared" si="9"/>
        <v>0</v>
      </c>
      <c r="AF42" s="15">
        <f t="shared" si="9"/>
        <v>0</v>
      </c>
      <c r="AG42" s="15">
        <f t="shared" si="9"/>
        <v>0</v>
      </c>
      <c r="AH42" s="15">
        <f t="shared" si="9"/>
        <v>0</v>
      </c>
      <c r="AI42" s="15">
        <f t="shared" si="9"/>
        <v>0</v>
      </c>
      <c r="AJ42" s="15">
        <f t="shared" si="9"/>
        <v>0</v>
      </c>
      <c r="AK42" s="17"/>
      <c r="AL42" s="17">
        <f>SUM(AB42:AJ42)</f>
        <v>0</v>
      </c>
      <c r="AO42" s="17"/>
    </row>
    <row r="43" spans="2:43" x14ac:dyDescent="0.2">
      <c r="B43" s="4"/>
      <c r="I43" s="13" t="s">
        <v>25</v>
      </c>
      <c r="J43" s="120">
        <v>2.5</v>
      </c>
      <c r="K43" s="15"/>
      <c r="L43" s="119"/>
      <c r="M43" s="37"/>
      <c r="N43" s="15"/>
      <c r="O43" s="15"/>
      <c r="P43" s="15"/>
      <c r="Q43" s="15"/>
      <c r="R43" s="144"/>
      <c r="S43" s="15"/>
      <c r="T43" s="13"/>
      <c r="U43" s="15"/>
      <c r="V43" s="161"/>
      <c r="W43" s="128"/>
      <c r="X43" s="18"/>
      <c r="Z43" s="15"/>
      <c r="AA43" s="15"/>
      <c r="AB43" s="15"/>
      <c r="AC43" s="15"/>
      <c r="AM43" s="17"/>
      <c r="AN43" s="17"/>
      <c r="AO43" s="17"/>
    </row>
    <row r="44" spans="2:43" s="62" customFormat="1" x14ac:dyDescent="0.2">
      <c r="B44" s="98"/>
      <c r="C44" s="94"/>
      <c r="D44" s="99"/>
      <c r="E44" s="100"/>
      <c r="F44" s="99"/>
      <c r="G44" s="99"/>
      <c r="H44" s="99"/>
      <c r="I44" s="8"/>
      <c r="J44" s="101"/>
      <c r="K44" s="3"/>
      <c r="L44" s="102"/>
      <c r="M44" s="103"/>
      <c r="N44" s="94"/>
      <c r="O44" s="94"/>
      <c r="P44" s="11"/>
      <c r="Q44" s="11"/>
      <c r="R44" s="145"/>
      <c r="S44" s="12"/>
      <c r="T44" s="8"/>
      <c r="U44" s="3"/>
      <c r="V44" s="162"/>
      <c r="W44" s="134"/>
      <c r="X44" s="25"/>
      <c r="Y44" s="94"/>
      <c r="Z44" s="19"/>
      <c r="AA44" s="19"/>
      <c r="AB44" s="104"/>
      <c r="AC44" s="19"/>
      <c r="AD44" s="105"/>
      <c r="AE44" s="106"/>
      <c r="AF44" s="106"/>
      <c r="AG44" s="106"/>
      <c r="AH44" s="106"/>
      <c r="AI44" s="19"/>
      <c r="AK44" s="107"/>
      <c r="AL44" s="107"/>
      <c r="AM44" s="107"/>
      <c r="AN44" s="107"/>
      <c r="AO44" s="107"/>
    </row>
    <row r="45" spans="2:43" s="62" customFormat="1" x14ac:dyDescent="0.2">
      <c r="B45" s="98"/>
      <c r="C45" s="94"/>
      <c r="D45" s="99"/>
      <c r="E45" s="100"/>
      <c r="F45" s="99"/>
      <c r="G45" s="99"/>
      <c r="H45" s="99"/>
      <c r="I45" s="8"/>
      <c r="J45" s="101"/>
      <c r="K45" s="3"/>
      <c r="L45" s="102"/>
      <c r="M45" s="103"/>
      <c r="N45" s="94"/>
      <c r="O45" s="94"/>
      <c r="P45" s="11"/>
      <c r="Q45" s="11"/>
      <c r="R45" s="145"/>
      <c r="S45" s="12"/>
      <c r="T45" s="8"/>
      <c r="U45" s="3"/>
      <c r="V45" s="162"/>
      <c r="W45" s="134"/>
      <c r="X45" s="25"/>
      <c r="Y45" s="94"/>
      <c r="Z45" s="19"/>
      <c r="AA45" s="19"/>
      <c r="AB45" s="104"/>
      <c r="AC45" s="19"/>
      <c r="AD45" s="105"/>
      <c r="AE45" s="106"/>
      <c r="AF45" s="106"/>
      <c r="AG45" s="106"/>
      <c r="AH45" s="106"/>
      <c r="AI45" s="19"/>
      <c r="AK45" s="107"/>
      <c r="AL45" s="107"/>
      <c r="AM45" s="107"/>
      <c r="AN45" s="107"/>
      <c r="AO45" s="107"/>
    </row>
    <row r="46" spans="2:43" s="62" customFormat="1" x14ac:dyDescent="0.2">
      <c r="B46" s="98"/>
      <c r="C46" s="94"/>
      <c r="D46" s="99"/>
      <c r="E46" s="100"/>
      <c r="F46" s="99"/>
      <c r="G46" s="99"/>
      <c r="H46" s="99"/>
      <c r="I46" s="8"/>
      <c r="J46" s="101"/>
      <c r="K46" s="3"/>
      <c r="L46" s="102"/>
      <c r="M46" s="103"/>
      <c r="N46" s="94"/>
      <c r="O46" s="94"/>
      <c r="P46" s="11"/>
      <c r="Q46" s="11"/>
      <c r="R46" s="145"/>
      <c r="S46" s="12"/>
      <c r="T46" s="8"/>
      <c r="U46" s="3"/>
      <c r="V46" s="162"/>
      <c r="W46" s="134"/>
      <c r="X46" s="25"/>
      <c r="Y46" s="94"/>
      <c r="Z46" s="19"/>
      <c r="AA46" s="19"/>
      <c r="AB46" s="104"/>
      <c r="AC46" s="19"/>
      <c r="AD46" s="105"/>
      <c r="AE46" s="106"/>
      <c r="AF46" s="106"/>
      <c r="AG46" s="106"/>
      <c r="AH46" s="106"/>
      <c r="AI46" s="19"/>
      <c r="AK46" s="107"/>
      <c r="AL46" s="107"/>
      <c r="AM46" s="107"/>
      <c r="AN46" s="107"/>
      <c r="AO46" s="107"/>
    </row>
    <row r="47" spans="2:43" x14ac:dyDescent="0.2">
      <c r="B47" s="4"/>
      <c r="I47" s="13"/>
      <c r="J47" s="118"/>
      <c r="K47" s="15"/>
      <c r="L47" s="119"/>
      <c r="M47" s="37"/>
      <c r="N47" s="15"/>
      <c r="O47" s="15"/>
      <c r="P47" s="15"/>
      <c r="Q47" s="15"/>
      <c r="R47" s="144"/>
      <c r="S47" s="15"/>
      <c r="T47" s="13"/>
      <c r="U47" s="15"/>
      <c r="V47" s="161"/>
      <c r="W47" s="128"/>
      <c r="X47" s="18"/>
      <c r="Z47" s="15"/>
      <c r="AA47" s="15"/>
      <c r="AB47" s="15"/>
      <c r="AC47" s="15"/>
    </row>
    <row r="48" spans="2:43" x14ac:dyDescent="0.2">
      <c r="B48" s="4"/>
      <c r="I48" s="13"/>
      <c r="J48" s="15"/>
      <c r="K48" s="15"/>
      <c r="L48" s="15"/>
      <c r="M48" s="37"/>
      <c r="N48" s="15"/>
      <c r="O48" s="15"/>
      <c r="P48" s="15"/>
      <c r="Q48" s="15"/>
      <c r="R48" s="144"/>
      <c r="S48" s="15"/>
      <c r="T48" s="13"/>
      <c r="U48" s="15"/>
      <c r="V48" s="161"/>
      <c r="W48" s="128"/>
      <c r="X48" s="18"/>
      <c r="Z48" s="15"/>
      <c r="AA48" s="15"/>
      <c r="AB48" s="15"/>
      <c r="AC48" s="15"/>
      <c r="AD48" s="127">
        <f>+Invulwaarden!J21</f>
        <v>45653</v>
      </c>
      <c r="AE48" s="127">
        <f>+AD48+7</f>
        <v>45660</v>
      </c>
      <c r="AF48" s="127">
        <f t="shared" ref="AF48:AQ48" si="10">+AE48+7</f>
        <v>45667</v>
      </c>
      <c r="AG48" s="127">
        <f t="shared" si="10"/>
        <v>45674</v>
      </c>
      <c r="AH48" s="127">
        <f t="shared" si="10"/>
        <v>45681</v>
      </c>
      <c r="AI48" s="127">
        <f t="shared" si="10"/>
        <v>45688</v>
      </c>
      <c r="AJ48" s="127">
        <f t="shared" si="10"/>
        <v>45695</v>
      </c>
      <c r="AK48" s="127">
        <f t="shared" si="10"/>
        <v>45702</v>
      </c>
      <c r="AL48" s="127">
        <f t="shared" si="10"/>
        <v>45709</v>
      </c>
      <c r="AM48" s="127">
        <f t="shared" si="10"/>
        <v>45716</v>
      </c>
      <c r="AN48" s="127">
        <f t="shared" si="10"/>
        <v>45723</v>
      </c>
      <c r="AO48" s="127">
        <f t="shared" si="10"/>
        <v>45730</v>
      </c>
      <c r="AP48" s="127">
        <f t="shared" si="10"/>
        <v>45737</v>
      </c>
      <c r="AQ48" s="127">
        <f t="shared" si="10"/>
        <v>45744</v>
      </c>
    </row>
    <row r="49" spans="2:47" x14ac:dyDescent="0.2">
      <c r="B49" s="69" t="s">
        <v>66</v>
      </c>
      <c r="C49" s="62"/>
      <c r="D49" s="62" t="s">
        <v>81</v>
      </c>
      <c r="E49" s="121"/>
      <c r="F49" s="62"/>
      <c r="G49" s="62"/>
      <c r="H49" s="62"/>
      <c r="I49" s="8" t="s">
        <v>67</v>
      </c>
      <c r="J49" s="126">
        <v>45744</v>
      </c>
      <c r="K49" s="19"/>
      <c r="L49" s="126">
        <v>45653</v>
      </c>
      <c r="M49" s="63" t="s">
        <v>74</v>
      </c>
      <c r="N49" s="113"/>
      <c r="O49" s="127">
        <f>+N49</f>
        <v>0</v>
      </c>
      <c r="P49" s="119">
        <v>0</v>
      </c>
      <c r="Q49" s="119">
        <v>270</v>
      </c>
      <c r="R49" s="144">
        <f>+AS49</f>
        <v>0</v>
      </c>
      <c r="S49" s="28">
        <f>+AS52</f>
        <v>0</v>
      </c>
      <c r="T49" s="97">
        <v>1</v>
      </c>
      <c r="U49" s="15">
        <f>IF(O49=0,1,T49)</f>
        <v>1</v>
      </c>
      <c r="V49" s="161">
        <f>+U49*R49</f>
        <v>0</v>
      </c>
      <c r="W49" s="128">
        <f>+V49/3000*1400000</f>
        <v>0</v>
      </c>
      <c r="X49" s="14">
        <f>IF(O49=0,0,+U49*S49)</f>
        <v>0</v>
      </c>
      <c r="Z49" s="15"/>
      <c r="AA49" s="15"/>
      <c r="AB49" s="15"/>
      <c r="AC49" s="15"/>
      <c r="AD49" s="15">
        <f>IF(AD48=$O$49,TRUNC(+$Q$49*AD50/100),0)</f>
        <v>0</v>
      </c>
      <c r="AE49" s="15">
        <f>IF(AE48=$O$49,TRUNC(+$Q$49*AE50/100),0)</f>
        <v>0</v>
      </c>
      <c r="AF49" s="15">
        <f t="shared" ref="AF49:AQ49" si="11">IF(AF48=$O$49,TRUNC(+$Q$49*AF50/100),0)</f>
        <v>0</v>
      </c>
      <c r="AG49" s="15">
        <f t="shared" si="11"/>
        <v>0</v>
      </c>
      <c r="AH49" s="15">
        <f t="shared" si="11"/>
        <v>0</v>
      </c>
      <c r="AI49" s="15">
        <f t="shared" si="11"/>
        <v>0</v>
      </c>
      <c r="AJ49" s="15">
        <f t="shared" si="11"/>
        <v>0</v>
      </c>
      <c r="AK49" s="15">
        <f>IF(AK48=$O$49,TRUNC(+$Q$49*AK50/100),0)</f>
        <v>0</v>
      </c>
      <c r="AL49" s="15">
        <f t="shared" si="11"/>
        <v>0</v>
      </c>
      <c r="AM49" s="15">
        <f t="shared" si="11"/>
        <v>0</v>
      </c>
      <c r="AN49" s="15">
        <f t="shared" si="11"/>
        <v>0</v>
      </c>
      <c r="AO49" s="15">
        <f t="shared" si="11"/>
        <v>0</v>
      </c>
      <c r="AP49" s="15">
        <f t="shared" si="11"/>
        <v>0</v>
      </c>
      <c r="AQ49" s="15">
        <f t="shared" si="11"/>
        <v>0</v>
      </c>
      <c r="AS49" s="16">
        <f>SUM(AD49:AQ49)</f>
        <v>0</v>
      </c>
    </row>
    <row r="50" spans="2:47" x14ac:dyDescent="0.2">
      <c r="B50" s="69"/>
      <c r="C50" s="62"/>
      <c r="D50" s="62"/>
      <c r="E50" s="121"/>
      <c r="F50" s="62"/>
      <c r="G50" s="62"/>
      <c r="H50" s="62"/>
      <c r="I50" s="8" t="s">
        <v>84</v>
      </c>
      <c r="J50" s="122">
        <v>7</v>
      </c>
      <c r="K50" s="19"/>
      <c r="L50" s="105"/>
      <c r="M50" s="63"/>
      <c r="P50" s="119"/>
      <c r="Q50" s="119"/>
      <c r="R50" s="144"/>
      <c r="S50" s="123"/>
      <c r="U50" s="15"/>
      <c r="V50" s="161"/>
      <c r="W50" s="128"/>
      <c r="X50" s="14"/>
      <c r="Z50" s="15"/>
      <c r="AA50" s="15"/>
      <c r="AB50" s="15"/>
      <c r="AC50" s="15">
        <v>100</v>
      </c>
      <c r="AD50" s="15">
        <v>100</v>
      </c>
      <c r="AE50" s="158">
        <f>+AE51*$AD$50/$AD$51</f>
        <v>86.224489795918373</v>
      </c>
      <c r="AF50" s="158">
        <f t="shared" ref="AF50:AP50" si="12">+AF51*$AD$50/$AD$51</f>
        <v>73.469387755102048</v>
      </c>
      <c r="AG50" s="158">
        <f t="shared" si="12"/>
        <v>61.734693877551024</v>
      </c>
      <c r="AH50" s="158">
        <f t="shared" si="12"/>
        <v>51.020408163265309</v>
      </c>
      <c r="AI50" s="158">
        <f t="shared" si="12"/>
        <v>41.326530612244895</v>
      </c>
      <c r="AJ50" s="158">
        <f t="shared" si="12"/>
        <v>32.653061224489797</v>
      </c>
      <c r="AK50" s="158">
        <f t="shared" si="12"/>
        <v>25</v>
      </c>
      <c r="AL50" s="158">
        <f t="shared" si="12"/>
        <v>18.367346938775512</v>
      </c>
      <c r="AM50" s="158">
        <f t="shared" si="12"/>
        <v>12.755102040816327</v>
      </c>
      <c r="AN50" s="158">
        <f t="shared" si="12"/>
        <v>8.1632653061224492</v>
      </c>
      <c r="AO50" s="158">
        <f t="shared" si="12"/>
        <v>4.591836734693878</v>
      </c>
      <c r="AP50" s="158">
        <f t="shared" si="12"/>
        <v>2.0408163265306123</v>
      </c>
      <c r="AQ50" s="159">
        <v>0</v>
      </c>
    </row>
    <row r="51" spans="2:47" x14ac:dyDescent="0.2">
      <c r="B51" s="37"/>
      <c r="E51" s="208"/>
      <c r="F51" s="208"/>
      <c r="G51" s="208"/>
      <c r="H51" s="208"/>
      <c r="I51" s="13"/>
      <c r="J51" s="66"/>
      <c r="K51" s="124"/>
      <c r="L51" s="15"/>
      <c r="M51" s="37"/>
      <c r="N51" s="15"/>
      <c r="P51" s="15"/>
      <c r="Q51" s="119"/>
      <c r="R51" s="144"/>
      <c r="S51" s="123"/>
      <c r="U51" s="15"/>
      <c r="V51" s="161"/>
      <c r="W51" s="128"/>
      <c r="X51" s="14"/>
      <c r="Z51" s="15"/>
      <c r="AA51" s="15"/>
      <c r="AB51" s="15"/>
      <c r="AC51" s="15"/>
      <c r="AD51" s="16">
        <f>14^2</f>
        <v>196</v>
      </c>
      <c r="AE51" s="15">
        <f>13^2</f>
        <v>169</v>
      </c>
      <c r="AF51" s="15">
        <f>12^2</f>
        <v>144</v>
      </c>
      <c r="AG51" s="15">
        <v>121</v>
      </c>
      <c r="AH51" s="15">
        <v>100</v>
      </c>
      <c r="AI51" s="15">
        <v>81</v>
      </c>
      <c r="AJ51" s="15">
        <v>64</v>
      </c>
      <c r="AK51" s="15">
        <v>49</v>
      </c>
      <c r="AL51" s="15">
        <v>36</v>
      </c>
      <c r="AM51" s="15">
        <v>25</v>
      </c>
      <c r="AN51" s="15">
        <v>16</v>
      </c>
      <c r="AO51" s="15">
        <v>9</v>
      </c>
      <c r="AP51" s="15">
        <v>4</v>
      </c>
      <c r="AQ51" s="15">
        <v>0</v>
      </c>
    </row>
    <row r="52" spans="2:47" x14ac:dyDescent="0.2">
      <c r="B52" s="4"/>
      <c r="C52" s="5"/>
      <c r="D52" s="61"/>
      <c r="E52" s="64"/>
      <c r="F52" s="61"/>
      <c r="G52" s="61"/>
      <c r="H52" s="61"/>
      <c r="I52" s="13"/>
      <c r="J52" s="65"/>
      <c r="K52" s="10"/>
      <c r="L52" s="26"/>
      <c r="M52" s="63"/>
      <c r="N52" s="5"/>
      <c r="O52" s="5"/>
      <c r="P52" s="9"/>
      <c r="Q52" s="11"/>
      <c r="R52" s="144"/>
      <c r="S52" s="12"/>
      <c r="T52" s="8"/>
      <c r="U52" s="10"/>
      <c r="V52" s="146"/>
      <c r="W52" s="129"/>
      <c r="X52" s="14"/>
      <c r="Y52" s="5"/>
      <c r="Z52" s="15"/>
      <c r="AA52" s="19"/>
      <c r="AB52" s="104"/>
      <c r="AC52" s="16">
        <v>189000</v>
      </c>
      <c r="AD52" s="138">
        <f t="shared" ref="AD52:AQ52" si="13">IF(AD48=$O$49,+$AC$52*AD50/$AC$50,0)</f>
        <v>0</v>
      </c>
      <c r="AE52" s="138">
        <f t="shared" si="13"/>
        <v>0</v>
      </c>
      <c r="AF52" s="138">
        <f t="shared" si="13"/>
        <v>0</v>
      </c>
      <c r="AG52" s="138">
        <f t="shared" si="13"/>
        <v>0</v>
      </c>
      <c r="AH52" s="138">
        <f t="shared" si="13"/>
        <v>0</v>
      </c>
      <c r="AI52" s="138">
        <f t="shared" si="13"/>
        <v>0</v>
      </c>
      <c r="AJ52" s="138">
        <f t="shared" si="13"/>
        <v>0</v>
      </c>
      <c r="AK52" s="138">
        <f t="shared" si="13"/>
        <v>0</v>
      </c>
      <c r="AL52" s="138">
        <f t="shared" si="13"/>
        <v>0</v>
      </c>
      <c r="AM52" s="138">
        <f t="shared" si="13"/>
        <v>0</v>
      </c>
      <c r="AN52" s="138">
        <f t="shared" si="13"/>
        <v>0</v>
      </c>
      <c r="AO52" s="138">
        <f t="shared" si="13"/>
        <v>0</v>
      </c>
      <c r="AP52" s="138">
        <f t="shared" si="13"/>
        <v>0</v>
      </c>
      <c r="AQ52" s="138">
        <f t="shared" si="13"/>
        <v>0</v>
      </c>
      <c r="AS52" s="16">
        <f>SUM(AD52:AQ52)</f>
        <v>0</v>
      </c>
    </row>
    <row r="53" spans="2:47" x14ac:dyDescent="0.2">
      <c r="C53" s="5"/>
      <c r="D53" s="61"/>
      <c r="E53" s="217"/>
      <c r="F53" s="217"/>
      <c r="G53" s="217"/>
      <c r="H53" s="217"/>
      <c r="I53" s="8"/>
      <c r="J53" s="66"/>
      <c r="K53" s="67"/>
      <c r="L53" s="68"/>
      <c r="M53" s="69"/>
      <c r="N53" s="3"/>
      <c r="O53" s="5"/>
      <c r="P53" s="3"/>
      <c r="Q53" s="11"/>
      <c r="R53" s="145"/>
      <c r="S53" s="12"/>
      <c r="T53" s="8"/>
      <c r="U53" s="10"/>
      <c r="V53" s="146"/>
      <c r="W53" s="129"/>
      <c r="X53" s="25"/>
      <c r="Y53" s="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62"/>
      <c r="AK53" s="62"/>
      <c r="AL53" s="62"/>
    </row>
    <row r="54" spans="2:47" x14ac:dyDescent="0.2">
      <c r="B54" s="4" t="s">
        <v>33</v>
      </c>
      <c r="C54" s="5"/>
      <c r="D54" s="5"/>
      <c r="E54" s="70"/>
      <c r="F54" s="7"/>
      <c r="G54" s="7"/>
      <c r="H54" s="7"/>
      <c r="I54" s="13"/>
      <c r="J54" s="9"/>
      <c r="K54" s="10"/>
      <c r="L54" s="26"/>
      <c r="M54" s="37"/>
      <c r="N54" s="3"/>
      <c r="O54" s="5"/>
      <c r="P54" s="10"/>
      <c r="Q54" s="11"/>
      <c r="R54" s="144"/>
      <c r="S54" s="28"/>
      <c r="T54" s="12"/>
      <c r="U54" s="10"/>
      <c r="V54" s="146"/>
      <c r="W54" s="129"/>
      <c r="X54" s="14"/>
      <c r="Y54" s="5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K54" s="17"/>
      <c r="AL54" s="17"/>
      <c r="AM54" s="17"/>
      <c r="AN54" s="17"/>
      <c r="AO54" s="17"/>
    </row>
    <row r="55" spans="2:47" x14ac:dyDescent="0.2">
      <c r="B55" s="4"/>
      <c r="C55" s="5"/>
      <c r="D55" s="5" t="s">
        <v>30</v>
      </c>
      <c r="E55" s="6"/>
      <c r="F55" s="7"/>
      <c r="G55" s="7"/>
      <c r="H55" s="7"/>
      <c r="I55" s="13"/>
      <c r="J55" s="9"/>
      <c r="K55" s="10"/>
      <c r="L55" s="26"/>
      <c r="M55" s="37"/>
      <c r="N55" s="3"/>
      <c r="O55" s="5"/>
      <c r="P55" s="10"/>
      <c r="Q55" s="11"/>
      <c r="R55" s="144"/>
      <c r="S55" s="28"/>
      <c r="T55" s="12"/>
      <c r="U55" s="10"/>
      <c r="V55" s="146"/>
      <c r="W55" s="129"/>
      <c r="X55" s="14"/>
      <c r="Y55" s="5"/>
      <c r="Z55" s="15"/>
      <c r="AA55" s="19"/>
      <c r="AB55" s="19"/>
      <c r="AC55" s="19"/>
      <c r="AD55" s="19"/>
      <c r="AE55" s="19"/>
      <c r="AF55" s="19"/>
      <c r="AG55" s="19"/>
      <c r="AH55" s="19"/>
      <c r="AI55" s="19"/>
      <c r="AK55" s="17"/>
      <c r="AL55" s="17"/>
      <c r="AM55" s="17"/>
      <c r="AN55" s="17"/>
      <c r="AO55" s="17"/>
    </row>
    <row r="56" spans="2:47" x14ac:dyDescent="0.2">
      <c r="B56" s="4"/>
      <c r="C56" s="5"/>
      <c r="D56" s="5"/>
      <c r="E56" s="6"/>
      <c r="F56" s="7"/>
      <c r="G56" s="7"/>
      <c r="H56" s="7"/>
      <c r="I56" s="13"/>
      <c r="J56" s="9"/>
      <c r="K56" s="10"/>
      <c r="L56" s="26"/>
      <c r="M56" s="37"/>
      <c r="N56" s="3"/>
      <c r="O56" s="5"/>
      <c r="P56" s="10"/>
      <c r="Q56" s="11"/>
      <c r="R56" s="144"/>
      <c r="S56" s="28"/>
      <c r="T56" s="12"/>
      <c r="U56" s="10"/>
      <c r="V56" s="146"/>
      <c r="W56" s="129"/>
      <c r="X56" s="14"/>
      <c r="Y56" s="5"/>
      <c r="Z56" s="15"/>
      <c r="AA56" s="19"/>
      <c r="AB56" s="19"/>
      <c r="AC56" s="19"/>
      <c r="AD56" s="19"/>
      <c r="AE56" s="19"/>
      <c r="AF56" s="19"/>
      <c r="AG56" s="19"/>
      <c r="AH56" s="19"/>
      <c r="AI56" s="19"/>
      <c r="AK56" s="17"/>
      <c r="AL56" s="17"/>
      <c r="AM56" s="17"/>
      <c r="AN56" s="17"/>
      <c r="AO56" s="17"/>
    </row>
    <row r="57" spans="2:47" x14ac:dyDescent="0.2">
      <c r="B57" s="4"/>
      <c r="C57" s="5"/>
      <c r="D57" s="5"/>
      <c r="E57" s="23" t="s">
        <v>112</v>
      </c>
      <c r="F57" s="7"/>
      <c r="G57" s="7"/>
      <c r="H57" s="7"/>
      <c r="I57" s="13" t="s">
        <v>3</v>
      </c>
      <c r="J57" s="10"/>
      <c r="K57" s="10"/>
      <c r="L57" s="27"/>
      <c r="M57" s="37"/>
      <c r="N57" s="2"/>
      <c r="O57" s="5">
        <f>+N57</f>
        <v>0</v>
      </c>
      <c r="P57" s="9">
        <v>-100</v>
      </c>
      <c r="Q57" s="11">
        <v>0</v>
      </c>
      <c r="R57" s="144">
        <f>IF(N57= "",+P57,IF(N57= "ja", P57, SUM(AK57:AO57)))</f>
        <v>-100</v>
      </c>
      <c r="S57" s="28">
        <v>7500</v>
      </c>
      <c r="T57" s="97">
        <v>1</v>
      </c>
      <c r="U57" s="10">
        <f>IF(O57="ja",1,T57)</f>
        <v>1</v>
      </c>
      <c r="V57" s="161">
        <f>+U57*R57</f>
        <v>-100</v>
      </c>
      <c r="W57" s="128">
        <f>+V57/3000*1400000</f>
        <v>-46666.666666666664</v>
      </c>
      <c r="X57" s="14">
        <f>IF(N57="",0,IF(O57="ja",0,+U57*S57))</f>
        <v>0</v>
      </c>
      <c r="Y57" s="5"/>
      <c r="Z57" s="15"/>
      <c r="AA57" s="19" t="s">
        <v>105</v>
      </c>
      <c r="AB57" s="19"/>
      <c r="AC57" s="19"/>
      <c r="AD57" s="19"/>
      <c r="AE57" s="19"/>
      <c r="AF57" s="19"/>
      <c r="AG57" s="19"/>
      <c r="AH57" s="19"/>
      <c r="AI57" s="19"/>
      <c r="AK57" s="17"/>
      <c r="AL57" s="17"/>
      <c r="AM57" s="17"/>
      <c r="AN57" s="17"/>
      <c r="AO57" s="17"/>
    </row>
    <row r="58" spans="2:47" x14ac:dyDescent="0.2">
      <c r="B58" s="4"/>
      <c r="C58" s="5"/>
      <c r="D58" s="5"/>
      <c r="E58" s="6"/>
      <c r="F58" s="7"/>
      <c r="G58" s="7"/>
      <c r="H58" s="7"/>
      <c r="I58" s="13"/>
      <c r="J58" s="10"/>
      <c r="K58" s="10"/>
      <c r="L58" s="27"/>
      <c r="M58" s="37"/>
      <c r="N58" s="3"/>
      <c r="O58" s="5"/>
      <c r="P58" s="10"/>
      <c r="Q58" s="11"/>
      <c r="R58" s="144"/>
      <c r="S58" s="28"/>
      <c r="T58" s="12"/>
      <c r="U58" s="10"/>
      <c r="V58" s="146"/>
      <c r="W58" s="129"/>
      <c r="X58" s="14"/>
      <c r="Y58" s="5"/>
      <c r="Z58" s="15"/>
      <c r="AA58" s="62"/>
      <c r="AB58" s="62"/>
      <c r="AC58" s="62"/>
      <c r="AD58" s="62"/>
      <c r="AE58" s="62"/>
      <c r="AF58" s="62"/>
      <c r="AG58" s="62"/>
      <c r="AH58" s="62"/>
      <c r="AI58" s="62"/>
      <c r="AK58" s="17"/>
      <c r="AL58" s="17"/>
      <c r="AM58" s="17"/>
      <c r="AN58" s="17"/>
      <c r="AO58" s="17"/>
    </row>
    <row r="59" spans="2:47" x14ac:dyDescent="0.2">
      <c r="B59" s="4"/>
      <c r="C59" s="5"/>
      <c r="D59" s="5"/>
      <c r="E59" s="23" t="s">
        <v>113</v>
      </c>
      <c r="F59" s="7"/>
      <c r="G59" s="7"/>
      <c r="H59" s="7"/>
      <c r="I59" s="13" t="s">
        <v>3</v>
      </c>
      <c r="J59" s="10"/>
      <c r="K59" s="10"/>
      <c r="L59" s="27"/>
      <c r="M59" s="37"/>
      <c r="N59" s="2"/>
      <c r="O59" s="5">
        <f>+N59</f>
        <v>0</v>
      </c>
      <c r="P59" s="9">
        <v>0</v>
      </c>
      <c r="Q59" s="20">
        <v>0</v>
      </c>
      <c r="R59" s="144"/>
      <c r="S59" s="28"/>
      <c r="T59" s="12"/>
      <c r="U59" s="10"/>
      <c r="V59" s="146"/>
      <c r="W59" s="129"/>
      <c r="X59" s="14"/>
      <c r="Y59" s="5"/>
      <c r="Z59" s="15"/>
      <c r="AA59" s="19" t="s">
        <v>70</v>
      </c>
      <c r="AB59" s="19"/>
      <c r="AC59" s="19"/>
      <c r="AD59" s="19"/>
      <c r="AE59" s="19"/>
      <c r="AF59" s="19"/>
      <c r="AG59" s="19"/>
      <c r="AH59" s="19"/>
      <c r="AI59" s="19"/>
      <c r="AK59" s="17"/>
      <c r="AL59" s="17"/>
      <c r="AM59" s="17"/>
      <c r="AN59" s="17"/>
      <c r="AO59" s="17"/>
    </row>
    <row r="60" spans="2:47" x14ac:dyDescent="0.2">
      <c r="B60" s="4"/>
      <c r="C60" s="5"/>
      <c r="D60" s="5"/>
      <c r="E60" s="23"/>
      <c r="F60" s="7"/>
      <c r="G60" s="7"/>
      <c r="H60" s="7"/>
      <c r="I60" s="13"/>
      <c r="J60" s="10"/>
      <c r="K60" s="10"/>
      <c r="L60" s="27"/>
      <c r="M60" s="37"/>
      <c r="N60" s="9"/>
      <c r="O60" s="5"/>
      <c r="P60" s="9"/>
      <c r="Q60" s="20"/>
      <c r="R60" s="144"/>
      <c r="S60" s="28"/>
      <c r="T60" s="12"/>
      <c r="U60" s="10"/>
      <c r="V60" s="146"/>
      <c r="W60" s="129"/>
      <c r="X60" s="14"/>
      <c r="Y60" s="5"/>
      <c r="Z60" s="15"/>
      <c r="AA60" s="19"/>
      <c r="AB60" s="62"/>
      <c r="AC60" s="62"/>
      <c r="AD60" s="62"/>
      <c r="AE60" s="62"/>
      <c r="AF60" s="62"/>
      <c r="AG60" s="62" t="s">
        <v>71</v>
      </c>
      <c r="AH60" s="62"/>
      <c r="AI60" s="62"/>
      <c r="AK60" s="110">
        <v>0</v>
      </c>
      <c r="AL60" s="110">
        <v>0.25</v>
      </c>
      <c r="AM60" s="110">
        <v>0.5</v>
      </c>
      <c r="AN60" s="110">
        <v>0.75</v>
      </c>
      <c r="AO60" s="110">
        <v>1</v>
      </c>
    </row>
    <row r="61" spans="2:47" x14ac:dyDescent="0.2">
      <c r="B61" s="4"/>
      <c r="C61" s="5"/>
      <c r="D61" s="5"/>
      <c r="E61" s="23" t="s">
        <v>114</v>
      </c>
      <c r="F61" s="139"/>
      <c r="G61" s="139"/>
      <c r="H61" s="139"/>
      <c r="I61" s="13" t="s">
        <v>24</v>
      </c>
      <c r="J61" s="9">
        <v>0</v>
      </c>
      <c r="K61" s="10" t="s">
        <v>7</v>
      </c>
      <c r="L61" s="26">
        <v>100</v>
      </c>
      <c r="M61" s="37"/>
      <c r="N61" s="2"/>
      <c r="O61" s="10">
        <f>IF(OR(N59="ja",N59=""),IF(N61&gt;75,75,N61),IF(OR(N57="ja",N57=""),IF(N61&gt;75,75,N61),+N61))</f>
        <v>0</v>
      </c>
      <c r="P61" s="9">
        <v>0</v>
      </c>
      <c r="Q61" s="11">
        <v>100</v>
      </c>
      <c r="R61" s="146">
        <f>+AP61</f>
        <v>0</v>
      </c>
      <c r="S61" s="28">
        <v>7500</v>
      </c>
      <c r="T61" s="97">
        <v>1</v>
      </c>
      <c r="U61" s="10">
        <f>IF(O61=0,1,T61)</f>
        <v>1</v>
      </c>
      <c r="V61" s="161">
        <f>+U61*R61</f>
        <v>0</v>
      </c>
      <c r="W61" s="128">
        <f>+V61/3000*1400000</f>
        <v>0</v>
      </c>
      <c r="X61" s="14">
        <f>IF(O61=0,0,+U61*S61)</f>
        <v>0</v>
      </c>
      <c r="AA61" s="62"/>
      <c r="AB61" s="19"/>
      <c r="AC61" s="19"/>
      <c r="AD61" s="19"/>
      <c r="AE61" s="106">
        <v>0</v>
      </c>
      <c r="AF61" s="106">
        <v>0.15</v>
      </c>
      <c r="AG61" s="106">
        <v>0.4</v>
      </c>
      <c r="AH61" s="106">
        <v>0.75</v>
      </c>
      <c r="AI61" s="106">
        <v>1</v>
      </c>
      <c r="AK61" s="17">
        <f>IF($O61=0,AE61*Q61,0)</f>
        <v>0</v>
      </c>
      <c r="AL61" s="17">
        <f>IF($O61=25,AF61*Q61,0)</f>
        <v>0</v>
      </c>
      <c r="AM61" s="17">
        <f>IF($O61=50,AG61*Q61,0)</f>
        <v>0</v>
      </c>
      <c r="AN61" s="17">
        <f>IF($O61=75,AH61*Q61,0)</f>
        <v>0</v>
      </c>
      <c r="AO61" s="17">
        <f>IF($O61=100,AI61*Q61,0)</f>
        <v>0</v>
      </c>
      <c r="AP61" s="17">
        <f>SUM(AK61:AO61)</f>
        <v>0</v>
      </c>
    </row>
    <row r="62" spans="2:47" x14ac:dyDescent="0.2">
      <c r="B62" s="4"/>
      <c r="C62" s="5"/>
      <c r="D62" s="5"/>
      <c r="E62" s="23"/>
      <c r="F62" s="139"/>
      <c r="G62" s="139"/>
      <c r="H62" s="139"/>
      <c r="I62" s="13" t="s">
        <v>25</v>
      </c>
      <c r="J62" s="9">
        <v>25</v>
      </c>
      <c r="K62" s="10"/>
      <c r="L62" s="26"/>
      <c r="M62" s="37"/>
      <c r="N62" s="10"/>
      <c r="O62" s="5"/>
      <c r="P62" s="5"/>
      <c r="Q62" s="5"/>
      <c r="R62" s="142"/>
      <c r="S62" s="28"/>
      <c r="T62" s="12"/>
      <c r="U62" s="10"/>
      <c r="V62" s="146"/>
      <c r="W62" s="129"/>
      <c r="X62" s="14"/>
      <c r="AA62" s="19"/>
    </row>
    <row r="63" spans="2:47" x14ac:dyDescent="0.2">
      <c r="B63" s="4"/>
      <c r="C63" s="5"/>
      <c r="D63" s="5"/>
      <c r="E63" s="140"/>
      <c r="F63" s="94"/>
      <c r="G63" s="94"/>
      <c r="H63" s="94"/>
      <c r="I63" s="8"/>
      <c r="J63" s="10"/>
      <c r="K63" s="10"/>
      <c r="L63" s="27"/>
      <c r="M63" s="37"/>
      <c r="N63" s="3"/>
      <c r="O63" s="3"/>
      <c r="P63" s="9"/>
      <c r="Q63" s="20"/>
      <c r="R63" s="146"/>
      <c r="S63" s="28"/>
      <c r="T63" s="12"/>
      <c r="U63" s="10"/>
      <c r="V63" s="146"/>
      <c r="W63" s="129"/>
      <c r="X63" s="14"/>
      <c r="AA63" s="62"/>
      <c r="AB63" s="62"/>
      <c r="AC63" s="62"/>
      <c r="AD63" s="62"/>
      <c r="AE63" s="62"/>
      <c r="AF63" s="62"/>
      <c r="AG63" s="62"/>
      <c r="AH63" s="62"/>
      <c r="AI63" s="62"/>
      <c r="AQ63" s="72"/>
      <c r="AR63" s="72"/>
      <c r="AS63" s="72"/>
      <c r="AT63" s="72"/>
      <c r="AU63" s="72"/>
    </row>
    <row r="64" spans="2:47" ht="13.5" customHeight="1" x14ac:dyDescent="0.2">
      <c r="B64" s="4"/>
      <c r="C64" s="5"/>
      <c r="D64" s="5"/>
      <c r="E64" s="23" t="s">
        <v>106</v>
      </c>
      <c r="F64" s="141"/>
      <c r="G64" s="94"/>
      <c r="H64" s="94"/>
      <c r="I64" s="8" t="s">
        <v>24</v>
      </c>
      <c r="J64" s="9">
        <v>0</v>
      </c>
      <c r="K64" s="10" t="s">
        <v>7</v>
      </c>
      <c r="L64" s="26">
        <v>100</v>
      </c>
      <c r="M64" s="37"/>
      <c r="N64" s="2"/>
      <c r="O64" s="10">
        <f>+N64</f>
        <v>0</v>
      </c>
      <c r="P64" s="9">
        <f>-75*R61/100</f>
        <v>0</v>
      </c>
      <c r="Q64" s="73">
        <v>0</v>
      </c>
      <c r="R64" s="147">
        <f>((100-O64)*P64/100)</f>
        <v>0</v>
      </c>
      <c r="S64" s="28">
        <v>7500</v>
      </c>
      <c r="T64" s="12"/>
      <c r="U64" s="10">
        <f>+U61</f>
        <v>1</v>
      </c>
      <c r="V64" s="161">
        <f>+U64*R64</f>
        <v>0</v>
      </c>
      <c r="W64" s="128">
        <f>+V64/3000*1400000</f>
        <v>0</v>
      </c>
      <c r="X64" s="14">
        <f>IF(O64=N6408,0,+U64*S64)</f>
        <v>0</v>
      </c>
      <c r="Y64" s="72"/>
      <c r="Z64" s="72"/>
      <c r="AA64" s="72"/>
      <c r="AB64" s="72"/>
      <c r="AC64" s="72"/>
      <c r="AD64" s="72"/>
      <c r="AE64" s="72"/>
      <c r="AF64" s="72"/>
      <c r="AG64" s="72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  <c r="AS64" s="72"/>
      <c r="AT64" s="72"/>
      <c r="AU64" s="72"/>
    </row>
    <row r="65" spans="2:47" x14ac:dyDescent="0.2">
      <c r="B65" s="4"/>
      <c r="C65" s="5"/>
      <c r="D65" s="5"/>
      <c r="E65" s="139"/>
      <c r="F65" s="94"/>
      <c r="G65" s="94"/>
      <c r="H65" s="94"/>
      <c r="I65" s="8" t="s">
        <v>25</v>
      </c>
      <c r="J65" s="9">
        <v>25</v>
      </c>
      <c r="K65" s="10"/>
      <c r="L65" s="26"/>
      <c r="M65" s="37"/>
      <c r="N65" s="10"/>
      <c r="P65" s="10"/>
      <c r="Q65" s="11"/>
      <c r="R65" s="142"/>
      <c r="S65" s="71"/>
      <c r="T65" s="13"/>
      <c r="V65" s="148"/>
      <c r="W65" s="16"/>
      <c r="X65" s="14"/>
      <c r="Z65" s="15"/>
      <c r="AA65" s="72"/>
      <c r="AB65" s="72"/>
      <c r="AC65" s="72"/>
      <c r="AD65" s="72"/>
      <c r="AE65" s="72"/>
      <c r="AF65" s="72"/>
      <c r="AG65" s="72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  <c r="AS65" s="72"/>
      <c r="AT65" s="72"/>
      <c r="AU65" s="72"/>
    </row>
    <row r="66" spans="2:47" x14ac:dyDescent="0.2">
      <c r="B66" s="4"/>
      <c r="C66" s="5"/>
      <c r="D66" s="5"/>
      <c r="E66" s="23"/>
      <c r="F66" s="139"/>
      <c r="G66" s="139"/>
      <c r="H66" s="139"/>
      <c r="I66" s="13"/>
      <c r="J66" s="9"/>
      <c r="K66" s="10"/>
      <c r="L66" s="26"/>
      <c r="M66" s="37"/>
      <c r="N66" s="10"/>
      <c r="O66" s="5"/>
      <c r="P66" s="5"/>
      <c r="Q66" s="5"/>
      <c r="R66" s="142"/>
      <c r="S66" s="71"/>
      <c r="V66" s="146"/>
      <c r="W66" s="129"/>
      <c r="X66" s="14"/>
      <c r="AA66" s="62"/>
      <c r="AB66" s="62"/>
      <c r="AC66" s="62"/>
      <c r="AD66" s="62"/>
      <c r="AE66" s="62"/>
      <c r="AF66" s="62"/>
      <c r="AG66" s="62"/>
      <c r="AH66" s="62"/>
      <c r="AI66" s="62"/>
    </row>
    <row r="67" spans="2:47" x14ac:dyDescent="0.2">
      <c r="B67" s="4"/>
      <c r="C67" s="5"/>
      <c r="D67" s="5"/>
      <c r="E67" s="6"/>
      <c r="F67" s="139"/>
      <c r="G67" s="139"/>
      <c r="H67" s="139"/>
      <c r="I67" s="13"/>
      <c r="K67" s="10"/>
      <c r="L67" s="26"/>
      <c r="M67" s="37"/>
      <c r="N67" s="10"/>
      <c r="P67" s="5"/>
      <c r="Q67" s="5"/>
      <c r="R67" s="142"/>
      <c r="S67" s="71"/>
      <c r="V67" s="146"/>
      <c r="W67" s="129"/>
      <c r="X67" s="14"/>
      <c r="Y67" s="5"/>
      <c r="Z67" s="15"/>
      <c r="AA67" s="62"/>
      <c r="AB67" s="62"/>
      <c r="AC67" s="62"/>
      <c r="AD67" s="62"/>
      <c r="AE67" s="62"/>
      <c r="AF67" s="62"/>
      <c r="AG67" s="62"/>
      <c r="AH67" s="62"/>
      <c r="AI67" s="62"/>
    </row>
    <row r="68" spans="2:47" s="72" customFormat="1" x14ac:dyDescent="0.2">
      <c r="B68" s="4" t="s">
        <v>34</v>
      </c>
      <c r="C68" s="5"/>
      <c r="D68" s="5"/>
      <c r="E68" s="6"/>
      <c r="F68" s="139"/>
      <c r="G68" s="139"/>
      <c r="H68" s="139"/>
      <c r="I68" s="8"/>
      <c r="J68" s="9"/>
      <c r="K68" s="10"/>
      <c r="L68" s="26"/>
      <c r="M68" s="37"/>
      <c r="N68" s="10"/>
      <c r="O68" s="3"/>
      <c r="P68" s="5"/>
      <c r="Q68" s="5"/>
      <c r="R68" s="142"/>
      <c r="S68" s="71"/>
      <c r="V68" s="146"/>
      <c r="W68" s="129"/>
      <c r="X68" s="14"/>
      <c r="Y68" s="5"/>
      <c r="Z68" s="15"/>
    </row>
    <row r="69" spans="2:47" s="72" customFormat="1" x14ac:dyDescent="0.2">
      <c r="B69" s="4"/>
      <c r="C69" s="5"/>
      <c r="D69" s="5" t="s">
        <v>32</v>
      </c>
      <c r="E69" s="139"/>
      <c r="F69" s="94"/>
      <c r="G69" s="94"/>
      <c r="H69" s="94"/>
      <c r="I69" s="8"/>
      <c r="J69" s="10"/>
      <c r="K69" s="10"/>
      <c r="L69" s="27"/>
      <c r="M69" s="37"/>
      <c r="N69" s="10"/>
      <c r="O69" s="3"/>
      <c r="P69" s="10"/>
      <c r="Q69" s="10"/>
      <c r="R69" s="146"/>
      <c r="S69" s="29"/>
      <c r="T69" s="13"/>
      <c r="U69" s="10"/>
      <c r="V69" s="146"/>
      <c r="W69" s="129"/>
      <c r="X69" s="18"/>
      <c r="Y69" s="5"/>
      <c r="Z69" s="15"/>
      <c r="AA69" s="19"/>
      <c r="AB69" s="19"/>
      <c r="AC69" s="19"/>
      <c r="AD69" s="19"/>
      <c r="AE69" s="19"/>
      <c r="AF69" s="19"/>
      <c r="AG69" s="19"/>
      <c r="AH69" s="19"/>
      <c r="AI69" s="19"/>
      <c r="AJ69" s="16"/>
      <c r="AK69" s="16"/>
      <c r="AL69" s="16"/>
      <c r="AM69" s="16"/>
      <c r="AN69" s="16"/>
      <c r="AO69" s="16"/>
    </row>
    <row r="70" spans="2:47" s="72" customFormat="1" x14ac:dyDescent="0.2">
      <c r="B70" s="4"/>
      <c r="C70" s="5"/>
      <c r="D70" s="5"/>
      <c r="E70" s="139"/>
      <c r="F70" s="94"/>
      <c r="G70" s="94"/>
      <c r="H70" s="94"/>
      <c r="I70" s="8"/>
      <c r="J70" s="10"/>
      <c r="K70" s="10"/>
      <c r="L70" s="27"/>
      <c r="M70" s="37"/>
      <c r="N70" s="10"/>
      <c r="O70" s="3"/>
      <c r="P70" s="10"/>
      <c r="Q70" s="10"/>
      <c r="R70" s="146"/>
      <c r="S70" s="29"/>
      <c r="T70" s="13"/>
      <c r="U70" s="10"/>
      <c r="V70" s="146"/>
      <c r="W70" s="129"/>
      <c r="X70" s="18"/>
      <c r="Y70" s="5"/>
      <c r="Z70" s="15"/>
      <c r="AA70" s="19"/>
      <c r="AB70" s="19"/>
      <c r="AC70" s="19"/>
      <c r="AD70" s="19"/>
      <c r="AE70" s="19"/>
      <c r="AF70" s="19"/>
      <c r="AG70" s="19"/>
      <c r="AH70" s="19"/>
      <c r="AI70" s="19"/>
      <c r="AJ70" s="16"/>
      <c r="AK70" s="16"/>
      <c r="AL70" s="16"/>
      <c r="AM70" s="16"/>
      <c r="AN70" s="16"/>
      <c r="AO70" s="16"/>
    </row>
    <row r="71" spans="2:47" s="72" customFormat="1" x14ac:dyDescent="0.2">
      <c r="B71" s="4"/>
      <c r="C71" s="5"/>
      <c r="D71" s="5"/>
      <c r="E71" s="139"/>
      <c r="F71" s="94"/>
      <c r="G71" s="94"/>
      <c r="H71" s="94"/>
      <c r="I71" s="8"/>
      <c r="J71" s="10"/>
      <c r="K71" s="10"/>
      <c r="L71" s="27"/>
      <c r="M71" s="37"/>
      <c r="N71" s="10"/>
      <c r="O71" s="3"/>
      <c r="P71" s="10"/>
      <c r="Q71" s="10"/>
      <c r="R71" s="146"/>
      <c r="S71" s="29"/>
      <c r="T71" s="13"/>
      <c r="U71" s="10"/>
      <c r="V71" s="146"/>
      <c r="W71" s="129"/>
      <c r="X71" s="18"/>
      <c r="Y71" s="5"/>
      <c r="Z71" s="15"/>
      <c r="AA71" s="19"/>
      <c r="AC71" s="19"/>
      <c r="AD71" s="19"/>
      <c r="AE71" s="19"/>
      <c r="AF71" s="19"/>
      <c r="AG71" s="19"/>
      <c r="AH71" s="19"/>
      <c r="AI71" s="19"/>
      <c r="AJ71" s="16"/>
      <c r="AK71" s="16"/>
      <c r="AL71" s="16"/>
      <c r="AM71" s="16"/>
      <c r="AN71" s="16"/>
      <c r="AO71" s="16"/>
    </row>
    <row r="72" spans="2:47" s="72" customFormat="1" x14ac:dyDescent="0.2">
      <c r="B72" s="4"/>
      <c r="C72" s="5"/>
      <c r="D72" s="5"/>
      <c r="E72" s="23" t="s">
        <v>115</v>
      </c>
      <c r="F72" s="94"/>
      <c r="G72" s="94"/>
      <c r="H72" s="94"/>
      <c r="I72" s="8" t="s">
        <v>3</v>
      </c>
      <c r="J72" s="10"/>
      <c r="K72" s="10"/>
      <c r="L72" s="27"/>
      <c r="M72" s="37"/>
      <c r="N72" s="2"/>
      <c r="O72" s="5">
        <f>+N72</f>
        <v>0</v>
      </c>
      <c r="P72" s="9">
        <v>-200</v>
      </c>
      <c r="Q72" s="11">
        <v>0</v>
      </c>
      <c r="R72" s="144">
        <f>IF(N72= "",+P72,IF(N72= "ja", P72, SUM(AK72:AO72)))</f>
        <v>-200</v>
      </c>
      <c r="S72" s="28">
        <v>7500</v>
      </c>
      <c r="T72" s="97">
        <v>1</v>
      </c>
      <c r="U72" s="10">
        <f>IF(O72="ja",1,T72)</f>
        <v>1</v>
      </c>
      <c r="V72" s="161">
        <f>+U72*R72</f>
        <v>-200</v>
      </c>
      <c r="W72" s="128">
        <f>+V72/3000*1400000</f>
        <v>-93333.333333333328</v>
      </c>
      <c r="X72" s="14">
        <f>IF(N72="",0,IF(O72="ja",0,+U72*S72))</f>
        <v>0</v>
      </c>
      <c r="Y72" s="5"/>
      <c r="Z72" s="15"/>
      <c r="AA72" s="19" t="s">
        <v>93</v>
      </c>
      <c r="AB72" s="19"/>
      <c r="AD72" s="19"/>
      <c r="AE72" s="19"/>
      <c r="AF72" s="19"/>
      <c r="AG72" s="19"/>
      <c r="AH72" s="19"/>
      <c r="AI72" s="19"/>
      <c r="AJ72" s="16"/>
      <c r="AK72" s="17"/>
      <c r="AL72" s="17"/>
      <c r="AM72" s="17"/>
      <c r="AN72" s="17"/>
      <c r="AO72" s="17"/>
      <c r="AP72" s="16"/>
    </row>
    <row r="73" spans="2:47" s="31" customFormat="1" x14ac:dyDescent="0.2">
      <c r="B73" s="4"/>
      <c r="C73" s="5"/>
      <c r="D73" s="5"/>
      <c r="E73" s="140"/>
      <c r="F73" s="94"/>
      <c r="G73" s="94"/>
      <c r="H73" s="94"/>
      <c r="I73" s="8"/>
      <c r="J73" s="10"/>
      <c r="K73" s="10"/>
      <c r="L73" s="27"/>
      <c r="M73" s="37"/>
      <c r="N73" s="3"/>
      <c r="O73" s="5"/>
      <c r="P73" s="9"/>
      <c r="Q73" s="11"/>
      <c r="R73" s="146"/>
      <c r="S73" s="28"/>
      <c r="T73" s="12"/>
      <c r="U73" s="10"/>
      <c r="V73" s="146"/>
      <c r="W73" s="129"/>
      <c r="X73" s="14"/>
      <c r="Y73" s="5"/>
      <c r="Z73" s="15"/>
      <c r="AA73" s="62"/>
      <c r="AB73" s="19" t="s">
        <v>110</v>
      </c>
      <c r="AC73" s="62">
        <v>36000</v>
      </c>
      <c r="AD73" s="62"/>
      <c r="AE73" s="62"/>
      <c r="AF73" s="62"/>
      <c r="AG73" s="62"/>
      <c r="AH73" s="62"/>
      <c r="AI73" s="62"/>
      <c r="AJ73" s="16"/>
      <c r="AK73" s="17"/>
      <c r="AL73" s="17"/>
      <c r="AM73" s="17"/>
      <c r="AN73" s="17"/>
      <c r="AO73" s="17"/>
      <c r="AP73" s="16"/>
      <c r="AQ73" s="72"/>
      <c r="AR73" s="72"/>
      <c r="AS73" s="72"/>
      <c r="AT73" s="72"/>
      <c r="AU73" s="72"/>
    </row>
    <row r="74" spans="2:47" x14ac:dyDescent="0.2">
      <c r="B74" s="4"/>
      <c r="C74" s="5"/>
      <c r="D74" s="5"/>
      <c r="E74" s="23" t="s">
        <v>116</v>
      </c>
      <c r="F74" s="94"/>
      <c r="G74" s="94"/>
      <c r="H74" s="94"/>
      <c r="I74" s="8" t="s">
        <v>3</v>
      </c>
      <c r="J74" s="10"/>
      <c r="K74" s="10"/>
      <c r="L74" s="27"/>
      <c r="M74" s="37"/>
      <c r="N74" s="2"/>
      <c r="O74" s="5">
        <f>+N74</f>
        <v>0</v>
      </c>
      <c r="P74" s="9">
        <v>0</v>
      </c>
      <c r="Q74" s="20">
        <v>0</v>
      </c>
      <c r="R74" s="146"/>
      <c r="S74" s="28"/>
      <c r="T74" s="12"/>
      <c r="U74" s="10"/>
      <c r="V74" s="146"/>
      <c r="W74" s="129"/>
      <c r="X74" s="14"/>
      <c r="Y74" s="5"/>
      <c r="Z74" s="15"/>
      <c r="AA74" s="19"/>
      <c r="AB74" s="16">
        <f>IF(O76=0,AC73,(100-O76)/100*AC73)</f>
        <v>36000</v>
      </c>
      <c r="AC74" s="19"/>
      <c r="AD74" s="19"/>
      <c r="AE74" s="19"/>
      <c r="AF74" s="19"/>
      <c r="AG74" s="19"/>
      <c r="AH74" s="19"/>
      <c r="AI74" s="19"/>
      <c r="AK74" s="17"/>
      <c r="AL74" s="17"/>
      <c r="AM74" s="17"/>
      <c r="AN74" s="17"/>
      <c r="AO74" s="17"/>
      <c r="AQ74" s="72"/>
      <c r="AR74" s="72"/>
      <c r="AS74" s="72"/>
      <c r="AT74" s="72"/>
      <c r="AU74" s="72"/>
    </row>
    <row r="75" spans="2:47" x14ac:dyDescent="0.2">
      <c r="B75" s="4"/>
      <c r="C75" s="5"/>
      <c r="D75" s="5"/>
      <c r="E75" s="23"/>
      <c r="F75" s="94"/>
      <c r="G75" s="94"/>
      <c r="H75" s="94"/>
      <c r="I75" s="8"/>
      <c r="J75" s="10"/>
      <c r="K75" s="10"/>
      <c r="L75" s="27"/>
      <c r="M75" s="37"/>
      <c r="N75" s="9"/>
      <c r="O75" s="5"/>
      <c r="P75" s="9"/>
      <c r="Q75" s="20"/>
      <c r="R75" s="146"/>
      <c r="S75" s="28"/>
      <c r="T75" s="12"/>
      <c r="U75" s="10"/>
      <c r="V75" s="146"/>
      <c r="W75" s="129"/>
      <c r="X75" s="14"/>
      <c r="Y75" s="5"/>
      <c r="Z75" s="15"/>
      <c r="AA75" s="62"/>
      <c r="AB75" s="160"/>
      <c r="AC75" s="62"/>
      <c r="AD75" s="62"/>
      <c r="AE75" s="62"/>
      <c r="AF75" s="62"/>
      <c r="AG75" s="62" t="s">
        <v>71</v>
      </c>
      <c r="AH75" s="62"/>
      <c r="AI75" s="62"/>
      <c r="AK75" s="110">
        <v>0</v>
      </c>
      <c r="AL75" s="110">
        <v>0.25</v>
      </c>
      <c r="AM75" s="110">
        <v>0.5</v>
      </c>
      <c r="AN75" s="110">
        <v>0.75</v>
      </c>
      <c r="AO75" s="110">
        <v>1</v>
      </c>
      <c r="AQ75" s="72"/>
      <c r="AR75" s="72"/>
      <c r="AS75" s="72"/>
      <c r="AT75" s="72"/>
      <c r="AU75" s="72"/>
    </row>
    <row r="76" spans="2:47" x14ac:dyDescent="0.2">
      <c r="B76" s="4"/>
      <c r="C76" s="5"/>
      <c r="D76" s="5"/>
      <c r="E76" s="23" t="s">
        <v>117</v>
      </c>
      <c r="F76" s="94"/>
      <c r="G76" s="94"/>
      <c r="H76" s="94"/>
      <c r="I76" s="8" t="s">
        <v>24</v>
      </c>
      <c r="J76" s="9">
        <v>0</v>
      </c>
      <c r="K76" s="10" t="s">
        <v>63</v>
      </c>
      <c r="L76" s="26">
        <v>100</v>
      </c>
      <c r="M76" s="37"/>
      <c r="N76" s="2"/>
      <c r="O76" s="10">
        <f>IF(OR(N74="ja",N74=""),IF(N76&gt;75,75,N76),IF(OR(N72="ja",N72=""),IF(N76&gt;75,75,N76),+N76))</f>
        <v>0</v>
      </c>
      <c r="P76" s="10"/>
      <c r="Q76" s="11">
        <v>200</v>
      </c>
      <c r="R76" s="146">
        <f>+AP76</f>
        <v>0</v>
      </c>
      <c r="S76" s="28">
        <v>7500</v>
      </c>
      <c r="T76" s="97">
        <v>1</v>
      </c>
      <c r="U76" s="10">
        <f>IF(O76=0,1,T76)</f>
        <v>1</v>
      </c>
      <c r="V76" s="161">
        <f>+U76*R76</f>
        <v>0</v>
      </c>
      <c r="W76" s="128">
        <f>+V76/3000*1400000</f>
        <v>0</v>
      </c>
      <c r="X76" s="14">
        <f>IF(O76=0,0,+U76*S76)</f>
        <v>0</v>
      </c>
      <c r="AA76" s="19"/>
      <c r="AB76" s="19"/>
      <c r="AC76" s="19"/>
      <c r="AD76" s="19"/>
      <c r="AE76" s="106">
        <v>0</v>
      </c>
      <c r="AF76" s="106">
        <v>0.15</v>
      </c>
      <c r="AG76" s="106">
        <v>0.4</v>
      </c>
      <c r="AH76" s="106">
        <v>0.75</v>
      </c>
      <c r="AI76" s="106">
        <v>1</v>
      </c>
      <c r="AK76" s="17">
        <f>IF($O76=0,AE76*Q76,0)</f>
        <v>0</v>
      </c>
      <c r="AL76" s="17">
        <f>IF($O76=25,AF76*Q76,0)</f>
        <v>0</v>
      </c>
      <c r="AM76" s="17">
        <f>IF($O76=50,AG76*Q76,0)</f>
        <v>0</v>
      </c>
      <c r="AN76" s="17">
        <f>IF($O76=75,AH76*Q76,0)</f>
        <v>0</v>
      </c>
      <c r="AO76" s="17">
        <f>IF($O76=100,AI76*Q76,0)</f>
        <v>0</v>
      </c>
      <c r="AP76" s="17">
        <f>SUM(AK76:AO76)</f>
        <v>0</v>
      </c>
      <c r="AQ76" s="72"/>
      <c r="AR76" s="72"/>
      <c r="AS76" s="72"/>
      <c r="AT76" s="72"/>
      <c r="AU76" s="72"/>
    </row>
    <row r="77" spans="2:47" x14ac:dyDescent="0.2">
      <c r="B77" s="4"/>
      <c r="C77" s="5"/>
      <c r="D77" s="5"/>
      <c r="E77" s="23"/>
      <c r="F77" s="94"/>
      <c r="G77" s="94"/>
      <c r="H77" s="94"/>
      <c r="I77" s="8"/>
      <c r="J77" s="9"/>
      <c r="K77" s="10"/>
      <c r="L77" s="26"/>
      <c r="M77" s="37"/>
      <c r="N77" s="10"/>
      <c r="O77" s="10"/>
      <c r="P77" s="10"/>
      <c r="Q77" s="11"/>
      <c r="R77" s="146"/>
      <c r="S77" s="28"/>
      <c r="T77" s="12"/>
      <c r="U77" s="10"/>
      <c r="V77" s="161"/>
      <c r="W77" s="128"/>
      <c r="X77" s="14"/>
      <c r="AA77" s="19"/>
      <c r="AB77" s="19"/>
      <c r="AC77" s="19"/>
      <c r="AD77" s="19"/>
      <c r="AE77" s="106"/>
      <c r="AF77" s="106"/>
      <c r="AG77" s="106"/>
      <c r="AH77" s="106"/>
      <c r="AI77" s="106"/>
      <c r="AK77" s="17"/>
      <c r="AL77" s="17"/>
      <c r="AM77" s="17"/>
      <c r="AN77" s="17"/>
      <c r="AO77" s="17"/>
      <c r="AP77" s="17"/>
      <c r="AQ77" s="72"/>
      <c r="AR77" s="72"/>
      <c r="AS77" s="72"/>
      <c r="AT77" s="72"/>
      <c r="AU77" s="72"/>
    </row>
    <row r="78" spans="2:47" x14ac:dyDescent="0.2">
      <c r="B78" s="4"/>
      <c r="C78" s="5"/>
      <c r="D78" s="5"/>
      <c r="E78" s="140"/>
      <c r="F78" s="94"/>
      <c r="G78" s="94"/>
      <c r="H78" s="94"/>
      <c r="I78" s="8"/>
      <c r="J78" s="10"/>
      <c r="K78" s="10"/>
      <c r="L78" s="27"/>
      <c r="M78" s="37"/>
      <c r="N78" s="3"/>
      <c r="O78" s="3"/>
      <c r="P78" s="9"/>
      <c r="Q78" s="20"/>
      <c r="R78" s="146"/>
      <c r="S78" s="28"/>
      <c r="T78" s="12"/>
      <c r="U78" s="10"/>
      <c r="V78" s="146"/>
      <c r="W78" s="129"/>
      <c r="X78" s="14"/>
      <c r="AA78" s="62"/>
      <c r="AB78" s="62"/>
      <c r="AC78" s="62"/>
      <c r="AD78" s="62"/>
      <c r="AE78" s="62"/>
      <c r="AF78" s="62"/>
      <c r="AG78" s="62"/>
      <c r="AH78" s="62"/>
      <c r="AI78" s="62"/>
      <c r="AQ78" s="72"/>
      <c r="AR78" s="72"/>
      <c r="AS78" s="72"/>
      <c r="AT78" s="72"/>
      <c r="AU78" s="72"/>
    </row>
    <row r="79" spans="2:47" ht="13.5" customHeight="1" x14ac:dyDescent="0.2">
      <c r="B79" s="4"/>
      <c r="C79" s="5"/>
      <c r="D79" s="5"/>
      <c r="E79" s="23" t="s">
        <v>106</v>
      </c>
      <c r="F79" s="141"/>
      <c r="G79" s="94"/>
      <c r="H79" s="94"/>
      <c r="I79" s="8" t="s">
        <v>24</v>
      </c>
      <c r="J79" s="9">
        <v>0</v>
      </c>
      <c r="K79" s="10" t="s">
        <v>7</v>
      </c>
      <c r="L79" s="26">
        <v>100</v>
      </c>
      <c r="M79" s="37"/>
      <c r="N79" s="2"/>
      <c r="O79" s="10">
        <f>IF(N76=0,0,+N79)</f>
        <v>0</v>
      </c>
      <c r="P79" s="9">
        <f>-75*R76/100</f>
        <v>0</v>
      </c>
      <c r="Q79" s="73">
        <v>0</v>
      </c>
      <c r="R79" s="147">
        <f>(100-O79)*P79/100</f>
        <v>0</v>
      </c>
      <c r="S79" s="28">
        <v>7500</v>
      </c>
      <c r="T79" s="13"/>
      <c r="U79" s="10">
        <f>+U76</f>
        <v>1</v>
      </c>
      <c r="V79" s="161">
        <f>+U79*R79</f>
        <v>0</v>
      </c>
      <c r="W79" s="128">
        <f>+V79/3000*1400000</f>
        <v>0</v>
      </c>
      <c r="X79" s="14">
        <f>IF(O79=N6423,0,+U79*S79)</f>
        <v>0</v>
      </c>
      <c r="Y79" s="72"/>
      <c r="Z79" s="72"/>
      <c r="AA79" s="72"/>
      <c r="AB79" s="72">
        <f>0.75* ((100-O79)/100)*(AC73-AB74)</f>
        <v>0</v>
      </c>
      <c r="AC79" s="72"/>
      <c r="AD79" s="72"/>
      <c r="AE79" s="72"/>
      <c r="AF79" s="72"/>
      <c r="AG79" s="72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  <c r="AS79" s="72"/>
      <c r="AT79" s="72"/>
      <c r="AU79" s="72"/>
    </row>
    <row r="80" spans="2:47" ht="13.5" customHeight="1" x14ac:dyDescent="0.2">
      <c r="B80" s="4"/>
      <c r="C80" s="5"/>
      <c r="D80" s="5"/>
      <c r="E80" s="23"/>
      <c r="F80" s="141"/>
      <c r="G80" s="94"/>
      <c r="H80" s="94"/>
      <c r="I80" s="8"/>
      <c r="J80" s="9"/>
      <c r="K80" s="10"/>
      <c r="L80" s="26"/>
      <c r="M80" s="37"/>
      <c r="N80" s="10"/>
      <c r="O80" s="10"/>
      <c r="P80" s="9"/>
      <c r="Q80" s="73"/>
      <c r="R80" s="147"/>
      <c r="S80" s="28"/>
      <c r="T80" s="13"/>
      <c r="U80" s="10"/>
      <c r="V80" s="161"/>
      <c r="W80" s="128"/>
      <c r="X80" s="14"/>
      <c r="Y80" s="5"/>
      <c r="Z80" s="72"/>
      <c r="AA80" s="72"/>
      <c r="AB80" s="72"/>
      <c r="AC80" s="72"/>
      <c r="AD80" s="72"/>
      <c r="AE80" s="72"/>
      <c r="AF80" s="72"/>
      <c r="AG80" s="72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  <c r="AS80" s="72"/>
      <c r="AT80" s="72"/>
      <c r="AU80" s="72"/>
    </row>
    <row r="81" spans="2:47" x14ac:dyDescent="0.2">
      <c r="B81" s="4"/>
      <c r="C81" s="5"/>
      <c r="D81" s="5"/>
      <c r="E81" s="139"/>
      <c r="F81" s="94"/>
      <c r="G81" s="94"/>
      <c r="H81" s="94"/>
      <c r="I81" s="8" t="s">
        <v>25</v>
      </c>
      <c r="J81" s="9">
        <v>25</v>
      </c>
      <c r="K81" s="10"/>
      <c r="L81" s="26"/>
      <c r="M81" s="37"/>
      <c r="N81" s="10"/>
      <c r="P81" s="10"/>
      <c r="Q81" s="11"/>
      <c r="R81" s="146"/>
      <c r="S81" s="28"/>
      <c r="T81" s="13"/>
      <c r="U81" s="10"/>
      <c r="V81" s="148"/>
      <c r="X81" s="14"/>
      <c r="Y81" s="5"/>
      <c r="Z81" s="15"/>
      <c r="AA81" s="72"/>
      <c r="AB81" s="72"/>
      <c r="AC81" s="72"/>
      <c r="AD81" s="72"/>
      <c r="AE81" s="72"/>
      <c r="AF81" s="72"/>
      <c r="AG81" s="72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  <c r="AS81" s="72"/>
      <c r="AT81" s="72"/>
      <c r="AU81" s="72"/>
    </row>
    <row r="82" spans="2:47" x14ac:dyDescent="0.2">
      <c r="B82" s="4"/>
      <c r="C82" s="5"/>
      <c r="D82" s="5"/>
      <c r="E82" s="99" t="s">
        <v>107</v>
      </c>
      <c r="F82" s="94"/>
      <c r="G82" s="94"/>
      <c r="H82" s="94"/>
      <c r="I82" s="8"/>
      <c r="J82" s="9"/>
      <c r="K82" s="10"/>
      <c r="L82" s="26"/>
      <c r="M82" s="37"/>
      <c r="N82" s="10"/>
      <c r="O82" s="10"/>
      <c r="P82" s="10">
        <v>0</v>
      </c>
      <c r="Q82" s="11">
        <v>70</v>
      </c>
      <c r="R82" s="147">
        <f>+O76/100*O79/100*Q82</f>
        <v>0</v>
      </c>
      <c r="S82" s="28"/>
      <c r="T82" s="13"/>
      <c r="U82" s="10">
        <f>+U79</f>
        <v>1</v>
      </c>
      <c r="V82" s="161">
        <f>+U82*R82</f>
        <v>0</v>
      </c>
      <c r="W82" s="128">
        <f>+V82/3000*1400000</f>
        <v>0</v>
      </c>
      <c r="X82" s="14"/>
      <c r="Y82" s="5"/>
      <c r="Z82" s="15"/>
      <c r="AA82" s="72"/>
      <c r="AB82" s="72"/>
      <c r="AC82" s="72"/>
      <c r="AD82" s="72"/>
      <c r="AE82" s="72"/>
      <c r="AF82" s="72"/>
      <c r="AG82" s="72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  <c r="AS82" s="72"/>
      <c r="AT82" s="72"/>
      <c r="AU82" s="72"/>
    </row>
    <row r="83" spans="2:47" x14ac:dyDescent="0.2">
      <c r="B83" s="4"/>
      <c r="C83" s="5"/>
      <c r="D83" s="5"/>
      <c r="E83" s="139"/>
      <c r="F83" s="94"/>
      <c r="G83" s="94"/>
      <c r="H83" s="94"/>
      <c r="I83" s="8"/>
      <c r="J83" s="9"/>
      <c r="K83" s="10"/>
      <c r="L83" s="26"/>
      <c r="M83" s="37"/>
      <c r="N83" s="10"/>
      <c r="O83" s="10"/>
      <c r="P83" s="10"/>
      <c r="Q83" s="11"/>
      <c r="R83" s="146"/>
      <c r="S83" s="28"/>
      <c r="T83" s="13"/>
      <c r="U83" s="10"/>
      <c r="V83" s="146"/>
      <c r="W83" s="129"/>
      <c r="X83" s="14"/>
      <c r="Y83" s="5"/>
      <c r="Z83" s="15"/>
      <c r="AA83" s="72"/>
      <c r="AB83" s="72"/>
      <c r="AC83" s="72"/>
      <c r="AD83" s="72"/>
      <c r="AE83" s="72"/>
      <c r="AF83" s="72"/>
      <c r="AG83" s="72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  <c r="AS83" s="72"/>
      <c r="AT83" s="72"/>
      <c r="AU83" s="72"/>
    </row>
    <row r="84" spans="2:47" ht="24" customHeight="1" x14ac:dyDescent="0.2">
      <c r="B84" s="4"/>
      <c r="C84" s="5"/>
      <c r="D84" s="5"/>
      <c r="E84" s="215" t="s">
        <v>103</v>
      </c>
      <c r="F84" s="215"/>
      <c r="G84" s="215"/>
      <c r="H84" s="216"/>
      <c r="I84" s="13" t="s">
        <v>82</v>
      </c>
      <c r="J84" s="9">
        <v>0</v>
      </c>
      <c r="K84" s="10" t="s">
        <v>7</v>
      </c>
      <c r="L84" s="26">
        <f>+AB74+AB79</f>
        <v>36000</v>
      </c>
      <c r="M84" s="37"/>
      <c r="N84" s="2"/>
      <c r="O84" s="10">
        <f>IF(N84&gt;L84,L84,+N84)</f>
        <v>0</v>
      </c>
      <c r="P84" s="5"/>
      <c r="Q84" s="5"/>
      <c r="R84" s="146"/>
      <c r="S84" s="28"/>
      <c r="T84" s="13"/>
      <c r="U84" s="10"/>
      <c r="V84" s="161"/>
      <c r="W84" s="128"/>
      <c r="X84" s="14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  <c r="AS84" s="72"/>
      <c r="AT84" s="72"/>
      <c r="AU84" s="72"/>
    </row>
    <row r="85" spans="2:47" x14ac:dyDescent="0.2">
      <c r="B85" s="4"/>
      <c r="C85" s="5"/>
      <c r="D85" s="5"/>
      <c r="E85" s="23"/>
      <c r="F85" s="139"/>
      <c r="G85" s="139"/>
      <c r="H85" s="139"/>
      <c r="I85" s="13" t="s">
        <v>69</v>
      </c>
      <c r="J85" s="9">
        <v>1800</v>
      </c>
      <c r="K85" s="10"/>
      <c r="L85" s="26"/>
      <c r="M85" s="37"/>
      <c r="N85" s="10"/>
      <c r="O85" s="10"/>
      <c r="P85" s="5"/>
      <c r="Q85" s="5"/>
      <c r="R85" s="146"/>
      <c r="S85" s="28"/>
      <c r="T85" s="13"/>
      <c r="U85" s="10"/>
      <c r="V85" s="161"/>
      <c r="W85" s="128"/>
      <c r="X85" s="14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  <c r="AS85" s="72"/>
      <c r="AT85" s="72"/>
      <c r="AU85" s="72"/>
    </row>
    <row r="86" spans="2:47" x14ac:dyDescent="0.2">
      <c r="B86" s="4"/>
      <c r="C86" s="5"/>
      <c r="D86" s="5"/>
      <c r="E86" s="23"/>
      <c r="F86" s="139"/>
      <c r="G86" s="139"/>
      <c r="H86" s="139"/>
      <c r="I86" s="13"/>
      <c r="J86" s="9"/>
      <c r="K86" s="10"/>
      <c r="L86" s="26"/>
      <c r="M86" s="37"/>
      <c r="N86" s="10"/>
      <c r="O86" s="10"/>
      <c r="P86" s="5"/>
      <c r="Q86" s="5"/>
      <c r="R86" s="146"/>
      <c r="S86" s="28"/>
      <c r="T86" s="13"/>
      <c r="U86" s="10"/>
      <c r="V86" s="161"/>
      <c r="W86" s="128"/>
      <c r="X86" s="14"/>
      <c r="AA86" s="72"/>
      <c r="AB86" s="72"/>
      <c r="AC86" s="72"/>
      <c r="AD86" s="72"/>
      <c r="AE86" s="72"/>
      <c r="AF86" s="72"/>
      <c r="AG86" s="72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  <c r="AS86" s="72"/>
      <c r="AT86" s="72"/>
      <c r="AU86" s="72"/>
    </row>
    <row r="87" spans="2:47" x14ac:dyDescent="0.2">
      <c r="B87" s="4"/>
      <c r="C87" s="5"/>
      <c r="D87" s="5"/>
      <c r="E87" s="23" t="s">
        <v>97</v>
      </c>
      <c r="F87" s="139"/>
      <c r="G87" s="139"/>
      <c r="H87" s="139"/>
      <c r="I87" s="13"/>
      <c r="J87" s="9"/>
      <c r="K87" s="10"/>
      <c r="L87" s="26"/>
      <c r="M87" s="37"/>
      <c r="N87" s="10"/>
      <c r="O87" s="10"/>
      <c r="P87" s="5"/>
      <c r="Q87" s="5"/>
      <c r="R87" s="146"/>
      <c r="S87" s="28"/>
      <c r="T87" s="13"/>
      <c r="U87" s="10"/>
      <c r="V87" s="161"/>
      <c r="W87" s="128"/>
      <c r="X87" s="14"/>
      <c r="AA87" s="72"/>
      <c r="AB87" s="72"/>
      <c r="AC87" s="72"/>
      <c r="AD87" s="72"/>
      <c r="AE87" s="72"/>
      <c r="AF87" s="72"/>
      <c r="AG87" s="72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  <c r="AS87" s="72"/>
      <c r="AT87" s="72"/>
      <c r="AU87" s="72"/>
    </row>
    <row r="88" spans="2:47" x14ac:dyDescent="0.2">
      <c r="B88" s="4"/>
      <c r="C88" s="5"/>
      <c r="D88" s="5"/>
      <c r="F88" s="7"/>
      <c r="G88" s="149" t="s">
        <v>118</v>
      </c>
      <c r="H88" s="23" t="s">
        <v>98</v>
      </c>
      <c r="I88" s="13" t="s">
        <v>82</v>
      </c>
      <c r="J88" s="125">
        <f>+O84</f>
        <v>0</v>
      </c>
      <c r="K88" s="9" t="s">
        <v>7</v>
      </c>
      <c r="L88" s="26">
        <v>0</v>
      </c>
      <c r="M88" s="37"/>
      <c r="N88" s="2"/>
      <c r="O88" s="5">
        <f>IF(N88="",0,IF(SUM($N$88:N88)&gt;$O$84,+$O$84-O87,N88))</f>
        <v>0</v>
      </c>
      <c r="P88" s="5">
        <f>-Q84</f>
        <v>0</v>
      </c>
      <c r="Q88" s="148">
        <f>+Q82-R82</f>
        <v>70</v>
      </c>
      <c r="R88" s="142">
        <f>IF($O$84=0,0,+O88/$O$84*Q88)</f>
        <v>0</v>
      </c>
      <c r="S88" s="71"/>
      <c r="T88" s="225">
        <v>1</v>
      </c>
      <c r="U88" s="10">
        <f t="shared" ref="U88" si="14">IF(O88=0,1,T88)</f>
        <v>1</v>
      </c>
      <c r="V88" s="161">
        <f>+U88*R88</f>
        <v>0</v>
      </c>
      <c r="W88" s="128">
        <f t="shared" ref="W88:W91" si="15">+V88/3000*1400000</f>
        <v>0</v>
      </c>
      <c r="X88" s="14"/>
      <c r="AA88" s="72"/>
      <c r="AB88" s="72"/>
      <c r="AC88" s="72"/>
      <c r="AD88" s="72"/>
      <c r="AE88" s="72"/>
      <c r="AF88" s="72"/>
      <c r="AG88" s="72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  <c r="AS88" s="72"/>
      <c r="AT88" s="72"/>
      <c r="AU88" s="72"/>
    </row>
    <row r="89" spans="2:47" x14ac:dyDescent="0.2">
      <c r="B89" s="4"/>
      <c r="C89" s="5"/>
      <c r="D89" s="5"/>
      <c r="F89" s="7"/>
      <c r="G89" s="149" t="s">
        <v>119</v>
      </c>
      <c r="H89" s="23" t="s">
        <v>99</v>
      </c>
      <c r="I89" s="13" t="s">
        <v>82</v>
      </c>
      <c r="J89" s="125">
        <f>+O84-O88</f>
        <v>0</v>
      </c>
      <c r="K89" s="9" t="s">
        <v>104</v>
      </c>
      <c r="L89" s="26">
        <v>0</v>
      </c>
      <c r="M89" s="37"/>
      <c r="N89" s="2"/>
      <c r="O89" s="5">
        <f>IF(SUM($N$88:N89)&gt;$O$84,+$O$84-O88,N89)</f>
        <v>0</v>
      </c>
      <c r="P89" s="5">
        <v>0</v>
      </c>
      <c r="Q89" s="148">
        <f>+Q88*0.75</f>
        <v>52.5</v>
      </c>
      <c r="R89" s="142">
        <f>IF($O$84=0,0,+O89/$O$84*Q89)</f>
        <v>0</v>
      </c>
      <c r="S89" s="71"/>
      <c r="T89" s="8"/>
      <c r="U89" s="3">
        <f>+U88</f>
        <v>1</v>
      </c>
      <c r="V89" s="161">
        <f t="shared" ref="V89:V91" si="16">+U89*R89</f>
        <v>0</v>
      </c>
      <c r="W89" s="128">
        <f t="shared" si="15"/>
        <v>0</v>
      </c>
      <c r="X89" s="14"/>
      <c r="AA89" s="72"/>
      <c r="AB89" s="72"/>
      <c r="AC89" s="72"/>
      <c r="AD89" s="72"/>
      <c r="AE89" s="72"/>
      <c r="AF89" s="72"/>
      <c r="AG89" s="72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  <c r="AS89" s="72"/>
      <c r="AT89" s="72"/>
      <c r="AU89" s="72"/>
    </row>
    <row r="90" spans="2:47" x14ac:dyDescent="0.2">
      <c r="B90" s="4"/>
      <c r="C90" s="5"/>
      <c r="D90" s="5"/>
      <c r="F90" s="7"/>
      <c r="G90" s="149" t="s">
        <v>120</v>
      </c>
      <c r="H90" s="23" t="s">
        <v>100</v>
      </c>
      <c r="I90" s="13" t="s">
        <v>82</v>
      </c>
      <c r="J90" s="125">
        <f>+O84-O88-O89</f>
        <v>0</v>
      </c>
      <c r="K90" s="9" t="s">
        <v>104</v>
      </c>
      <c r="L90" s="26">
        <v>0</v>
      </c>
      <c r="M90" s="37"/>
      <c r="N90" s="2"/>
      <c r="O90" s="5">
        <f>IF(SUM($N$88:N90)&gt;$O$84,+$O$84-O88-O89,N90)</f>
        <v>0</v>
      </c>
      <c r="P90" s="5">
        <v>0</v>
      </c>
      <c r="Q90" s="148">
        <f>+Q88*0.5</f>
        <v>35</v>
      </c>
      <c r="R90" s="142">
        <f>IF($O$84=0,0,+O90/$O$84*Q90)</f>
        <v>0</v>
      </c>
      <c r="S90" s="71"/>
      <c r="T90" s="8"/>
      <c r="U90" s="3">
        <f t="shared" ref="U90:U91" si="17">+U89</f>
        <v>1</v>
      </c>
      <c r="V90" s="161">
        <f t="shared" si="16"/>
        <v>0</v>
      </c>
      <c r="W90" s="128">
        <f t="shared" si="15"/>
        <v>0</v>
      </c>
      <c r="X90" s="14"/>
      <c r="AA90" s="72"/>
      <c r="AB90" s="72"/>
      <c r="AC90" s="72"/>
      <c r="AD90" s="72"/>
      <c r="AE90" s="72"/>
      <c r="AF90" s="72"/>
      <c r="AG90" s="72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  <c r="AS90" s="72"/>
      <c r="AT90" s="72"/>
      <c r="AU90" s="72"/>
    </row>
    <row r="91" spans="2:47" x14ac:dyDescent="0.2">
      <c r="B91" s="4"/>
      <c r="C91" s="5"/>
      <c r="D91" s="5"/>
      <c r="F91" s="7"/>
      <c r="G91" s="149" t="s">
        <v>119</v>
      </c>
      <c r="H91" s="23" t="s">
        <v>101</v>
      </c>
      <c r="I91" s="13" t="s">
        <v>82</v>
      </c>
      <c r="J91" s="125">
        <f>+$O$84-SUM($O$88:O90)</f>
        <v>0</v>
      </c>
      <c r="K91" s="9" t="s">
        <v>7</v>
      </c>
      <c r="L91" s="26">
        <v>0</v>
      </c>
      <c r="M91" s="37"/>
      <c r="N91" s="2"/>
      <c r="O91" s="5">
        <f>IF(SUM($N$88:N91)&gt;$O$84,+$O$84-O88-O89-O90,N91)</f>
        <v>0</v>
      </c>
      <c r="P91" s="5">
        <v>0</v>
      </c>
      <c r="Q91" s="148">
        <f>+Q88*0.25</f>
        <v>17.5</v>
      </c>
      <c r="R91" s="142">
        <f>IF($O$84=0,0,+O91/$O$84*Q91)</f>
        <v>0</v>
      </c>
      <c r="S91" s="71"/>
      <c r="T91" s="8"/>
      <c r="U91" s="3">
        <f t="shared" si="17"/>
        <v>1</v>
      </c>
      <c r="V91" s="161">
        <f t="shared" si="16"/>
        <v>0</v>
      </c>
      <c r="W91" s="128">
        <f t="shared" si="15"/>
        <v>0</v>
      </c>
      <c r="X91" s="14"/>
      <c r="AA91" s="72"/>
      <c r="AB91" s="72"/>
      <c r="AC91" s="72"/>
      <c r="AD91" s="72"/>
      <c r="AE91" s="72"/>
      <c r="AF91" s="72"/>
      <c r="AG91" s="72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  <c r="AS91" s="72"/>
      <c r="AT91" s="72"/>
      <c r="AU91" s="72"/>
    </row>
    <row r="92" spans="2:47" x14ac:dyDescent="0.2">
      <c r="B92" s="4"/>
      <c r="C92" s="5"/>
      <c r="D92" s="5"/>
      <c r="F92" s="5"/>
      <c r="G92" s="149" t="s">
        <v>110</v>
      </c>
      <c r="H92" s="99" t="s">
        <v>102</v>
      </c>
      <c r="I92" s="8"/>
      <c r="J92" s="9"/>
      <c r="K92" s="10"/>
      <c r="L92" s="26"/>
      <c r="M92" s="37"/>
      <c r="N92" s="10"/>
      <c r="O92" s="5">
        <f>+O84-SUM(O88:O91)</f>
        <v>0</v>
      </c>
      <c r="P92" s="10"/>
      <c r="Q92" s="11"/>
      <c r="R92" s="21"/>
      <c r="S92" s="28"/>
      <c r="T92" s="8"/>
      <c r="U92" s="3"/>
      <c r="V92" s="3"/>
      <c r="W92" s="3"/>
      <c r="X92" s="14"/>
      <c r="Y92" s="5"/>
      <c r="Z92" s="15"/>
      <c r="AA92" s="72"/>
      <c r="AB92" s="72"/>
      <c r="AC92" s="72"/>
      <c r="AD92" s="72"/>
      <c r="AE92" s="72"/>
      <c r="AF92" s="72"/>
      <c r="AG92" s="72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  <c r="AS92" s="72"/>
      <c r="AT92" s="72"/>
      <c r="AU92" s="72"/>
    </row>
    <row r="93" spans="2:47" x14ac:dyDescent="0.2">
      <c r="B93" s="4"/>
      <c r="C93" s="5"/>
      <c r="D93" s="5"/>
      <c r="F93" s="5"/>
      <c r="G93" s="5"/>
      <c r="H93" s="99"/>
      <c r="I93" s="8"/>
      <c r="J93" s="9"/>
      <c r="K93" s="10"/>
      <c r="L93" s="26"/>
      <c r="M93" s="37"/>
      <c r="N93" s="10"/>
      <c r="O93" s="5"/>
      <c r="P93" s="10"/>
      <c r="Q93" s="11"/>
      <c r="R93" s="21"/>
      <c r="S93" s="28"/>
      <c r="T93" s="8"/>
      <c r="U93" s="3"/>
      <c r="V93" s="3"/>
      <c r="W93" s="3"/>
      <c r="X93" s="14"/>
      <c r="Y93" s="5"/>
      <c r="Z93" s="15"/>
      <c r="AA93" s="72"/>
      <c r="AB93" s="72"/>
      <c r="AC93" s="72"/>
      <c r="AD93" s="72"/>
      <c r="AE93" s="72"/>
      <c r="AF93" s="72"/>
      <c r="AG93" s="72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  <c r="AS93" s="72"/>
      <c r="AT93" s="72"/>
      <c r="AU93" s="72"/>
    </row>
    <row r="94" spans="2:47" x14ac:dyDescent="0.2">
      <c r="B94" s="4"/>
      <c r="C94" s="5"/>
      <c r="D94" s="5"/>
      <c r="F94" s="5"/>
      <c r="G94" s="5"/>
      <c r="H94" s="99" t="s">
        <v>111</v>
      </c>
      <c r="I94" s="8"/>
      <c r="J94" s="9"/>
      <c r="K94" s="10"/>
      <c r="L94" s="26"/>
      <c r="M94" s="37"/>
      <c r="N94" s="10"/>
      <c r="P94" s="10"/>
      <c r="Q94" s="11"/>
      <c r="R94" s="21"/>
      <c r="S94" s="28"/>
      <c r="T94" s="8"/>
      <c r="U94" s="3"/>
      <c r="V94" s="3"/>
      <c r="W94" s="3"/>
      <c r="X94" s="14"/>
      <c r="Y94" s="5"/>
      <c r="Z94" s="15"/>
      <c r="AA94" s="72"/>
      <c r="AB94" s="72"/>
      <c r="AC94" s="72"/>
      <c r="AD94" s="72"/>
      <c r="AE94" s="72"/>
      <c r="AF94" s="72"/>
      <c r="AG94" s="72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  <c r="AS94" s="72"/>
      <c r="AT94" s="72"/>
      <c r="AU94" s="72"/>
    </row>
    <row r="95" spans="2:47" x14ac:dyDescent="0.2">
      <c r="B95" s="4"/>
      <c r="C95" s="5"/>
      <c r="D95" s="5"/>
      <c r="F95" s="5"/>
      <c r="G95" s="5"/>
      <c r="H95" s="23" t="s">
        <v>98</v>
      </c>
      <c r="I95" s="8"/>
      <c r="J95" s="9"/>
      <c r="K95" s="10"/>
      <c r="L95" s="26"/>
      <c r="M95" s="37"/>
      <c r="N95" s="10"/>
      <c r="O95" s="5">
        <f>+O88*100%</f>
        <v>0</v>
      </c>
      <c r="P95" s="10"/>
      <c r="Q95" s="11"/>
      <c r="R95" s="21"/>
      <c r="S95" s="28"/>
      <c r="T95" s="8"/>
      <c r="U95" s="3"/>
      <c r="V95" s="3"/>
      <c r="W95" s="3"/>
      <c r="X95" s="14"/>
      <c r="Y95" s="5"/>
      <c r="Z95" s="15"/>
      <c r="AA95" s="72"/>
      <c r="AB95" s="72"/>
      <c r="AC95" s="72"/>
      <c r="AD95" s="72"/>
      <c r="AE95" s="72"/>
      <c r="AF95" s="72"/>
      <c r="AG95" s="72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  <c r="AS95" s="72"/>
      <c r="AT95" s="72"/>
      <c r="AU95" s="72"/>
    </row>
    <row r="96" spans="2:47" x14ac:dyDescent="0.2">
      <c r="B96" s="4"/>
      <c r="C96" s="5"/>
      <c r="D96" s="5"/>
      <c r="F96" s="5"/>
      <c r="G96" s="5"/>
      <c r="H96" s="23" t="s">
        <v>99</v>
      </c>
      <c r="I96" s="8"/>
      <c r="J96" s="9"/>
      <c r="K96" s="10"/>
      <c r="L96" s="26"/>
      <c r="M96" s="37"/>
      <c r="N96" s="10"/>
      <c r="O96" s="5">
        <f>+O89*75%</f>
        <v>0</v>
      </c>
      <c r="P96" s="10"/>
      <c r="Q96" s="11"/>
      <c r="R96" s="21"/>
      <c r="S96" s="28"/>
      <c r="T96" s="8"/>
      <c r="U96" s="3"/>
      <c r="V96" s="3"/>
      <c r="W96" s="3"/>
      <c r="X96" s="14"/>
      <c r="Y96" s="5"/>
      <c r="Z96" s="15"/>
      <c r="AA96" s="72"/>
      <c r="AB96" s="72"/>
      <c r="AC96" s="72"/>
      <c r="AD96" s="72"/>
      <c r="AE96" s="72"/>
      <c r="AF96" s="72"/>
      <c r="AG96" s="72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  <c r="AS96" s="72"/>
      <c r="AT96" s="72"/>
      <c r="AU96" s="72"/>
    </row>
    <row r="97" spans="2:47" x14ac:dyDescent="0.2">
      <c r="B97" s="4"/>
      <c r="C97" s="5"/>
      <c r="D97" s="5"/>
      <c r="F97" s="5"/>
      <c r="G97" s="5"/>
      <c r="H97" s="23" t="s">
        <v>100</v>
      </c>
      <c r="I97" s="8"/>
      <c r="J97" s="9"/>
      <c r="K97" s="10"/>
      <c r="L97" s="26"/>
      <c r="M97" s="37"/>
      <c r="N97" s="10"/>
      <c r="O97" s="5">
        <f>+O90*50%</f>
        <v>0</v>
      </c>
      <c r="P97" s="10"/>
      <c r="Q97" s="11"/>
      <c r="R97" s="21"/>
      <c r="S97" s="28"/>
      <c r="T97" s="8"/>
      <c r="U97" s="3"/>
      <c r="V97" s="3"/>
      <c r="W97" s="3"/>
      <c r="X97" s="14"/>
      <c r="Y97" s="5"/>
      <c r="Z97" s="15"/>
      <c r="AA97" s="72"/>
      <c r="AB97" s="72"/>
      <c r="AC97" s="72"/>
      <c r="AD97" s="72"/>
      <c r="AE97" s="72"/>
      <c r="AF97" s="72"/>
      <c r="AG97" s="72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  <c r="AS97" s="72"/>
      <c r="AT97" s="72"/>
      <c r="AU97" s="72"/>
    </row>
    <row r="98" spans="2:47" x14ac:dyDescent="0.2">
      <c r="B98" s="4"/>
      <c r="C98" s="5"/>
      <c r="D98" s="5"/>
      <c r="F98" s="5"/>
      <c r="G98" s="5"/>
      <c r="H98" s="23" t="s">
        <v>101</v>
      </c>
      <c r="I98" s="8"/>
      <c r="J98" s="9"/>
      <c r="K98" s="10"/>
      <c r="L98" s="26"/>
      <c r="M98" s="37"/>
      <c r="N98" s="10"/>
      <c r="O98" s="5">
        <f>+O91*25%</f>
        <v>0</v>
      </c>
      <c r="P98" s="10"/>
      <c r="Q98" s="11"/>
      <c r="R98" s="21"/>
      <c r="S98" s="28"/>
      <c r="T98" s="8"/>
      <c r="U98" s="3"/>
      <c r="V98" s="3"/>
      <c r="W98" s="3"/>
      <c r="X98" s="14"/>
      <c r="Y98" s="5"/>
      <c r="Z98" s="15"/>
      <c r="AA98" s="72"/>
      <c r="AB98" s="72"/>
      <c r="AC98" s="72"/>
      <c r="AD98" s="72"/>
      <c r="AE98" s="72"/>
      <c r="AF98" s="72"/>
      <c r="AG98" s="72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  <c r="AS98" s="72"/>
      <c r="AT98" s="72"/>
      <c r="AU98" s="72"/>
    </row>
    <row r="99" spans="2:47" x14ac:dyDescent="0.2">
      <c r="B99" s="4"/>
      <c r="C99" s="5"/>
      <c r="D99" s="5"/>
      <c r="F99" s="5"/>
      <c r="G99" s="5"/>
      <c r="H99" s="99" t="s">
        <v>102</v>
      </c>
      <c r="I99" s="8"/>
      <c r="J99" s="9"/>
      <c r="K99" s="10"/>
      <c r="L99" s="26"/>
      <c r="M99" s="37"/>
      <c r="N99" s="10"/>
      <c r="O99" s="5">
        <f>+O92*0%</f>
        <v>0</v>
      </c>
      <c r="P99" s="10"/>
      <c r="Q99" s="11"/>
      <c r="R99" s="21"/>
      <c r="S99" s="28"/>
      <c r="T99" s="8"/>
      <c r="U99" s="3"/>
      <c r="V99" s="3"/>
      <c r="W99" s="3"/>
      <c r="X99" s="14"/>
      <c r="Y99" s="5"/>
      <c r="Z99" s="15"/>
      <c r="AA99" s="72"/>
      <c r="AB99" s="72"/>
      <c r="AC99" s="72"/>
      <c r="AD99" s="72"/>
      <c r="AE99" s="72"/>
      <c r="AF99" s="72"/>
      <c r="AG99" s="72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  <c r="AS99" s="72"/>
      <c r="AT99" s="72"/>
      <c r="AU99" s="72"/>
    </row>
    <row r="100" spans="2:47" x14ac:dyDescent="0.2">
      <c r="B100" s="4"/>
      <c r="C100" s="5"/>
      <c r="D100" s="5"/>
      <c r="F100" s="5"/>
      <c r="G100" s="5"/>
      <c r="H100" s="207" t="s">
        <v>144</v>
      </c>
      <c r="I100" s="8"/>
      <c r="J100" s="9"/>
      <c r="K100" s="10"/>
      <c r="L100" s="26"/>
      <c r="M100" s="37"/>
      <c r="N100" s="10"/>
      <c r="O100" s="20">
        <f>SUM(O95:O99)</f>
        <v>0</v>
      </c>
      <c r="P100" s="10"/>
      <c r="Q100" s="11"/>
      <c r="R100" s="21"/>
      <c r="S100" s="28">
        <v>1</v>
      </c>
      <c r="T100" s="8"/>
      <c r="U100" s="3">
        <f>+U91</f>
        <v>1</v>
      </c>
      <c r="V100" s="161">
        <f>SUM(V88:V91)</f>
        <v>0</v>
      </c>
      <c r="W100" s="128">
        <f t="shared" ref="W100" si="18">+V100/3000*1400000</f>
        <v>0</v>
      </c>
      <c r="X100" s="14">
        <f>IF(O100=N6444,0,+U100*S100)</f>
        <v>0</v>
      </c>
      <c r="Y100" s="5"/>
      <c r="Z100" s="15"/>
      <c r="AA100" s="72"/>
      <c r="AB100" s="72"/>
      <c r="AC100" s="72"/>
      <c r="AD100" s="72"/>
      <c r="AE100" s="72"/>
      <c r="AF100" s="72"/>
      <c r="AG100" s="72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  <c r="AS100" s="72"/>
      <c r="AT100" s="72"/>
      <c r="AU100" s="72"/>
    </row>
    <row r="101" spans="2:47" ht="13.5" thickBot="1" x14ac:dyDescent="0.25">
      <c r="B101" s="4"/>
      <c r="C101" s="5"/>
      <c r="D101" s="5"/>
      <c r="E101" s="149"/>
      <c r="F101" s="149"/>
      <c r="G101" s="149"/>
      <c r="H101" s="149"/>
      <c r="I101" s="13"/>
      <c r="J101" s="9"/>
      <c r="L101" s="32"/>
      <c r="M101" s="41"/>
      <c r="N101" s="40"/>
      <c r="O101" s="40"/>
      <c r="P101" s="40"/>
      <c r="Q101" s="39"/>
      <c r="R101" s="74"/>
      <c r="S101" s="75"/>
      <c r="T101" s="76"/>
      <c r="U101" s="40"/>
      <c r="V101" s="40"/>
      <c r="W101" s="131"/>
      <c r="X101" s="42"/>
      <c r="Z101" s="15"/>
      <c r="AA101" s="15" t="s">
        <v>8</v>
      </c>
      <c r="AB101" s="15"/>
      <c r="AC101" s="15"/>
      <c r="AD101" s="15"/>
      <c r="AE101" s="15"/>
      <c r="AF101" s="15"/>
      <c r="AG101" s="15"/>
      <c r="AH101" s="15"/>
      <c r="AI101" s="15"/>
    </row>
    <row r="102" spans="2:47" x14ac:dyDescent="0.2">
      <c r="B102" s="33"/>
      <c r="C102" s="34"/>
      <c r="D102" s="34"/>
      <c r="E102" s="150"/>
      <c r="F102" s="150"/>
      <c r="G102" s="150"/>
      <c r="H102" s="150"/>
      <c r="I102" s="77"/>
      <c r="J102" s="35"/>
      <c r="K102" s="35"/>
      <c r="L102" s="78"/>
      <c r="M102" s="35"/>
      <c r="N102" s="35"/>
      <c r="O102" s="35"/>
      <c r="P102" s="35"/>
      <c r="Q102" s="35"/>
      <c r="R102" s="79"/>
      <c r="S102" s="35"/>
      <c r="T102" s="77"/>
      <c r="U102" s="35"/>
      <c r="V102" s="35"/>
      <c r="W102" s="130"/>
      <c r="X102" s="36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</row>
    <row r="103" spans="2:47" ht="12.75" customHeight="1" x14ac:dyDescent="0.2">
      <c r="B103" s="4"/>
      <c r="C103" s="5"/>
      <c r="D103" s="5"/>
      <c r="E103" s="149"/>
      <c r="F103" s="149"/>
      <c r="G103" s="149"/>
      <c r="H103" s="149"/>
      <c r="I103" s="13"/>
      <c r="J103" s="10" t="s">
        <v>31</v>
      </c>
      <c r="K103" s="10"/>
      <c r="L103" s="27"/>
      <c r="M103" s="10"/>
      <c r="N103" s="10"/>
      <c r="O103" s="10">
        <f>SUM(P19:P81)</f>
        <v>-300</v>
      </c>
      <c r="Q103" s="10"/>
      <c r="R103" s="21"/>
      <c r="S103" s="10"/>
      <c r="T103" s="13"/>
      <c r="U103" s="10"/>
      <c r="V103" s="10"/>
      <c r="W103" s="129"/>
      <c r="X103" s="18"/>
      <c r="Z103" s="15"/>
      <c r="AA103" s="213" t="s">
        <v>9</v>
      </c>
      <c r="AB103" s="213"/>
      <c r="AC103" s="213"/>
      <c r="AD103" s="213"/>
      <c r="AE103" s="213"/>
      <c r="AF103" s="213"/>
      <c r="AG103" s="213"/>
      <c r="AH103" s="213"/>
      <c r="AI103" s="213"/>
    </row>
    <row r="104" spans="2:47" x14ac:dyDescent="0.2">
      <c r="B104" s="4"/>
      <c r="C104" s="5"/>
      <c r="D104" s="5"/>
      <c r="E104" s="149"/>
      <c r="F104" s="149"/>
      <c r="G104" s="149"/>
      <c r="H104" s="149"/>
      <c r="I104" s="13"/>
      <c r="J104" s="10" t="s">
        <v>11</v>
      </c>
      <c r="K104" s="10"/>
      <c r="L104" s="27"/>
      <c r="M104" s="10"/>
      <c r="N104" s="10"/>
      <c r="O104" s="10">
        <f>SUM(Q19:Q84)</f>
        <v>1000</v>
      </c>
      <c r="P104" s="10"/>
      <c r="R104" s="21"/>
      <c r="S104" s="10"/>
      <c r="T104" s="13"/>
      <c r="U104" s="10"/>
      <c r="V104" s="10"/>
      <c r="W104" s="129">
        <f>SUM(W18:W92)</f>
        <v>-140000</v>
      </c>
      <c r="X104" s="18" t="s">
        <v>108</v>
      </c>
      <c r="Z104" s="15"/>
      <c r="AA104" s="151"/>
      <c r="AB104" s="151"/>
      <c r="AC104" s="151"/>
      <c r="AD104" s="151"/>
      <c r="AE104" s="151"/>
      <c r="AF104" s="151"/>
      <c r="AG104" s="151"/>
      <c r="AH104" s="151"/>
      <c r="AI104" s="151"/>
    </row>
    <row r="105" spans="2:47" x14ac:dyDescent="0.2">
      <c r="B105" s="4"/>
      <c r="C105" s="5"/>
      <c r="D105" s="5"/>
      <c r="E105" s="149"/>
      <c r="F105" s="149"/>
      <c r="G105" s="149"/>
      <c r="H105" s="149"/>
      <c r="I105" s="13"/>
      <c r="J105" s="10" t="s">
        <v>73</v>
      </c>
      <c r="L105" s="32"/>
      <c r="M105" s="10"/>
      <c r="N105" s="10"/>
      <c r="O105" s="10"/>
      <c r="P105" s="10"/>
      <c r="Q105" s="5"/>
      <c r="R105" s="146">
        <f>SUM(R19:R91)</f>
        <v>-300</v>
      </c>
      <c r="S105" s="10"/>
      <c r="T105" s="13"/>
      <c r="U105" s="10"/>
      <c r="V105" s="21">
        <f>SUM(V19:V91)</f>
        <v>-300</v>
      </c>
      <c r="W105" s="129"/>
      <c r="X105" s="18" t="s">
        <v>6</v>
      </c>
      <c r="Z105" s="15"/>
      <c r="AA105" s="151"/>
      <c r="AB105" s="151"/>
      <c r="AC105" s="151"/>
      <c r="AD105" s="151"/>
      <c r="AE105" s="151"/>
      <c r="AF105" s="151"/>
      <c r="AG105" s="151"/>
      <c r="AH105" s="151"/>
      <c r="AI105" s="151"/>
    </row>
    <row r="106" spans="2:47" x14ac:dyDescent="0.2">
      <c r="B106" s="4"/>
      <c r="C106" s="5"/>
      <c r="D106" s="5"/>
      <c r="E106" s="149"/>
      <c r="F106" s="149"/>
      <c r="G106" s="149"/>
      <c r="H106" s="149"/>
      <c r="I106" s="13"/>
      <c r="J106" s="10"/>
      <c r="K106" s="10"/>
      <c r="L106" s="27"/>
      <c r="M106" s="10"/>
      <c r="N106" s="10"/>
      <c r="O106" s="10"/>
      <c r="P106" s="10"/>
      <c r="Q106" s="10"/>
      <c r="R106" s="21"/>
      <c r="S106" s="10"/>
      <c r="T106" s="13"/>
      <c r="U106" s="10"/>
      <c r="V106" s="10"/>
      <c r="W106" s="129"/>
      <c r="X106" s="18"/>
      <c r="Z106" s="15"/>
      <c r="AA106" s="151"/>
      <c r="AB106" s="151"/>
      <c r="AC106" s="151"/>
      <c r="AD106" s="151"/>
      <c r="AE106" s="151"/>
      <c r="AF106" s="151"/>
      <c r="AG106" s="151"/>
      <c r="AH106" s="151"/>
      <c r="AI106" s="151"/>
    </row>
    <row r="107" spans="2:47" ht="25.5" x14ac:dyDescent="0.2">
      <c r="B107" s="80"/>
      <c r="C107" s="81"/>
      <c r="D107" s="81"/>
      <c r="E107" s="212"/>
      <c r="F107" s="212"/>
      <c r="G107" s="212"/>
      <c r="H107" s="212"/>
      <c r="I107" s="82"/>
      <c r="J107" s="83"/>
      <c r="K107" s="83"/>
      <c r="L107" s="84"/>
      <c r="M107" s="83"/>
      <c r="N107" s="83"/>
      <c r="O107" s="83"/>
      <c r="P107" s="83"/>
      <c r="Q107" s="83"/>
      <c r="R107" s="85"/>
      <c r="S107" s="86"/>
      <c r="T107" s="87"/>
      <c r="U107" s="86" t="s">
        <v>12</v>
      </c>
      <c r="V107" s="88">
        <f>+V105-R105</f>
        <v>0</v>
      </c>
      <c r="W107" s="135"/>
      <c r="X107" s="89"/>
      <c r="Z107" s="15"/>
      <c r="AA107" s="151"/>
      <c r="AB107" s="151"/>
      <c r="AC107" s="151"/>
      <c r="AD107" s="151"/>
      <c r="AE107" s="151"/>
      <c r="AF107" s="151"/>
      <c r="AG107" s="151"/>
      <c r="AH107" s="151"/>
      <c r="AI107" s="151"/>
    </row>
    <row r="108" spans="2:47" x14ac:dyDescent="0.2">
      <c r="B108" s="4"/>
      <c r="C108" s="5"/>
      <c r="D108" s="5"/>
      <c r="E108" s="217"/>
      <c r="F108" s="217"/>
      <c r="G108" s="217"/>
      <c r="H108" s="217"/>
      <c r="I108" s="13"/>
      <c r="J108" s="10"/>
      <c r="K108" s="10"/>
      <c r="L108" s="27"/>
      <c r="M108" s="10"/>
      <c r="N108" s="10"/>
      <c r="O108" s="10"/>
      <c r="P108" s="10"/>
      <c r="Q108" s="10"/>
      <c r="R108" s="21"/>
      <c r="S108" s="10"/>
      <c r="T108" s="10"/>
      <c r="U108" s="10"/>
      <c r="V108" s="10"/>
      <c r="W108" s="129"/>
      <c r="X108" s="18"/>
      <c r="Z108" s="15"/>
      <c r="AA108" s="15"/>
      <c r="AB108" s="15"/>
      <c r="AC108" s="15"/>
      <c r="AD108" s="15"/>
      <c r="AE108" s="15"/>
      <c r="AF108" s="15"/>
      <c r="AG108" s="15"/>
      <c r="AH108" s="15"/>
      <c r="AI108" s="15"/>
    </row>
    <row r="109" spans="2:47" ht="13.5" thickBot="1" x14ac:dyDescent="0.25">
      <c r="B109" s="38"/>
      <c r="C109" s="39"/>
      <c r="D109" s="39"/>
      <c r="E109" s="218"/>
      <c r="F109" s="218"/>
      <c r="G109" s="218"/>
      <c r="H109" s="218"/>
      <c r="I109" s="76"/>
      <c r="J109" s="40"/>
      <c r="K109" s="40"/>
      <c r="L109" s="90"/>
      <c r="M109" s="40"/>
      <c r="N109" s="40"/>
      <c r="O109" s="40" t="s">
        <v>37</v>
      </c>
      <c r="P109" s="40"/>
      <c r="Q109" s="74">
        <f>+V105</f>
        <v>-300</v>
      </c>
      <c r="R109" s="74"/>
      <c r="S109" s="40" t="s">
        <v>10</v>
      </c>
      <c r="T109" s="40"/>
      <c r="U109" s="40"/>
      <c r="V109" s="40"/>
      <c r="W109" s="131"/>
      <c r="X109" s="91"/>
      <c r="Z109" s="15"/>
      <c r="AB109" s="15"/>
      <c r="AC109" s="15"/>
      <c r="AD109" s="15"/>
      <c r="AE109" s="15"/>
      <c r="AF109" s="15"/>
      <c r="AG109" s="15"/>
      <c r="AH109" s="15"/>
      <c r="AI109" s="15"/>
    </row>
    <row r="110" spans="2:47" x14ac:dyDescent="0.2">
      <c r="B110" s="5"/>
      <c r="C110" s="5"/>
      <c r="D110" s="5"/>
      <c r="E110" s="149"/>
      <c r="F110" s="149"/>
      <c r="G110" s="149"/>
      <c r="H110" s="149"/>
      <c r="I110" s="10"/>
      <c r="J110" s="10"/>
      <c r="K110" s="10"/>
      <c r="L110" s="27"/>
      <c r="M110" s="10"/>
      <c r="N110" s="10"/>
      <c r="O110" s="10"/>
      <c r="P110" s="10"/>
      <c r="Q110" s="10"/>
      <c r="R110" s="21"/>
      <c r="S110" s="10"/>
      <c r="T110" s="10"/>
      <c r="U110" s="10"/>
      <c r="V110" s="10"/>
      <c r="W110" s="129"/>
      <c r="X110" s="5"/>
      <c r="Z110" s="15"/>
      <c r="AB110" s="15"/>
      <c r="AC110" s="15"/>
      <c r="AD110" s="15"/>
      <c r="AE110" s="15"/>
      <c r="AF110" s="15"/>
      <c r="AG110" s="15"/>
      <c r="AH110" s="15"/>
      <c r="AI110" s="15"/>
    </row>
    <row r="111" spans="2:47" x14ac:dyDescent="0.2">
      <c r="B111" s="5"/>
      <c r="C111" s="5"/>
      <c r="D111" s="5"/>
      <c r="E111" s="149"/>
      <c r="F111" s="149"/>
      <c r="G111" s="149"/>
      <c r="H111" s="149"/>
      <c r="I111" s="10"/>
      <c r="J111" s="10"/>
      <c r="K111" s="10"/>
      <c r="L111" s="27"/>
      <c r="M111" s="10"/>
      <c r="N111" s="10"/>
      <c r="O111" s="10" t="s">
        <v>38</v>
      </c>
      <c r="Q111" s="92">
        <v>1400000</v>
      </c>
      <c r="R111" s="21"/>
      <c r="S111" s="10"/>
      <c r="T111" s="10"/>
      <c r="U111" s="10"/>
      <c r="V111" s="10"/>
      <c r="W111" s="129"/>
      <c r="X111" s="5"/>
      <c r="Z111" s="15"/>
      <c r="AB111" s="15"/>
      <c r="AC111" s="15"/>
      <c r="AD111" s="15"/>
      <c r="AE111" s="15"/>
      <c r="AF111" s="15"/>
      <c r="AG111" s="15"/>
      <c r="AH111" s="15"/>
      <c r="AI111" s="15"/>
    </row>
    <row r="112" spans="2:47" x14ac:dyDescent="0.2">
      <c r="B112" s="5"/>
      <c r="C112" s="5"/>
      <c r="D112" s="5"/>
      <c r="E112" s="149"/>
      <c r="F112" s="149"/>
      <c r="G112" s="149"/>
      <c r="H112" s="149"/>
      <c r="I112" s="10"/>
      <c r="J112" s="10"/>
      <c r="K112" s="10"/>
      <c r="L112" s="27"/>
      <c r="M112" s="10"/>
      <c r="N112" s="10"/>
      <c r="O112" s="10" t="s">
        <v>39</v>
      </c>
      <c r="P112" s="10"/>
      <c r="Q112" s="92">
        <f>+Q109/3000*Q111</f>
        <v>-140000</v>
      </c>
      <c r="R112" s="21"/>
      <c r="S112" s="10"/>
      <c r="T112" s="10"/>
      <c r="U112" s="10"/>
      <c r="V112" s="10"/>
      <c r="W112" s="129"/>
      <c r="X112" s="5"/>
      <c r="Z112" s="15"/>
      <c r="AB112" s="15"/>
      <c r="AC112" s="15"/>
      <c r="AD112" s="15"/>
      <c r="AE112" s="15"/>
      <c r="AF112" s="15"/>
      <c r="AG112" s="15"/>
      <c r="AH112" s="15"/>
      <c r="AI112" s="15"/>
    </row>
    <row r="113" spans="2:8" x14ac:dyDescent="0.2">
      <c r="E113" s="208"/>
      <c r="F113" s="208"/>
      <c r="G113" s="208"/>
      <c r="H113" s="208"/>
    </row>
    <row r="114" spans="2:8" x14ac:dyDescent="0.2">
      <c r="E114" s="208"/>
      <c r="F114" s="208"/>
      <c r="G114" s="208"/>
      <c r="H114" s="208"/>
    </row>
    <row r="115" spans="2:8" x14ac:dyDescent="0.2">
      <c r="B115" s="31" t="s">
        <v>56</v>
      </c>
      <c r="C115" s="31" t="s">
        <v>0</v>
      </c>
      <c r="D115" s="31"/>
      <c r="E115" s="211"/>
      <c r="F115" s="211"/>
      <c r="G115" s="211"/>
      <c r="H115" s="211"/>
    </row>
    <row r="116" spans="2:8" x14ac:dyDescent="0.2">
      <c r="B116" s="31"/>
      <c r="C116" s="31"/>
      <c r="D116" s="31"/>
      <c r="E116" s="210"/>
      <c r="F116" s="210"/>
      <c r="G116" s="210"/>
      <c r="H116" s="210"/>
    </row>
    <row r="117" spans="2:8" x14ac:dyDescent="0.2">
      <c r="B117" s="31" t="s">
        <v>57</v>
      </c>
      <c r="C117" s="31" t="s">
        <v>0</v>
      </c>
      <c r="D117" s="31"/>
      <c r="E117" s="211"/>
      <c r="F117" s="211"/>
      <c r="G117" s="211"/>
      <c r="H117" s="211"/>
    </row>
    <row r="118" spans="2:8" x14ac:dyDescent="0.2">
      <c r="B118" s="31" t="s">
        <v>58</v>
      </c>
      <c r="C118" s="31" t="s">
        <v>0</v>
      </c>
      <c r="D118" s="31"/>
      <c r="E118" s="211"/>
      <c r="F118" s="211"/>
      <c r="G118" s="211"/>
      <c r="H118" s="211"/>
    </row>
    <row r="119" spans="2:8" x14ac:dyDescent="0.2">
      <c r="B119" s="31"/>
      <c r="C119" s="31"/>
      <c r="D119" s="31"/>
      <c r="E119" s="210"/>
      <c r="F119" s="210"/>
      <c r="G119" s="210"/>
      <c r="H119" s="210"/>
    </row>
    <row r="120" spans="2:8" x14ac:dyDescent="0.2">
      <c r="B120" s="31" t="s">
        <v>59</v>
      </c>
      <c r="C120" s="31" t="s">
        <v>0</v>
      </c>
      <c r="D120" s="31"/>
      <c r="E120" s="209"/>
      <c r="F120" s="209"/>
      <c r="G120" s="209"/>
      <c r="H120" s="209"/>
    </row>
    <row r="121" spans="2:8" x14ac:dyDescent="0.2">
      <c r="B121" s="31"/>
      <c r="C121" s="31"/>
      <c r="D121" s="31"/>
      <c r="E121" s="209"/>
      <c r="F121" s="209"/>
      <c r="G121" s="209"/>
      <c r="H121" s="209"/>
    </row>
    <row r="122" spans="2:8" x14ac:dyDescent="0.2">
      <c r="B122" s="31"/>
      <c r="C122" s="31"/>
      <c r="D122" s="31"/>
      <c r="E122" s="209"/>
      <c r="F122" s="209"/>
      <c r="G122" s="209"/>
      <c r="H122" s="209"/>
    </row>
    <row r="123" spans="2:8" x14ac:dyDescent="0.2">
      <c r="B123" s="31"/>
      <c r="C123" s="31"/>
      <c r="D123" s="31"/>
      <c r="E123" s="209"/>
      <c r="F123" s="209"/>
      <c r="G123" s="209"/>
      <c r="H123" s="209"/>
    </row>
    <row r="124" spans="2:8" x14ac:dyDescent="0.2">
      <c r="B124" s="31"/>
      <c r="C124" s="31"/>
      <c r="D124" s="31"/>
      <c r="E124" s="209"/>
      <c r="F124" s="209"/>
      <c r="G124" s="209"/>
      <c r="H124" s="209"/>
    </row>
    <row r="125" spans="2:8" x14ac:dyDescent="0.2">
      <c r="E125" s="208"/>
      <c r="F125" s="208"/>
      <c r="G125" s="208"/>
      <c r="H125" s="208"/>
    </row>
    <row r="126" spans="2:8" x14ac:dyDescent="0.2">
      <c r="E126" s="208"/>
      <c r="F126" s="208"/>
      <c r="G126" s="208"/>
      <c r="H126" s="208"/>
    </row>
    <row r="127" spans="2:8" x14ac:dyDescent="0.2">
      <c r="E127" s="208"/>
      <c r="F127" s="208"/>
      <c r="G127" s="208"/>
      <c r="H127" s="208"/>
    </row>
  </sheetData>
  <sheetProtection algorithmName="SHA-512" hashValue="6gLjMgzUU8dZ9JkJGL0x8PJ0UoyB+fCxWpUJKBExOHMcoxyElm73WQe5wJFdZa6WbLXy9jyYCBen2Vui8L1BsA==" saltValue="lIYr5TJAVQCqNsJbQykyeg==" spinCount="100000" sheet="1" objects="1" scenarios="1" formatColumns="0"/>
  <mergeCells count="25">
    <mergeCell ref="AA103:AI103"/>
    <mergeCell ref="B7:J8"/>
    <mergeCell ref="B9:J10"/>
    <mergeCell ref="E4:H4"/>
    <mergeCell ref="D18:H18"/>
    <mergeCell ref="E53:H53"/>
    <mergeCell ref="B12:J13"/>
    <mergeCell ref="D19:H19"/>
    <mergeCell ref="E118:H118"/>
    <mergeCell ref="E107:H107"/>
    <mergeCell ref="D33:H33"/>
    <mergeCell ref="E51:H51"/>
    <mergeCell ref="E115:H115"/>
    <mergeCell ref="E116:H116"/>
    <mergeCell ref="E117:H117"/>
    <mergeCell ref="E84:H84"/>
    <mergeCell ref="E108:H108"/>
    <mergeCell ref="E109:H109"/>
    <mergeCell ref="E113:H113"/>
    <mergeCell ref="E114:H114"/>
    <mergeCell ref="E126:H126"/>
    <mergeCell ref="E127:H127"/>
    <mergeCell ref="E125:H125"/>
    <mergeCell ref="E120:H124"/>
    <mergeCell ref="E119:H119"/>
  </mergeCells>
  <phoneticPr fontId="4" type="noConversion"/>
  <conditionalFormatting sqref="N14">
    <cfRule type="containsText" dxfId="0" priority="1" operator="containsText" text="niet">
      <formula>NOT(ISERROR(SEARCH("niet",N14)))</formula>
    </cfRule>
  </conditionalFormatting>
  <dataValidations xWindow="800" yWindow="747" count="3">
    <dataValidation type="whole" allowBlank="1" showInputMessage="1" showErrorMessage="1" sqref="N58 N53:N56 N51 N73" xr:uid="{00000000-0002-0000-0000-000000000000}">
      <formula1>J51</formula1>
      <formula2>L51</formula2>
    </dataValidation>
    <dataValidation type="whole" allowBlank="1" showInputMessage="1" showErrorMessage="1" sqref="K102:M102" xr:uid="{00000000-0002-0000-0000-000002000000}">
      <formula1>AS9</formula1>
      <formula2>#REF!</formula2>
    </dataValidation>
    <dataValidation type="list" allowBlank="1" showInputMessage="1" showErrorMessage="1" sqref="T53" xr:uid="{00000000-0002-0000-0000-000001000000}">
      <formula1>$C$14:$C$18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800" yWindow="747" count="8">
        <x14:dataValidation type="list" allowBlank="1" showInputMessage="1" showErrorMessage="1" xr:uid="{00000000-0002-0000-0000-000003000000}">
          <x14:formula1>
            <xm:f>Invulwaarden!$B$8:$B$9</xm:f>
          </x14:formula1>
          <xm:sqref>N7 N59 N57 N74 N72</xm:sqref>
        </x14:dataValidation>
        <x14:dataValidation type="list" allowBlank="1" showInputMessage="1" showErrorMessage="1" xr:uid="{00000000-0002-0000-0000-000004000000}">
          <x14:formula1>
            <xm:f>Invulwaarden!$D$8:$D$28</xm:f>
          </x14:formula1>
          <xm:sqref>T30:T32 T44:T46 T52 T88:T91 T100</xm:sqref>
        </x14:dataValidation>
        <x14:dataValidation type="list" allowBlank="1" showInputMessage="1" showErrorMessage="1" xr:uid="{00000000-0002-0000-0000-000006000000}">
          <x14:formula1>
            <xm:f>Invulwaarden!$F$8:$F$12</xm:f>
          </x14:formula1>
          <xm:sqref>N76 N61 N64 N79</xm:sqref>
        </x14:dataValidation>
        <x14:dataValidation type="list" allowBlank="1" showInputMessage="1" showErrorMessage="1" xr:uid="{695E4927-1F7C-4F0A-8DAA-AC4CE7127153}">
          <x14:formula1>
            <xm:f>Invulwaarden!$L$8:$L$16</xm:f>
          </x14:formula1>
          <xm:sqref>N35 N24 N21 N38 N42</xm:sqref>
        </x14:dataValidation>
        <x14:dataValidation type="list" allowBlank="1" showInputMessage="1" showErrorMessage="1" xr:uid="{44F8835E-825E-4D14-931C-14484B2BE552}">
          <x14:formula1>
            <xm:f>Invulwaarden!$J$8:$J$21</xm:f>
          </x14:formula1>
          <xm:sqref>N49</xm:sqref>
        </x14:dataValidation>
        <x14:dataValidation type="list" allowBlank="1" showInputMessage="1" showErrorMessage="1" xr:uid="{B63622E9-E3B0-49CD-970E-5A6933B01479}">
          <x14:formula1>
            <xm:f>Invulwaarden!$N$8:$N$13</xm:f>
          </x14:formula1>
          <xm:sqref>N27</xm:sqref>
        </x14:dataValidation>
        <x14:dataValidation type="list" allowBlank="1" showInputMessage="1" showErrorMessage="1" xr:uid="{A8D9DEAB-41E3-4FAD-8252-C7AC696DC5A8}">
          <x14:formula1>
            <xm:f>Invulwaarden!$D$8:$D$18</xm:f>
          </x14:formula1>
          <xm:sqref>T21 T24 T27 T35 T38 T42 T49 T57 T61 T72 T76</xm:sqref>
        </x14:dataValidation>
        <x14:dataValidation type="list" allowBlank="1" showInputMessage="1" showErrorMessage="1" xr:uid="{63AA7107-1132-4300-BA7B-63BEA8A71B26}">
          <x14:formula1>
            <xm:f>Invulwaarden!$Q$8:$Q$28</xm:f>
          </x14:formula1>
          <xm:sqref>N84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Y97"/>
  <sheetViews>
    <sheetView workbookViewId="0">
      <selection activeCell="L31" sqref="L31"/>
    </sheetView>
  </sheetViews>
  <sheetFormatPr defaultRowHeight="12.75" x14ac:dyDescent="0.2"/>
  <cols>
    <col min="1" max="1" width="13.5703125" style="31" bestFit="1" customWidth="1"/>
    <col min="2" max="2" width="12.7109375" style="31" customWidth="1"/>
    <col min="3" max="7" width="10.140625" style="31" customWidth="1"/>
    <col min="8" max="8" width="2.7109375" style="31" customWidth="1"/>
    <col min="9" max="10" width="9.140625" style="31"/>
    <col min="11" max="11" width="10.85546875" style="31" customWidth="1"/>
    <col min="12" max="12" width="11.85546875" style="31" bestFit="1" customWidth="1"/>
    <col min="13" max="13" width="10" style="31" customWidth="1"/>
    <col min="14" max="17" width="9.140625" style="31"/>
    <col min="18" max="18" width="2.7109375" style="31" customWidth="1"/>
    <col min="19" max="16384" width="9.140625" style="31"/>
  </cols>
  <sheetData>
    <row r="2" spans="2:19" x14ac:dyDescent="0.2">
      <c r="B2" s="31" t="str">
        <f>+'EMVI-vragenlijst'!B2</f>
        <v>Bestek 2023-4099</v>
      </c>
      <c r="D2" s="31" t="str">
        <f>+'EMVI-vragenlijst'!E2</f>
        <v>Reconstructie Ollandseweg</v>
      </c>
    </row>
    <row r="3" spans="2:19" x14ac:dyDescent="0.2">
      <c r="B3" s="31" t="s">
        <v>55</v>
      </c>
    </row>
    <row r="5" spans="2:19" x14ac:dyDescent="0.2">
      <c r="B5" s="31" t="s">
        <v>41</v>
      </c>
      <c r="C5" s="163" t="s">
        <v>42</v>
      </c>
      <c r="D5" s="224"/>
      <c r="E5" s="224"/>
      <c r="F5" s="224"/>
      <c r="G5" s="224"/>
    </row>
    <row r="6" spans="2:19" x14ac:dyDescent="0.2">
      <c r="B6" s="31" t="s">
        <v>43</v>
      </c>
      <c r="C6" s="163" t="s">
        <v>42</v>
      </c>
      <c r="D6" s="31" t="s">
        <v>44</v>
      </c>
      <c r="E6" s="93"/>
      <c r="F6" s="31" t="s">
        <v>45</v>
      </c>
      <c r="G6" s="93"/>
      <c r="H6" s="164"/>
      <c r="I6" s="164"/>
    </row>
    <row r="8" spans="2:19" x14ac:dyDescent="0.2">
      <c r="B8" s="31" t="s">
        <v>130</v>
      </c>
      <c r="D8" s="165">
        <f>+'EMVI-vragenlijst'!N61/100</f>
        <v>0</v>
      </c>
      <c r="K8" s="31" t="s">
        <v>132</v>
      </c>
      <c r="N8" s="165">
        <f>+'EMVI-vragenlijst'!O76/100</f>
        <v>0</v>
      </c>
    </row>
    <row r="9" spans="2:19" x14ac:dyDescent="0.2">
      <c r="B9" s="31" t="s">
        <v>131</v>
      </c>
      <c r="D9" s="165">
        <f>+'EMVI-vragenlijst'!N64/100</f>
        <v>0</v>
      </c>
      <c r="H9" s="166"/>
      <c r="K9" s="31" t="s">
        <v>131</v>
      </c>
      <c r="N9" s="165">
        <f>+'EMVI-vragenlijst'!O79/100</f>
        <v>0</v>
      </c>
    </row>
    <row r="10" spans="2:19" x14ac:dyDescent="0.2">
      <c r="H10" s="166"/>
    </row>
    <row r="11" spans="2:19" ht="13.5" thickBot="1" x14ac:dyDescent="0.25">
      <c r="H11" s="166"/>
    </row>
    <row r="12" spans="2:19" ht="13.5" thickBot="1" x14ac:dyDescent="0.25">
      <c r="B12" s="167"/>
      <c r="C12" s="168" t="s">
        <v>44</v>
      </c>
      <c r="D12" s="168" t="s">
        <v>46</v>
      </c>
      <c r="E12" s="168" t="s">
        <v>47</v>
      </c>
      <c r="F12" s="168" t="s">
        <v>48</v>
      </c>
      <c r="G12" s="169" t="s">
        <v>49</v>
      </c>
      <c r="H12" s="166"/>
      <c r="I12" s="170" t="s">
        <v>50</v>
      </c>
      <c r="L12" s="171"/>
      <c r="M12" s="172" t="s">
        <v>44</v>
      </c>
      <c r="N12" s="172" t="s">
        <v>46</v>
      </c>
      <c r="O12" s="172" t="s">
        <v>47</v>
      </c>
      <c r="P12" s="172" t="s">
        <v>48</v>
      </c>
      <c r="Q12" s="173" t="s">
        <v>49</v>
      </c>
      <c r="S12" s="174" t="s">
        <v>50</v>
      </c>
    </row>
    <row r="13" spans="2:19" x14ac:dyDescent="0.2">
      <c r="B13" s="175" t="s">
        <v>121</v>
      </c>
      <c r="C13" s="176">
        <f>IF(COUNTA(C23:C30)=0,"-",COUNTA(C23:C30))</f>
        <v>2</v>
      </c>
      <c r="D13" s="176">
        <f>IF(COUNTA(D23:D30)=0,"-",COUNTA(D23:D30))</f>
        <v>2</v>
      </c>
      <c r="E13" s="176">
        <f>IF(COUNTA(E23:E30)=0,"-",COUNTA(E23:E30))</f>
        <v>2</v>
      </c>
      <c r="F13" s="177">
        <f>IF(COUNTA(F23:F30)=0,"-",COUNTA(F23:F30))</f>
        <v>2</v>
      </c>
      <c r="G13" s="178">
        <f>IF(COUNTA(G23:G30)=0,"-",COUNTA(G23:G30))</f>
        <v>2</v>
      </c>
      <c r="H13" s="166"/>
      <c r="I13" s="175">
        <f>SUM(C13:G13)</f>
        <v>10</v>
      </c>
      <c r="L13" s="175" t="s">
        <v>133</v>
      </c>
      <c r="M13" s="176">
        <f>IF(COUNTA(M23:M30)=0,"-",COUNTA(M23:M30))</f>
        <v>2</v>
      </c>
      <c r="N13" s="176">
        <f>IF(COUNTA(N23:N30)=0,"-",COUNTA(N23:N30))</f>
        <v>2</v>
      </c>
      <c r="O13" s="176">
        <f>IF(COUNTA(O23:O30)=0,"-",COUNTA(O23:O30))</f>
        <v>2</v>
      </c>
      <c r="P13" s="177">
        <f>IF(COUNTA(P23:P30)=0,"-",COUNTA(P23:P30))</f>
        <v>2</v>
      </c>
      <c r="Q13" s="178">
        <f>IF(COUNTA(Q23:Q30)=0,"-",COUNTA(Q23:Q30))</f>
        <v>2</v>
      </c>
      <c r="S13" s="175">
        <f>SUM(M13:Q13)</f>
        <v>10</v>
      </c>
    </row>
    <row r="14" spans="2:19" x14ac:dyDescent="0.2">
      <c r="B14" s="179" t="s">
        <v>122</v>
      </c>
      <c r="C14" s="180">
        <f>IF(COUNTA(C32:C43)=0,"-",COUNTA(C32:C43))</f>
        <v>2</v>
      </c>
      <c r="D14" s="181">
        <f>IF(COUNTA(D32:D43)=0,"-",COUNTA(D32:D43))</f>
        <v>2</v>
      </c>
      <c r="E14" s="181">
        <f>IF(COUNTA(E32:E43)=0,"-",COUNTA(E32:E43))</f>
        <v>2</v>
      </c>
      <c r="F14" s="182">
        <f>IF(COUNTA(F32:F43)=0,"-",COUNTA(F32:F43))</f>
        <v>2</v>
      </c>
      <c r="G14" s="183">
        <f>IF(COUNTA(G32:G43)=0,"-",COUNTA(G32:G43))</f>
        <v>2</v>
      </c>
      <c r="H14" s="166"/>
      <c r="I14" s="179">
        <f t="shared" ref="I14:I16" si="0">SUM(C14:G14)</f>
        <v>10</v>
      </c>
      <c r="L14" s="179" t="s">
        <v>134</v>
      </c>
      <c r="M14" s="180">
        <f>IF(COUNTA(M32:M43)=0,"-",COUNTA(M32:M43))</f>
        <v>2</v>
      </c>
      <c r="N14" s="181">
        <f>IF(COUNTA(N32:N43)=0,"-",COUNTA(N32:N43))</f>
        <v>2</v>
      </c>
      <c r="O14" s="181">
        <f>IF(COUNTA(O32:O43)=0,"-",COUNTA(O32:O43))</f>
        <v>2</v>
      </c>
      <c r="P14" s="182">
        <f>IF(COUNTA(P32:P43)=0,"-",COUNTA(P32:P43))</f>
        <v>2</v>
      </c>
      <c r="Q14" s="183">
        <f>IF(COUNTA(Q32:Q43)=0,"-",COUNTA(Q32:Q43))</f>
        <v>2</v>
      </c>
      <c r="S14" s="179">
        <f t="shared" ref="S14:S16" si="1">SUM(M14:Q14)</f>
        <v>10</v>
      </c>
    </row>
    <row r="15" spans="2:19" x14ac:dyDescent="0.2">
      <c r="B15" s="184" t="s">
        <v>123</v>
      </c>
      <c r="C15" s="185">
        <f>IF(COUNTA(C45:C69)=0,"-",COUNTA(C45:C69))</f>
        <v>3</v>
      </c>
      <c r="D15" s="186">
        <f>IF(COUNTA(D45:D69)=0,"-",COUNTA(D45:D69))</f>
        <v>3</v>
      </c>
      <c r="E15" s="186">
        <f>IF(COUNTA(E45:E69)=0,"-",COUNTA(E45:E69))</f>
        <v>3</v>
      </c>
      <c r="F15" s="187">
        <f>IF(COUNTA(F45:F69)=0,"-",COUNTA(F45:F69))</f>
        <v>3</v>
      </c>
      <c r="G15" s="188">
        <f>IF(COUNTA(G45:G69)=0,"-",COUNTA(G45:G69))</f>
        <v>3</v>
      </c>
      <c r="H15" s="166"/>
      <c r="I15" s="184">
        <f t="shared" si="0"/>
        <v>15</v>
      </c>
      <c r="L15" s="184" t="s">
        <v>135</v>
      </c>
      <c r="M15" s="185">
        <f>IF(COUNTA(M45:M69)=0,"-",COUNTA(M45:M69))</f>
        <v>3</v>
      </c>
      <c r="N15" s="186">
        <f>IF(COUNTA(N45:N69)=0,"-",COUNTA(N45:N69))</f>
        <v>3</v>
      </c>
      <c r="O15" s="186">
        <f>IF(COUNTA(O45:O69)=0,"-",COUNTA(O45:O69))</f>
        <v>3</v>
      </c>
      <c r="P15" s="187">
        <f>IF(COUNTA(P45:P69)=0,"-",COUNTA(P45:P69))</f>
        <v>3</v>
      </c>
      <c r="Q15" s="188">
        <f>IF(COUNTA(Q45:Q69)=0,"-",COUNTA(Q45:Q69))</f>
        <v>3</v>
      </c>
      <c r="S15" s="184">
        <f t="shared" si="1"/>
        <v>15</v>
      </c>
    </row>
    <row r="16" spans="2:19" ht="13.5" thickBot="1" x14ac:dyDescent="0.25">
      <c r="B16" s="189" t="s">
        <v>125</v>
      </c>
      <c r="C16" s="190">
        <f>IF(COUNTA(C71:C97)=0,"-",COUNTA(C71:C97))</f>
        <v>3</v>
      </c>
      <c r="D16" s="191">
        <f>IF(COUNTA(D71:D97)=0,"-",COUNTA(D71:D97))</f>
        <v>3</v>
      </c>
      <c r="E16" s="191">
        <f t="shared" ref="E16:G16" si="2">IF(COUNTA(E71:E97)=0,"-",COUNTA(E71:E97))</f>
        <v>3</v>
      </c>
      <c r="F16" s="192">
        <f t="shared" si="2"/>
        <v>4</v>
      </c>
      <c r="G16" s="193">
        <f t="shared" si="2"/>
        <v>2</v>
      </c>
      <c r="H16" s="166"/>
      <c r="I16" s="189">
        <f t="shared" si="0"/>
        <v>15</v>
      </c>
      <c r="L16" s="189" t="s">
        <v>125</v>
      </c>
      <c r="M16" s="190">
        <f>IF(COUNTA(M71:M97)=0,"-",COUNTA(M71:M97))</f>
        <v>5</v>
      </c>
      <c r="N16" s="191">
        <f>IF(COUNTA(N71:N97)=0,"-",COUNTA(N71:N97))</f>
        <v>5</v>
      </c>
      <c r="O16" s="191">
        <f t="shared" ref="O16:Q16" si="3">IF(COUNTA(O71:O97)=0,"-",COUNTA(O71:O97))</f>
        <v>5</v>
      </c>
      <c r="P16" s="192">
        <f t="shared" si="3"/>
        <v>5</v>
      </c>
      <c r="Q16" s="193">
        <f t="shared" si="3"/>
        <v>5</v>
      </c>
      <c r="S16" s="189">
        <f t="shared" si="1"/>
        <v>25</v>
      </c>
    </row>
    <row r="17" spans="1:25" x14ac:dyDescent="0.2">
      <c r="B17" s="194"/>
      <c r="C17" s="195"/>
      <c r="D17" s="196"/>
      <c r="E17" s="196"/>
      <c r="F17" s="196"/>
      <c r="G17" s="173"/>
      <c r="H17" s="166"/>
      <c r="I17" s="194"/>
      <c r="L17" s="194"/>
      <c r="M17" s="195"/>
      <c r="N17" s="196"/>
      <c r="O17" s="196"/>
      <c r="P17" s="196"/>
      <c r="Q17" s="173"/>
      <c r="R17" s="166"/>
      <c r="S17" s="194"/>
    </row>
    <row r="18" spans="1:25" x14ac:dyDescent="0.2">
      <c r="B18" s="194" t="s">
        <v>124</v>
      </c>
      <c r="C18" s="197">
        <f>IF(C15="-",0,IF(SUM(C13:C15)=0,"-",+C14/SUM(C13:C15)))</f>
        <v>0.2857142857142857</v>
      </c>
      <c r="D18" s="198">
        <f t="shared" ref="D18:G18" si="4">IF(D15="-",0,IF(SUM(D13:D15)=0,"-",+D14/SUM(D13:D15)))</f>
        <v>0.2857142857142857</v>
      </c>
      <c r="E18" s="198">
        <f t="shared" si="4"/>
        <v>0.2857142857142857</v>
      </c>
      <c r="F18" s="198">
        <f t="shared" si="4"/>
        <v>0.2857142857142857</v>
      </c>
      <c r="G18" s="199">
        <f t="shared" si="4"/>
        <v>0.2857142857142857</v>
      </c>
      <c r="H18" s="166"/>
      <c r="I18" s="200">
        <f t="shared" ref="I18" si="5">IF(I15="-",0,IF(SUM(I13:I15)=0,"-",+I14/SUM(I13:I15)))</f>
        <v>0.2857142857142857</v>
      </c>
      <c r="J18" s="166" t="str">
        <f>IF(I18&lt;D8,"voldoet niet","voldoet")</f>
        <v>voldoet</v>
      </c>
      <c r="K18" s="166"/>
      <c r="L18" s="194" t="s">
        <v>75</v>
      </c>
      <c r="M18" s="197">
        <f>IF(M15="-",0,IF(SUM(M13:M15)=0,"-",+M14/SUM(M13:M15)))</f>
        <v>0.2857142857142857</v>
      </c>
      <c r="N18" s="198">
        <f t="shared" ref="N18:Q18" si="6">IF(N15="-",0,IF(SUM(N13:N15)=0,"-",+N14/SUM(N13:N15)))</f>
        <v>0.2857142857142857</v>
      </c>
      <c r="O18" s="198">
        <f t="shared" si="6"/>
        <v>0.2857142857142857</v>
      </c>
      <c r="P18" s="198">
        <f t="shared" si="6"/>
        <v>0.2857142857142857</v>
      </c>
      <c r="Q18" s="199">
        <f t="shared" si="6"/>
        <v>0.2857142857142857</v>
      </c>
      <c r="R18" s="166"/>
      <c r="S18" s="200">
        <f t="shared" ref="S18" si="7">IF(S15="-",0,IF(SUM(S13:S15)=0,"-",+S14/SUM(S13:S15)))</f>
        <v>0.2857142857142857</v>
      </c>
      <c r="T18" s="166" t="str">
        <f>IF(S18&lt;N8,"voldoet niet","voldoet")</f>
        <v>voldoet</v>
      </c>
    </row>
    <row r="19" spans="1:25" ht="13.5" thickBot="1" x14ac:dyDescent="0.25">
      <c r="B19" s="201" t="s">
        <v>124</v>
      </c>
      <c r="C19" s="202">
        <f t="shared" ref="C19:G19" si="8">IF(C16="-",0,+C16/C15)</f>
        <v>1</v>
      </c>
      <c r="D19" s="203">
        <f t="shared" si="8"/>
        <v>1</v>
      </c>
      <c r="E19" s="203">
        <f t="shared" si="8"/>
        <v>1</v>
      </c>
      <c r="F19" s="203">
        <f t="shared" si="8"/>
        <v>1.3333333333333333</v>
      </c>
      <c r="G19" s="204">
        <f t="shared" si="8"/>
        <v>0.66666666666666663</v>
      </c>
      <c r="H19" s="166"/>
      <c r="I19" s="205">
        <f t="shared" ref="I19" si="9">IF(I16="-",0,+I16/I15)</f>
        <v>1</v>
      </c>
      <c r="J19" s="166" t="str">
        <f>IF(I19&lt;D9,"voldoet niet","voldoet")</f>
        <v>voldoet</v>
      </c>
      <c r="K19" s="166"/>
      <c r="L19" s="201" t="s">
        <v>75</v>
      </c>
      <c r="M19" s="202">
        <f t="shared" ref="M19:Q19" si="10">IF(M16="-",0,+M16/M15)</f>
        <v>1.6666666666666667</v>
      </c>
      <c r="N19" s="203">
        <f t="shared" si="10"/>
        <v>1.6666666666666667</v>
      </c>
      <c r="O19" s="203">
        <f t="shared" si="10"/>
        <v>1.6666666666666667</v>
      </c>
      <c r="P19" s="203">
        <f t="shared" si="10"/>
        <v>1.6666666666666667</v>
      </c>
      <c r="Q19" s="204">
        <f t="shared" si="10"/>
        <v>1.6666666666666667</v>
      </c>
      <c r="R19" s="166"/>
      <c r="S19" s="205">
        <f t="shared" ref="S19" si="11">IF(S16="-",0,+S16/S15)</f>
        <v>1.6666666666666667</v>
      </c>
      <c r="T19" s="166" t="str">
        <f>IF(S19&lt;N9,"voldoet niet","voldoet")</f>
        <v>voldoet</v>
      </c>
      <c r="Y19" s="206"/>
    </row>
    <row r="20" spans="1:25" x14ac:dyDescent="0.2">
      <c r="H20" s="166"/>
    </row>
    <row r="22" spans="1:25" x14ac:dyDescent="0.2">
      <c r="C22" s="31" t="s">
        <v>51</v>
      </c>
      <c r="M22" s="31" t="s">
        <v>52</v>
      </c>
    </row>
    <row r="23" spans="1:25" x14ac:dyDescent="0.2">
      <c r="A23" s="31" t="s">
        <v>126</v>
      </c>
      <c r="B23" s="31" t="s">
        <v>128</v>
      </c>
      <c r="C23" s="24">
        <v>1</v>
      </c>
      <c r="D23" s="24">
        <v>1</v>
      </c>
      <c r="E23" s="24">
        <v>1</v>
      </c>
      <c r="F23" s="24">
        <v>1</v>
      </c>
      <c r="G23" s="24">
        <v>1</v>
      </c>
      <c r="K23" s="31" t="s">
        <v>137</v>
      </c>
      <c r="L23" s="31" t="s">
        <v>133</v>
      </c>
      <c r="M23" s="24">
        <v>1</v>
      </c>
      <c r="N23" s="24">
        <v>1</v>
      </c>
      <c r="O23" s="24">
        <v>1</v>
      </c>
      <c r="P23" s="24">
        <v>1</v>
      </c>
      <c r="Q23" s="24">
        <v>1</v>
      </c>
      <c r="T23" s="223" t="s">
        <v>143</v>
      </c>
      <c r="U23" s="223"/>
      <c r="V23" s="223"/>
      <c r="W23" s="223"/>
    </row>
    <row r="24" spans="1:25" x14ac:dyDescent="0.2">
      <c r="C24" s="24">
        <v>1</v>
      </c>
      <c r="D24" s="24">
        <v>1</v>
      </c>
      <c r="E24" s="24">
        <v>1</v>
      </c>
      <c r="F24" s="24">
        <v>1</v>
      </c>
      <c r="G24" s="24">
        <v>1</v>
      </c>
      <c r="M24" s="24">
        <v>1</v>
      </c>
      <c r="N24" s="24">
        <v>1</v>
      </c>
      <c r="O24" s="24">
        <v>1</v>
      </c>
      <c r="P24" s="24">
        <v>1</v>
      </c>
      <c r="Q24" s="24">
        <v>1</v>
      </c>
      <c r="T24" s="223"/>
      <c r="U24" s="223"/>
      <c r="V24" s="223"/>
      <c r="W24" s="223"/>
    </row>
    <row r="25" spans="1:25" x14ac:dyDescent="0.2">
      <c r="C25" s="24"/>
      <c r="D25" s="24"/>
      <c r="E25" s="24"/>
      <c r="F25" s="24"/>
      <c r="G25" s="24"/>
      <c r="M25" s="24"/>
      <c r="N25" s="24"/>
      <c r="O25" s="24"/>
      <c r="P25" s="24"/>
      <c r="Q25" s="24"/>
      <c r="T25" s="223"/>
      <c r="U25" s="223"/>
      <c r="V25" s="223"/>
      <c r="W25" s="223"/>
    </row>
    <row r="26" spans="1:25" x14ac:dyDescent="0.2">
      <c r="C26" s="24"/>
      <c r="D26" s="24"/>
      <c r="E26" s="24"/>
      <c r="F26" s="24"/>
      <c r="G26" s="24"/>
      <c r="M26" s="24"/>
      <c r="N26" s="24"/>
      <c r="O26" s="24"/>
      <c r="P26" s="24"/>
      <c r="Q26" s="24"/>
      <c r="T26" s="223"/>
      <c r="U26" s="223"/>
      <c r="V26" s="223"/>
      <c r="W26" s="223"/>
    </row>
    <row r="27" spans="1:25" x14ac:dyDescent="0.2">
      <c r="C27" s="24"/>
      <c r="D27" s="24"/>
      <c r="E27" s="24"/>
      <c r="F27" s="24"/>
      <c r="G27" s="24"/>
      <c r="M27" s="24"/>
      <c r="N27" s="24"/>
      <c r="O27" s="24"/>
      <c r="P27" s="24"/>
      <c r="Q27" s="24"/>
      <c r="T27" s="223"/>
      <c r="U27" s="223"/>
      <c r="V27" s="223"/>
      <c r="W27" s="223"/>
    </row>
    <row r="28" spans="1:25" x14ac:dyDescent="0.2">
      <c r="C28" s="24"/>
      <c r="D28" s="24"/>
      <c r="E28" s="24"/>
      <c r="F28" s="24"/>
      <c r="G28" s="24"/>
      <c r="M28" s="24"/>
      <c r="N28" s="24"/>
      <c r="O28" s="24"/>
      <c r="P28" s="24"/>
      <c r="Q28" s="24"/>
      <c r="T28" s="223"/>
      <c r="U28" s="223"/>
      <c r="V28" s="223"/>
      <c r="W28" s="223"/>
    </row>
    <row r="29" spans="1:25" x14ac:dyDescent="0.2">
      <c r="C29" s="24"/>
      <c r="D29" s="24"/>
      <c r="E29" s="24"/>
      <c r="F29" s="24"/>
      <c r="G29" s="24"/>
      <c r="M29" s="24"/>
      <c r="N29" s="24"/>
      <c r="O29" s="24"/>
      <c r="P29" s="24"/>
      <c r="Q29" s="24"/>
      <c r="T29" s="223"/>
      <c r="U29" s="223"/>
      <c r="V29" s="223"/>
      <c r="W29" s="223"/>
    </row>
    <row r="30" spans="1:25" x14ac:dyDescent="0.2">
      <c r="A30" s="31" t="s">
        <v>53</v>
      </c>
      <c r="C30" s="24"/>
      <c r="D30" s="24"/>
      <c r="E30" s="24"/>
      <c r="F30" s="24"/>
      <c r="G30" s="24"/>
      <c r="M30" s="24"/>
      <c r="N30" s="24"/>
      <c r="O30" s="24"/>
      <c r="P30" s="24"/>
      <c r="Q30" s="24"/>
      <c r="T30" s="31" t="s">
        <v>54</v>
      </c>
    </row>
    <row r="32" spans="1:25" x14ac:dyDescent="0.2">
      <c r="A32" s="31" t="s">
        <v>126</v>
      </c>
      <c r="B32" s="31" t="s">
        <v>127</v>
      </c>
      <c r="C32" s="24">
        <v>1</v>
      </c>
      <c r="D32" s="24">
        <v>1</v>
      </c>
      <c r="E32" s="24">
        <v>1</v>
      </c>
      <c r="F32" s="24">
        <v>1</v>
      </c>
      <c r="G32" s="24">
        <v>1</v>
      </c>
      <c r="K32" s="31" t="s">
        <v>138</v>
      </c>
      <c r="L32" s="31" t="s">
        <v>134</v>
      </c>
      <c r="M32" s="24">
        <v>1</v>
      </c>
      <c r="N32" s="24">
        <v>1</v>
      </c>
      <c r="O32" s="24">
        <v>1</v>
      </c>
      <c r="P32" s="24">
        <v>1</v>
      </c>
      <c r="Q32" s="24">
        <v>1</v>
      </c>
      <c r="T32" s="223" t="s">
        <v>142</v>
      </c>
      <c r="U32" s="223"/>
      <c r="V32" s="223"/>
      <c r="W32" s="223"/>
    </row>
    <row r="33" spans="1:23" x14ac:dyDescent="0.2">
      <c r="C33" s="24">
        <v>1</v>
      </c>
      <c r="D33" s="24">
        <v>1</v>
      </c>
      <c r="E33" s="24">
        <v>1</v>
      </c>
      <c r="F33" s="24">
        <v>1</v>
      </c>
      <c r="G33" s="24">
        <v>1</v>
      </c>
      <c r="M33" s="24">
        <v>1</v>
      </c>
      <c r="N33" s="24">
        <v>1</v>
      </c>
      <c r="O33" s="24">
        <v>1</v>
      </c>
      <c r="P33" s="24">
        <v>1</v>
      </c>
      <c r="Q33" s="24">
        <v>1</v>
      </c>
      <c r="T33" s="223"/>
      <c r="U33" s="223"/>
      <c r="V33" s="223"/>
      <c r="W33" s="223"/>
    </row>
    <row r="34" spans="1:23" x14ac:dyDescent="0.2">
      <c r="C34" s="24"/>
      <c r="D34" s="24"/>
      <c r="E34" s="24"/>
      <c r="F34" s="24"/>
      <c r="G34" s="24"/>
      <c r="M34" s="24"/>
      <c r="N34" s="24"/>
      <c r="O34" s="24"/>
      <c r="P34" s="24"/>
      <c r="Q34" s="24"/>
      <c r="T34" s="223"/>
      <c r="U34" s="223"/>
      <c r="V34" s="223"/>
      <c r="W34" s="223"/>
    </row>
    <row r="35" spans="1:23" x14ac:dyDescent="0.2">
      <c r="C35" s="24"/>
      <c r="D35" s="24"/>
      <c r="E35" s="24"/>
      <c r="F35" s="24"/>
      <c r="G35" s="24"/>
      <c r="M35" s="24"/>
      <c r="N35" s="24"/>
      <c r="O35" s="24"/>
      <c r="P35" s="24"/>
      <c r="Q35" s="24"/>
      <c r="T35" s="223"/>
      <c r="U35" s="223"/>
      <c r="V35" s="223"/>
      <c r="W35" s="223"/>
    </row>
    <row r="36" spans="1:23" x14ac:dyDescent="0.2">
      <c r="C36" s="24"/>
      <c r="D36" s="24"/>
      <c r="E36" s="24"/>
      <c r="F36" s="24"/>
      <c r="G36" s="24"/>
      <c r="M36" s="24"/>
      <c r="N36" s="24"/>
      <c r="O36" s="24"/>
      <c r="P36" s="24"/>
      <c r="Q36" s="24"/>
      <c r="T36" s="223"/>
      <c r="U36" s="223"/>
      <c r="V36" s="223"/>
      <c r="W36" s="223"/>
    </row>
    <row r="37" spans="1:23" x14ac:dyDescent="0.2">
      <c r="C37" s="24"/>
      <c r="D37" s="24"/>
      <c r="E37" s="24"/>
      <c r="F37" s="24"/>
      <c r="G37" s="24"/>
      <c r="M37" s="24"/>
      <c r="N37" s="24"/>
      <c r="O37" s="24"/>
      <c r="P37" s="24"/>
      <c r="Q37" s="24"/>
      <c r="T37" s="223"/>
      <c r="U37" s="223"/>
      <c r="V37" s="223"/>
      <c r="W37" s="223"/>
    </row>
    <row r="38" spans="1:23" x14ac:dyDescent="0.2">
      <c r="C38" s="24"/>
      <c r="D38" s="24"/>
      <c r="E38" s="24"/>
      <c r="F38" s="24"/>
      <c r="G38" s="24"/>
      <c r="M38" s="24"/>
      <c r="N38" s="24"/>
      <c r="O38" s="24"/>
      <c r="P38" s="24"/>
      <c r="Q38" s="24"/>
      <c r="T38" s="223"/>
      <c r="U38" s="223"/>
      <c r="V38" s="223"/>
      <c r="W38" s="223"/>
    </row>
    <row r="39" spans="1:23" x14ac:dyDescent="0.2">
      <c r="C39" s="24"/>
      <c r="D39" s="24"/>
      <c r="E39" s="24"/>
      <c r="F39" s="24"/>
      <c r="G39" s="24"/>
      <c r="M39" s="24"/>
      <c r="N39" s="24"/>
      <c r="O39" s="24"/>
      <c r="P39" s="24"/>
      <c r="Q39" s="24"/>
    </row>
    <row r="40" spans="1:23" x14ac:dyDescent="0.2">
      <c r="C40" s="24"/>
      <c r="D40" s="24"/>
      <c r="E40" s="24"/>
      <c r="F40" s="24"/>
      <c r="G40" s="24"/>
      <c r="M40" s="24"/>
      <c r="N40" s="24"/>
      <c r="O40" s="24"/>
      <c r="P40" s="24"/>
      <c r="Q40" s="24"/>
    </row>
    <row r="41" spans="1:23" x14ac:dyDescent="0.2">
      <c r="C41" s="24"/>
      <c r="D41" s="24"/>
      <c r="E41" s="24"/>
      <c r="F41" s="24"/>
      <c r="G41" s="24"/>
      <c r="M41" s="24"/>
      <c r="N41" s="24"/>
      <c r="O41" s="24"/>
      <c r="P41" s="24"/>
      <c r="Q41" s="24"/>
    </row>
    <row r="42" spans="1:23" x14ac:dyDescent="0.2">
      <c r="C42" s="24"/>
      <c r="D42" s="24"/>
      <c r="E42" s="24"/>
      <c r="F42" s="24"/>
      <c r="G42" s="24"/>
      <c r="M42" s="24"/>
      <c r="N42" s="24"/>
      <c r="O42" s="24"/>
      <c r="P42" s="24"/>
      <c r="Q42" s="24"/>
    </row>
    <row r="43" spans="1:23" x14ac:dyDescent="0.2">
      <c r="A43" s="31" t="s">
        <v>53</v>
      </c>
      <c r="C43" s="24"/>
      <c r="D43" s="24"/>
      <c r="E43" s="24"/>
      <c r="F43" s="24"/>
      <c r="G43" s="24"/>
      <c r="M43" s="24"/>
      <c r="N43" s="24"/>
      <c r="O43" s="24"/>
      <c r="P43" s="24"/>
      <c r="Q43" s="24"/>
      <c r="T43" s="31" t="s">
        <v>54</v>
      </c>
    </row>
    <row r="45" spans="1:23" x14ac:dyDescent="0.2">
      <c r="A45" s="31" t="s">
        <v>129</v>
      </c>
      <c r="B45" s="31" t="s">
        <v>136</v>
      </c>
      <c r="C45" s="24">
        <v>1</v>
      </c>
      <c r="D45" s="24">
        <v>1</v>
      </c>
      <c r="E45" s="24">
        <v>1</v>
      </c>
      <c r="F45" s="24">
        <v>1</v>
      </c>
      <c r="G45" s="24">
        <v>1</v>
      </c>
      <c r="K45" s="31" t="s">
        <v>137</v>
      </c>
      <c r="L45" s="31" t="s">
        <v>135</v>
      </c>
      <c r="M45" s="24">
        <v>1</v>
      </c>
      <c r="N45" s="24">
        <v>1</v>
      </c>
      <c r="O45" s="24">
        <v>1</v>
      </c>
      <c r="P45" s="24">
        <v>1</v>
      </c>
      <c r="Q45" s="24">
        <v>1</v>
      </c>
      <c r="T45" s="223" t="s">
        <v>141</v>
      </c>
      <c r="U45" s="223"/>
      <c r="V45" s="223"/>
      <c r="W45" s="223"/>
    </row>
    <row r="46" spans="1:23" x14ac:dyDescent="0.2">
      <c r="C46" s="24">
        <v>1</v>
      </c>
      <c r="D46" s="24">
        <v>1</v>
      </c>
      <c r="E46" s="24">
        <v>1</v>
      </c>
      <c r="F46" s="24">
        <v>1</v>
      </c>
      <c r="G46" s="24">
        <v>1</v>
      </c>
      <c r="M46" s="24">
        <v>1</v>
      </c>
      <c r="N46" s="24">
        <v>1</v>
      </c>
      <c r="O46" s="24">
        <v>1</v>
      </c>
      <c r="P46" s="24">
        <v>1</v>
      </c>
      <c r="Q46" s="24">
        <v>1</v>
      </c>
      <c r="T46" s="223"/>
      <c r="U46" s="223"/>
      <c r="V46" s="223"/>
      <c r="W46" s="223"/>
    </row>
    <row r="47" spans="1:23" x14ac:dyDescent="0.2">
      <c r="C47" s="24">
        <v>1</v>
      </c>
      <c r="D47" s="24">
        <v>1</v>
      </c>
      <c r="E47" s="24">
        <v>1</v>
      </c>
      <c r="F47" s="24">
        <v>1</v>
      </c>
      <c r="G47" s="24">
        <v>1</v>
      </c>
      <c r="M47" s="24">
        <v>1</v>
      </c>
      <c r="N47" s="24">
        <v>1</v>
      </c>
      <c r="O47" s="24">
        <v>1</v>
      </c>
      <c r="P47" s="24">
        <v>1</v>
      </c>
      <c r="Q47" s="24">
        <v>1</v>
      </c>
      <c r="T47" s="223"/>
      <c r="U47" s="223"/>
      <c r="V47" s="223"/>
      <c r="W47" s="223"/>
    </row>
    <row r="48" spans="1:23" x14ac:dyDescent="0.2">
      <c r="C48" s="24"/>
      <c r="D48" s="24"/>
      <c r="E48" s="24"/>
      <c r="F48" s="24"/>
      <c r="G48" s="24"/>
      <c r="M48" s="24"/>
      <c r="N48" s="24"/>
      <c r="O48" s="24"/>
      <c r="P48" s="24"/>
      <c r="Q48" s="24"/>
      <c r="T48" s="223"/>
      <c r="U48" s="223"/>
      <c r="V48" s="223"/>
      <c r="W48" s="223"/>
    </row>
    <row r="49" spans="3:23" x14ac:dyDescent="0.2">
      <c r="C49" s="24"/>
      <c r="D49" s="24"/>
      <c r="E49" s="24"/>
      <c r="F49" s="24"/>
      <c r="G49" s="24"/>
      <c r="M49" s="24"/>
      <c r="N49" s="24"/>
      <c r="O49" s="24"/>
      <c r="P49" s="24"/>
      <c r="Q49" s="24"/>
      <c r="T49" s="223"/>
      <c r="U49" s="223"/>
      <c r="V49" s="223"/>
      <c r="W49" s="223"/>
    </row>
    <row r="50" spans="3:23" x14ac:dyDescent="0.2">
      <c r="C50" s="24"/>
      <c r="D50" s="24"/>
      <c r="E50" s="24"/>
      <c r="F50" s="24"/>
      <c r="G50" s="24"/>
      <c r="M50" s="24"/>
      <c r="N50" s="24"/>
      <c r="O50" s="24"/>
      <c r="P50" s="24"/>
      <c r="Q50" s="24"/>
      <c r="T50" s="223"/>
      <c r="U50" s="223"/>
      <c r="V50" s="223"/>
      <c r="W50" s="223"/>
    </row>
    <row r="51" spans="3:23" x14ac:dyDescent="0.2">
      <c r="C51" s="24"/>
      <c r="D51" s="24"/>
      <c r="E51" s="24"/>
      <c r="F51" s="24"/>
      <c r="G51" s="24"/>
      <c r="M51" s="24"/>
      <c r="N51" s="24"/>
      <c r="O51" s="24"/>
      <c r="P51" s="24"/>
      <c r="Q51" s="24"/>
      <c r="T51" s="223"/>
      <c r="U51" s="223"/>
      <c r="V51" s="223"/>
      <c r="W51" s="223"/>
    </row>
    <row r="52" spans="3:23" x14ac:dyDescent="0.2">
      <c r="C52" s="24"/>
      <c r="D52" s="24"/>
      <c r="E52" s="24"/>
      <c r="F52" s="24"/>
      <c r="G52" s="24"/>
      <c r="M52" s="24"/>
      <c r="N52" s="24"/>
      <c r="O52" s="24"/>
      <c r="P52" s="24"/>
      <c r="Q52" s="24"/>
    </row>
    <row r="53" spans="3:23" x14ac:dyDescent="0.2">
      <c r="C53" s="24"/>
      <c r="D53" s="24"/>
      <c r="E53" s="24"/>
      <c r="F53" s="24"/>
      <c r="G53" s="24"/>
      <c r="M53" s="24"/>
      <c r="N53" s="24"/>
      <c r="O53" s="24"/>
      <c r="P53" s="24"/>
      <c r="Q53" s="24"/>
    </row>
    <row r="54" spans="3:23" x14ac:dyDescent="0.2">
      <c r="C54" s="24"/>
      <c r="D54" s="24"/>
      <c r="E54" s="24"/>
      <c r="F54" s="24"/>
      <c r="G54" s="24"/>
      <c r="M54" s="24"/>
      <c r="N54" s="24"/>
      <c r="O54" s="24"/>
      <c r="P54" s="24"/>
      <c r="Q54" s="24"/>
    </row>
    <row r="55" spans="3:23" x14ac:dyDescent="0.2">
      <c r="C55" s="24"/>
      <c r="D55" s="24"/>
      <c r="E55" s="24"/>
      <c r="F55" s="24"/>
      <c r="G55" s="24"/>
      <c r="M55" s="24"/>
      <c r="N55" s="24"/>
      <c r="O55" s="24"/>
      <c r="P55" s="24"/>
      <c r="Q55" s="24"/>
    </row>
    <row r="56" spans="3:23" x14ac:dyDescent="0.2">
      <c r="C56" s="24"/>
      <c r="D56" s="24"/>
      <c r="E56" s="24"/>
      <c r="F56" s="24"/>
      <c r="G56" s="24"/>
      <c r="M56" s="24"/>
      <c r="N56" s="24"/>
      <c r="O56" s="24"/>
      <c r="P56" s="24"/>
      <c r="Q56" s="24"/>
    </row>
    <row r="57" spans="3:23" x14ac:dyDescent="0.2">
      <c r="C57" s="24"/>
      <c r="D57" s="24"/>
      <c r="E57" s="24"/>
      <c r="F57" s="24"/>
      <c r="G57" s="24"/>
      <c r="M57" s="24"/>
      <c r="N57" s="24"/>
      <c r="O57" s="24"/>
      <c r="P57" s="24"/>
      <c r="Q57" s="24"/>
    </row>
    <row r="58" spans="3:23" x14ac:dyDescent="0.2">
      <c r="C58" s="24"/>
      <c r="D58" s="24"/>
      <c r="E58" s="24"/>
      <c r="F58" s="24"/>
      <c r="G58" s="24"/>
      <c r="M58" s="24"/>
      <c r="N58" s="24"/>
      <c r="O58" s="24"/>
      <c r="P58" s="24"/>
      <c r="Q58" s="24"/>
    </row>
    <row r="59" spans="3:23" x14ac:dyDescent="0.2">
      <c r="C59" s="24"/>
      <c r="D59" s="24"/>
      <c r="E59" s="24"/>
      <c r="F59" s="24"/>
      <c r="G59" s="24"/>
      <c r="M59" s="24"/>
      <c r="N59" s="24"/>
      <c r="O59" s="24"/>
      <c r="P59" s="24"/>
      <c r="Q59" s="24"/>
    </row>
    <row r="60" spans="3:23" x14ac:dyDescent="0.2">
      <c r="C60" s="24"/>
      <c r="D60" s="24"/>
      <c r="E60" s="24"/>
      <c r="F60" s="24"/>
      <c r="G60" s="24"/>
      <c r="M60" s="24"/>
      <c r="N60" s="24"/>
      <c r="O60" s="24"/>
      <c r="P60" s="24"/>
      <c r="Q60" s="24"/>
    </row>
    <row r="61" spans="3:23" x14ac:dyDescent="0.2">
      <c r="C61" s="24"/>
      <c r="D61" s="24"/>
      <c r="E61" s="24"/>
      <c r="F61" s="24"/>
      <c r="G61" s="24"/>
      <c r="M61" s="24"/>
      <c r="N61" s="24"/>
      <c r="O61" s="24"/>
      <c r="P61" s="24"/>
      <c r="Q61" s="24"/>
    </row>
    <row r="62" spans="3:23" x14ac:dyDescent="0.2">
      <c r="C62" s="24"/>
      <c r="D62" s="24"/>
      <c r="E62" s="24"/>
      <c r="F62" s="24"/>
      <c r="G62" s="24"/>
      <c r="M62" s="24"/>
      <c r="N62" s="24"/>
      <c r="O62" s="24"/>
      <c r="P62" s="24"/>
      <c r="Q62" s="24"/>
    </row>
    <row r="63" spans="3:23" x14ac:dyDescent="0.2">
      <c r="C63" s="24"/>
      <c r="D63" s="24"/>
      <c r="E63" s="24"/>
      <c r="F63" s="24"/>
      <c r="G63" s="24"/>
      <c r="M63" s="24"/>
      <c r="N63" s="24"/>
      <c r="O63" s="24"/>
      <c r="P63" s="24"/>
      <c r="Q63" s="24"/>
    </row>
    <row r="64" spans="3:23" x14ac:dyDescent="0.2">
      <c r="C64" s="24"/>
      <c r="D64" s="24"/>
      <c r="E64" s="24"/>
      <c r="F64" s="24"/>
      <c r="G64" s="24"/>
      <c r="M64" s="24"/>
      <c r="N64" s="24"/>
      <c r="O64" s="24"/>
      <c r="P64" s="24"/>
      <c r="Q64" s="24"/>
    </row>
    <row r="65" spans="1:23" x14ac:dyDescent="0.2">
      <c r="C65" s="24"/>
      <c r="D65" s="24"/>
      <c r="E65" s="24"/>
      <c r="F65" s="24"/>
      <c r="G65" s="24"/>
      <c r="M65" s="24"/>
      <c r="N65" s="24"/>
      <c r="O65" s="24"/>
      <c r="P65" s="24"/>
      <c r="Q65" s="24"/>
    </row>
    <row r="66" spans="1:23" x14ac:dyDescent="0.2">
      <c r="C66" s="24"/>
      <c r="D66" s="24"/>
      <c r="E66" s="24"/>
      <c r="F66" s="24"/>
      <c r="G66" s="24"/>
      <c r="M66" s="24"/>
      <c r="N66" s="24"/>
      <c r="O66" s="24"/>
      <c r="P66" s="24"/>
      <c r="Q66" s="24"/>
    </row>
    <row r="67" spans="1:23" x14ac:dyDescent="0.2">
      <c r="C67" s="24"/>
      <c r="D67" s="24"/>
      <c r="E67" s="24"/>
      <c r="F67" s="24"/>
      <c r="G67" s="24"/>
      <c r="M67" s="24"/>
      <c r="N67" s="24"/>
      <c r="O67" s="24"/>
      <c r="P67" s="24"/>
      <c r="Q67" s="24"/>
    </row>
    <row r="68" spans="1:23" x14ac:dyDescent="0.2">
      <c r="C68" s="24"/>
      <c r="D68" s="24"/>
      <c r="E68" s="24"/>
      <c r="F68" s="24"/>
      <c r="G68" s="24"/>
      <c r="M68" s="24"/>
      <c r="N68" s="24"/>
      <c r="O68" s="24"/>
      <c r="P68" s="24"/>
      <c r="Q68" s="24"/>
    </row>
    <row r="69" spans="1:23" x14ac:dyDescent="0.2">
      <c r="A69" s="31" t="s">
        <v>53</v>
      </c>
      <c r="C69" s="24"/>
      <c r="D69" s="24"/>
      <c r="E69" s="24"/>
      <c r="F69" s="24"/>
      <c r="G69" s="24"/>
      <c r="M69" s="24"/>
      <c r="N69" s="24"/>
      <c r="O69" s="24"/>
      <c r="P69" s="24"/>
      <c r="Q69" s="24"/>
      <c r="T69" s="31" t="s">
        <v>54</v>
      </c>
    </row>
    <row r="71" spans="1:23" x14ac:dyDescent="0.2">
      <c r="A71" s="31" t="s">
        <v>129</v>
      </c>
      <c r="B71" s="31" t="s">
        <v>139</v>
      </c>
      <c r="C71" s="24">
        <v>1</v>
      </c>
      <c r="D71" s="24">
        <v>1</v>
      </c>
      <c r="E71" s="24">
        <v>1</v>
      </c>
      <c r="F71" s="24">
        <v>1</v>
      </c>
      <c r="G71" s="24">
        <v>1</v>
      </c>
      <c r="K71" s="31" t="s">
        <v>137</v>
      </c>
      <c r="L71" s="31" t="s">
        <v>139</v>
      </c>
      <c r="M71" s="24">
        <v>1</v>
      </c>
      <c r="N71" s="24">
        <v>1</v>
      </c>
      <c r="O71" s="24">
        <v>1</v>
      </c>
      <c r="P71" s="24">
        <v>1</v>
      </c>
      <c r="Q71" s="24">
        <v>1</v>
      </c>
    </row>
    <row r="72" spans="1:23" x14ac:dyDescent="0.2">
      <c r="C72" s="24">
        <v>1</v>
      </c>
      <c r="D72" s="24">
        <v>1</v>
      </c>
      <c r="E72" s="24">
        <v>1</v>
      </c>
      <c r="F72" s="24">
        <v>1</v>
      </c>
      <c r="G72" s="24">
        <v>1</v>
      </c>
      <c r="M72" s="24">
        <v>1</v>
      </c>
      <c r="N72" s="24">
        <v>1</v>
      </c>
      <c r="O72" s="24">
        <v>1</v>
      </c>
      <c r="P72" s="24">
        <v>1</v>
      </c>
      <c r="Q72" s="24">
        <v>1</v>
      </c>
    </row>
    <row r="73" spans="1:23" x14ac:dyDescent="0.2">
      <c r="C73" s="24">
        <v>1</v>
      </c>
      <c r="D73" s="24">
        <v>1</v>
      </c>
      <c r="E73" s="24">
        <v>1</v>
      </c>
      <c r="F73" s="24">
        <v>1</v>
      </c>
      <c r="G73" s="24"/>
      <c r="M73" s="24">
        <v>1</v>
      </c>
      <c r="N73" s="24">
        <v>1</v>
      </c>
      <c r="O73" s="24">
        <v>1</v>
      </c>
      <c r="P73" s="24">
        <v>1</v>
      </c>
      <c r="Q73" s="24">
        <v>1</v>
      </c>
      <c r="T73" s="223" t="s">
        <v>140</v>
      </c>
      <c r="U73" s="223"/>
      <c r="V73" s="223"/>
      <c r="W73" s="223"/>
    </row>
    <row r="74" spans="1:23" x14ac:dyDescent="0.2">
      <c r="C74" s="24"/>
      <c r="D74" s="24"/>
      <c r="E74" s="24"/>
      <c r="F74" s="24">
        <v>1</v>
      </c>
      <c r="G74" s="24"/>
      <c r="M74" s="24">
        <v>1</v>
      </c>
      <c r="N74" s="24">
        <v>1</v>
      </c>
      <c r="O74" s="24">
        <v>1</v>
      </c>
      <c r="P74" s="24">
        <v>1</v>
      </c>
      <c r="Q74" s="24">
        <v>1</v>
      </c>
      <c r="T74" s="223"/>
      <c r="U74" s="223"/>
      <c r="V74" s="223"/>
      <c r="W74" s="223"/>
    </row>
    <row r="75" spans="1:23" x14ac:dyDescent="0.2">
      <c r="C75" s="24"/>
      <c r="D75" s="24"/>
      <c r="E75" s="24"/>
      <c r="F75" s="24"/>
      <c r="G75" s="24"/>
      <c r="M75" s="24">
        <v>1</v>
      </c>
      <c r="N75" s="24">
        <v>1</v>
      </c>
      <c r="O75" s="24">
        <v>1</v>
      </c>
      <c r="P75" s="24">
        <v>1</v>
      </c>
      <c r="Q75" s="24">
        <v>1</v>
      </c>
      <c r="T75" s="223"/>
      <c r="U75" s="223"/>
      <c r="V75" s="223"/>
      <c r="W75" s="223"/>
    </row>
    <row r="76" spans="1:23" x14ac:dyDescent="0.2">
      <c r="C76" s="24"/>
      <c r="D76" s="24"/>
      <c r="E76" s="24"/>
      <c r="F76" s="24"/>
      <c r="G76" s="24"/>
      <c r="M76" s="24"/>
      <c r="N76" s="24"/>
      <c r="O76" s="24"/>
      <c r="P76" s="24"/>
      <c r="Q76" s="24"/>
      <c r="T76" s="223"/>
      <c r="U76" s="223"/>
      <c r="V76" s="223"/>
      <c r="W76" s="223"/>
    </row>
    <row r="77" spans="1:23" x14ac:dyDescent="0.2">
      <c r="C77" s="24"/>
      <c r="D77" s="24"/>
      <c r="E77" s="24"/>
      <c r="F77" s="24"/>
      <c r="G77" s="24"/>
      <c r="M77" s="24"/>
      <c r="N77" s="24"/>
      <c r="O77" s="24"/>
      <c r="P77" s="24"/>
      <c r="Q77" s="24"/>
      <c r="T77" s="223"/>
      <c r="U77" s="223"/>
      <c r="V77" s="223"/>
      <c r="W77" s="223"/>
    </row>
    <row r="78" spans="1:23" x14ac:dyDescent="0.2">
      <c r="C78" s="24"/>
      <c r="D78" s="24"/>
      <c r="E78" s="24"/>
      <c r="F78" s="24"/>
      <c r="G78" s="24"/>
      <c r="M78" s="24"/>
      <c r="N78" s="24"/>
      <c r="O78" s="24"/>
      <c r="P78" s="24"/>
      <c r="Q78" s="24"/>
      <c r="T78" s="223"/>
      <c r="U78" s="223"/>
      <c r="V78" s="223"/>
      <c r="W78" s="223"/>
    </row>
    <row r="79" spans="1:23" x14ac:dyDescent="0.2">
      <c r="C79" s="24"/>
      <c r="D79" s="24"/>
      <c r="E79" s="24"/>
      <c r="F79" s="24"/>
      <c r="G79" s="24"/>
      <c r="M79" s="24"/>
      <c r="N79" s="24"/>
      <c r="O79" s="24"/>
      <c r="P79" s="24"/>
      <c r="Q79" s="24"/>
      <c r="T79" s="223"/>
      <c r="U79" s="223"/>
      <c r="V79" s="223"/>
      <c r="W79" s="223"/>
    </row>
    <row r="80" spans="1:23" x14ac:dyDescent="0.2">
      <c r="C80" s="24"/>
      <c r="D80" s="24"/>
      <c r="E80" s="24"/>
      <c r="F80" s="24"/>
      <c r="G80" s="24"/>
      <c r="M80" s="24"/>
      <c r="N80" s="24"/>
      <c r="O80" s="24"/>
      <c r="P80" s="24"/>
      <c r="Q80" s="24"/>
    </row>
    <row r="81" spans="3:17" x14ac:dyDescent="0.2">
      <c r="C81" s="24"/>
      <c r="D81" s="24"/>
      <c r="E81" s="24"/>
      <c r="F81" s="24"/>
      <c r="G81" s="24"/>
      <c r="M81" s="24"/>
      <c r="N81" s="24"/>
      <c r="O81" s="24"/>
      <c r="P81" s="24"/>
      <c r="Q81" s="24"/>
    </row>
    <row r="82" spans="3:17" x14ac:dyDescent="0.2">
      <c r="C82" s="24"/>
      <c r="D82" s="24"/>
      <c r="E82" s="24"/>
      <c r="F82" s="24"/>
      <c r="G82" s="24"/>
      <c r="M82" s="24"/>
      <c r="N82" s="24"/>
      <c r="O82" s="24"/>
      <c r="P82" s="24"/>
      <c r="Q82" s="24"/>
    </row>
    <row r="83" spans="3:17" x14ac:dyDescent="0.2">
      <c r="C83" s="24"/>
      <c r="D83" s="24"/>
      <c r="E83" s="24"/>
      <c r="F83" s="24"/>
      <c r="G83" s="24"/>
      <c r="M83" s="24"/>
      <c r="N83" s="24"/>
      <c r="O83" s="24"/>
      <c r="P83" s="24"/>
      <c r="Q83" s="24"/>
    </row>
    <row r="84" spans="3:17" x14ac:dyDescent="0.2">
      <c r="C84" s="24"/>
      <c r="D84" s="24"/>
      <c r="E84" s="24"/>
      <c r="F84" s="24"/>
      <c r="G84" s="24"/>
      <c r="M84" s="24"/>
      <c r="N84" s="24"/>
      <c r="O84" s="24"/>
      <c r="P84" s="24"/>
      <c r="Q84" s="24"/>
    </row>
    <row r="85" spans="3:17" x14ac:dyDescent="0.2">
      <c r="C85" s="24"/>
      <c r="D85" s="24"/>
      <c r="E85" s="24"/>
      <c r="F85" s="24"/>
      <c r="G85" s="24"/>
      <c r="M85" s="24"/>
      <c r="N85" s="24"/>
      <c r="O85" s="24"/>
      <c r="P85" s="24"/>
      <c r="Q85" s="24"/>
    </row>
    <row r="86" spans="3:17" x14ac:dyDescent="0.2">
      <c r="C86" s="24"/>
      <c r="D86" s="24"/>
      <c r="E86" s="24"/>
      <c r="F86" s="24"/>
      <c r="G86" s="24"/>
      <c r="M86" s="24"/>
      <c r="N86" s="24"/>
      <c r="O86" s="24"/>
      <c r="P86" s="24"/>
      <c r="Q86" s="24"/>
    </row>
    <row r="87" spans="3:17" x14ac:dyDescent="0.2">
      <c r="C87" s="24"/>
      <c r="D87" s="24"/>
      <c r="E87" s="24"/>
      <c r="F87" s="24"/>
      <c r="G87" s="24"/>
      <c r="M87" s="24"/>
      <c r="N87" s="24"/>
      <c r="O87" s="24"/>
      <c r="P87" s="24"/>
      <c r="Q87" s="24"/>
    </row>
    <row r="88" spans="3:17" x14ac:dyDescent="0.2">
      <c r="C88" s="24"/>
      <c r="D88" s="24"/>
      <c r="E88" s="24"/>
      <c r="F88" s="24"/>
      <c r="G88" s="24"/>
      <c r="M88" s="24"/>
      <c r="N88" s="24"/>
      <c r="O88" s="24"/>
      <c r="P88" s="24"/>
      <c r="Q88" s="24"/>
    </row>
    <row r="89" spans="3:17" x14ac:dyDescent="0.2">
      <c r="C89" s="24"/>
      <c r="D89" s="24"/>
      <c r="E89" s="24"/>
      <c r="F89" s="24"/>
      <c r="G89" s="24"/>
      <c r="M89" s="24"/>
      <c r="N89" s="24"/>
      <c r="O89" s="24"/>
      <c r="P89" s="24"/>
      <c r="Q89" s="24"/>
    </row>
    <row r="90" spans="3:17" x14ac:dyDescent="0.2">
      <c r="C90" s="24"/>
      <c r="D90" s="24"/>
      <c r="E90" s="24"/>
      <c r="F90" s="24"/>
      <c r="G90" s="24"/>
      <c r="M90" s="24"/>
      <c r="N90" s="24"/>
      <c r="O90" s="24"/>
      <c r="P90" s="24"/>
      <c r="Q90" s="24"/>
    </row>
    <row r="91" spans="3:17" x14ac:dyDescent="0.2">
      <c r="C91" s="24"/>
      <c r="D91" s="24"/>
      <c r="E91" s="24"/>
      <c r="F91" s="24"/>
      <c r="G91" s="24"/>
      <c r="M91" s="24"/>
      <c r="N91" s="24"/>
      <c r="O91" s="24"/>
      <c r="P91" s="24"/>
      <c r="Q91" s="24"/>
    </row>
    <row r="92" spans="3:17" x14ac:dyDescent="0.2">
      <c r="C92" s="24"/>
      <c r="D92" s="24"/>
      <c r="E92" s="24"/>
      <c r="F92" s="24"/>
      <c r="G92" s="24"/>
      <c r="M92" s="24"/>
      <c r="N92" s="24"/>
      <c r="O92" s="24"/>
      <c r="P92" s="24"/>
      <c r="Q92" s="24"/>
    </row>
    <row r="93" spans="3:17" x14ac:dyDescent="0.2">
      <c r="C93" s="24"/>
      <c r="D93" s="24"/>
      <c r="E93" s="24"/>
      <c r="F93" s="24"/>
      <c r="G93" s="24"/>
      <c r="M93" s="24"/>
      <c r="N93" s="24"/>
      <c r="O93" s="24"/>
      <c r="P93" s="24"/>
      <c r="Q93" s="24"/>
    </row>
    <row r="94" spans="3:17" x14ac:dyDescent="0.2">
      <c r="C94" s="24"/>
      <c r="D94" s="24"/>
      <c r="E94" s="24"/>
      <c r="F94" s="24"/>
      <c r="G94" s="24"/>
      <c r="M94" s="24"/>
      <c r="N94" s="24"/>
      <c r="O94" s="24"/>
      <c r="P94" s="24"/>
      <c r="Q94" s="24"/>
    </row>
    <row r="95" spans="3:17" x14ac:dyDescent="0.2">
      <c r="C95" s="24"/>
      <c r="D95" s="24"/>
      <c r="E95" s="24"/>
      <c r="F95" s="24"/>
      <c r="G95" s="24"/>
      <c r="M95" s="24"/>
      <c r="N95" s="24"/>
      <c r="O95" s="24"/>
      <c r="P95" s="24"/>
      <c r="Q95" s="24"/>
    </row>
    <row r="96" spans="3:17" x14ac:dyDescent="0.2">
      <c r="C96" s="24"/>
      <c r="D96" s="24"/>
      <c r="E96" s="24"/>
      <c r="F96" s="24"/>
      <c r="G96" s="24"/>
      <c r="M96" s="24"/>
      <c r="N96" s="24"/>
      <c r="O96" s="24"/>
      <c r="P96" s="24"/>
      <c r="Q96" s="24"/>
    </row>
    <row r="97" spans="1:20" x14ac:dyDescent="0.2">
      <c r="A97" s="31" t="s">
        <v>53</v>
      </c>
      <c r="C97" s="24"/>
      <c r="D97" s="24"/>
      <c r="E97" s="24"/>
      <c r="F97" s="24"/>
      <c r="G97" s="24"/>
      <c r="M97" s="24"/>
      <c r="N97" s="24"/>
      <c r="O97" s="24"/>
      <c r="P97" s="24"/>
      <c r="Q97" s="24"/>
      <c r="T97" s="31" t="s">
        <v>54</v>
      </c>
    </row>
  </sheetData>
  <sheetProtection algorithmName="SHA-512" hashValue="uJDWSmUJwBxYQwVZS4UOr+plTl74Zxl0bMDuKaYdjrEl2RNy1dTWeIeoBt1mJ1PKWx++KG+ezgX3i+Oj7BnnkA==" saltValue="TV+6qVE1SsPU7E8MOZv6Cw==" spinCount="100000" sheet="1" objects="1" scenarios="1" insertRows="0"/>
  <mergeCells count="5">
    <mergeCell ref="T23:W29"/>
    <mergeCell ref="T32:W38"/>
    <mergeCell ref="T45:W51"/>
    <mergeCell ref="D5:G5"/>
    <mergeCell ref="T73:W7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Q181"/>
  <sheetViews>
    <sheetView workbookViewId="0">
      <selection activeCell="J35" sqref="J35"/>
    </sheetView>
  </sheetViews>
  <sheetFormatPr defaultRowHeight="12.75" x14ac:dyDescent="0.2"/>
  <cols>
    <col min="10" max="10" width="25.7109375" bestFit="1" customWidth="1"/>
    <col min="11" max="11" width="12.42578125" customWidth="1"/>
  </cols>
  <sheetData>
    <row r="2" spans="2:17" ht="13.5" customHeight="1" x14ac:dyDescent="0.2">
      <c r="B2" t="s">
        <v>3</v>
      </c>
      <c r="D2" t="s">
        <v>13</v>
      </c>
      <c r="F2" t="s">
        <v>26</v>
      </c>
      <c r="J2" t="s">
        <v>67</v>
      </c>
      <c r="L2" t="s">
        <v>68</v>
      </c>
      <c r="N2" t="s">
        <v>91</v>
      </c>
      <c r="P2" t="s">
        <v>83</v>
      </c>
      <c r="Q2" t="s">
        <v>96</v>
      </c>
    </row>
    <row r="3" spans="2:17" ht="13.5" customHeight="1" x14ac:dyDescent="0.2"/>
    <row r="4" spans="2:17" ht="13.5" customHeight="1" x14ac:dyDescent="0.2">
      <c r="E4" t="s">
        <v>27</v>
      </c>
      <c r="F4">
        <f>+'EMVI-vragenlijst'!J61</f>
        <v>0</v>
      </c>
      <c r="J4" s="111">
        <f>+'EMVI-vragenlijst'!J49</f>
        <v>45744</v>
      </c>
      <c r="L4" s="108">
        <v>80</v>
      </c>
      <c r="M4" s="108"/>
      <c r="N4" s="108">
        <f>+'EMVI-vragenlijst'!J27</f>
        <v>0</v>
      </c>
      <c r="Q4">
        <f>+'EMVI-vragenlijst'!J84</f>
        <v>0</v>
      </c>
    </row>
    <row r="5" spans="2:17" ht="13.5" customHeight="1" x14ac:dyDescent="0.2">
      <c r="E5" t="s">
        <v>28</v>
      </c>
      <c r="F5">
        <v>100</v>
      </c>
      <c r="J5" s="111">
        <f>+'EMVI-vragenlijst'!L49</f>
        <v>45653</v>
      </c>
      <c r="L5">
        <v>100</v>
      </c>
      <c r="N5" s="108">
        <f>+'EMVI-vragenlijst'!L27</f>
        <v>5</v>
      </c>
      <c r="Q5">
        <f>+'EMVI-vragenlijst'!L84</f>
        <v>36000</v>
      </c>
    </row>
    <row r="6" spans="2:17" ht="13.5" customHeight="1" x14ac:dyDescent="0.2">
      <c r="E6" t="s">
        <v>29</v>
      </c>
      <c r="F6">
        <f>+'EMVI-vragenlijst'!J62</f>
        <v>25</v>
      </c>
      <c r="J6" s="22">
        <f>+'EMVI-vragenlijst'!J50</f>
        <v>7</v>
      </c>
      <c r="L6">
        <v>2.5</v>
      </c>
      <c r="N6" s="108">
        <f>+'EMVI-vragenlijst'!I28</f>
        <v>1</v>
      </c>
      <c r="Q6">
        <f>+'EMVI-vragenlijst'!J85</f>
        <v>1800</v>
      </c>
    </row>
    <row r="7" spans="2:17" ht="13.5" customHeight="1" x14ac:dyDescent="0.2"/>
    <row r="8" spans="2:17" x14ac:dyDescent="0.2">
      <c r="B8" t="s">
        <v>4</v>
      </c>
      <c r="D8" s="1">
        <v>1</v>
      </c>
      <c r="F8">
        <f>+F4</f>
        <v>0</v>
      </c>
      <c r="J8" s="137">
        <f>+J4</f>
        <v>45744</v>
      </c>
      <c r="L8">
        <f>+L4</f>
        <v>80</v>
      </c>
      <c r="N8" s="108">
        <f>+N4</f>
        <v>0</v>
      </c>
      <c r="P8" t="s">
        <v>89</v>
      </c>
      <c r="Q8">
        <f>+Q4</f>
        <v>0</v>
      </c>
    </row>
    <row r="9" spans="2:17" x14ac:dyDescent="0.2">
      <c r="B9" t="s">
        <v>5</v>
      </c>
      <c r="D9" s="1">
        <v>1.2</v>
      </c>
      <c r="F9">
        <f>IF(+F8+$F$6&gt;$F$5,$F$5,+F8+$F$6)</f>
        <v>25</v>
      </c>
      <c r="J9" s="137">
        <f>+J8-$J$6</f>
        <v>45737</v>
      </c>
      <c r="L9">
        <f>IF(+L8+$L$6&gt;$L$5,$L$5,+L8+$L$6)</f>
        <v>82.5</v>
      </c>
      <c r="N9" s="108">
        <f>+N8+$N$6</f>
        <v>1</v>
      </c>
      <c r="P9" t="s">
        <v>85</v>
      </c>
      <c r="Q9">
        <f>IF(+Q8+$Q$6&gt;$Q$5,$Q$5,+Q8+$Q$6)</f>
        <v>1800</v>
      </c>
    </row>
    <row r="10" spans="2:17" x14ac:dyDescent="0.2">
      <c r="D10" s="1">
        <v>1.4</v>
      </c>
      <c r="F10">
        <f>IF(+F9+$F$6&gt;$F$5,$F$5,+F9+$F$6)</f>
        <v>50</v>
      </c>
      <c r="J10" s="137">
        <f t="shared" ref="J10:J21" si="0">+J9-$J$6</f>
        <v>45730</v>
      </c>
      <c r="L10">
        <f t="shared" ref="L10:L20" si="1">IF(+L9+$L$6&gt;$L$5,$L$5,+L9+$L$6)</f>
        <v>85</v>
      </c>
      <c r="N10" s="108">
        <f t="shared" ref="N10:N13" si="2">+N9+$N$6</f>
        <v>2</v>
      </c>
      <c r="P10" t="s">
        <v>86</v>
      </c>
      <c r="Q10">
        <f t="shared" ref="Q10:Q28" si="3">IF(+Q9+$Q$6&gt;$Q$5,$Q$5,+Q9+$Q$6)</f>
        <v>3600</v>
      </c>
    </row>
    <row r="11" spans="2:17" x14ac:dyDescent="0.2">
      <c r="D11" s="1">
        <v>1.6</v>
      </c>
      <c r="F11">
        <f t="shared" ref="F11:F12" si="4">IF(+F10+$F$6&gt;$F$5,$F$5,+F10+$F$6)</f>
        <v>75</v>
      </c>
      <c r="J11" s="137">
        <f t="shared" si="0"/>
        <v>45723</v>
      </c>
      <c r="L11">
        <f t="shared" si="1"/>
        <v>87.5</v>
      </c>
      <c r="N11" s="108">
        <f t="shared" si="2"/>
        <v>3</v>
      </c>
      <c r="P11" t="s">
        <v>87</v>
      </c>
      <c r="Q11">
        <f t="shared" si="3"/>
        <v>5400</v>
      </c>
    </row>
    <row r="12" spans="2:17" x14ac:dyDescent="0.2">
      <c r="D12" s="1">
        <v>1.8</v>
      </c>
      <c r="F12">
        <f t="shared" si="4"/>
        <v>100</v>
      </c>
      <c r="J12" s="137">
        <f t="shared" si="0"/>
        <v>45716</v>
      </c>
      <c r="L12">
        <f t="shared" si="1"/>
        <v>90</v>
      </c>
      <c r="N12" s="108">
        <f>+N11+$N$6</f>
        <v>4</v>
      </c>
      <c r="P12" t="s">
        <v>88</v>
      </c>
      <c r="Q12">
        <f t="shared" si="3"/>
        <v>7200</v>
      </c>
    </row>
    <row r="13" spans="2:17" x14ac:dyDescent="0.2">
      <c r="D13" s="1">
        <v>2</v>
      </c>
      <c r="J13" s="137">
        <f t="shared" si="0"/>
        <v>45709</v>
      </c>
      <c r="L13">
        <f t="shared" si="1"/>
        <v>92.5</v>
      </c>
      <c r="N13" s="108">
        <f t="shared" si="2"/>
        <v>5</v>
      </c>
      <c r="Q13">
        <f t="shared" si="3"/>
        <v>9000</v>
      </c>
    </row>
    <row r="14" spans="2:17" x14ac:dyDescent="0.2">
      <c r="D14" s="1">
        <v>2.2000000000000002</v>
      </c>
      <c r="J14" s="137">
        <f t="shared" si="0"/>
        <v>45702</v>
      </c>
      <c r="L14">
        <f t="shared" si="1"/>
        <v>95</v>
      </c>
      <c r="Q14">
        <f t="shared" si="3"/>
        <v>10800</v>
      </c>
    </row>
    <row r="15" spans="2:17" x14ac:dyDescent="0.2">
      <c r="D15" s="1">
        <v>2.4</v>
      </c>
      <c r="J15" s="137">
        <f t="shared" si="0"/>
        <v>45695</v>
      </c>
      <c r="L15">
        <f t="shared" si="1"/>
        <v>97.5</v>
      </c>
      <c r="Q15">
        <f t="shared" si="3"/>
        <v>12600</v>
      </c>
    </row>
    <row r="16" spans="2:17" x14ac:dyDescent="0.2">
      <c r="D16" s="1">
        <v>2.6</v>
      </c>
      <c r="J16" s="137">
        <f t="shared" si="0"/>
        <v>45688</v>
      </c>
      <c r="L16">
        <f t="shared" si="1"/>
        <v>100</v>
      </c>
      <c r="Q16">
        <f t="shared" si="3"/>
        <v>14400</v>
      </c>
    </row>
    <row r="17" spans="4:17" x14ac:dyDescent="0.2">
      <c r="D17" s="1">
        <v>2.8</v>
      </c>
      <c r="J17" s="137">
        <f t="shared" si="0"/>
        <v>45681</v>
      </c>
      <c r="L17">
        <f t="shared" si="1"/>
        <v>100</v>
      </c>
      <c r="Q17">
        <f t="shared" si="3"/>
        <v>16200</v>
      </c>
    </row>
    <row r="18" spans="4:17" x14ac:dyDescent="0.2">
      <c r="D18" s="1">
        <v>3</v>
      </c>
      <c r="J18" s="137">
        <f t="shared" si="0"/>
        <v>45674</v>
      </c>
      <c r="L18">
        <f t="shared" si="1"/>
        <v>100</v>
      </c>
      <c r="Q18">
        <f t="shared" si="3"/>
        <v>18000</v>
      </c>
    </row>
    <row r="19" spans="4:17" x14ac:dyDescent="0.2">
      <c r="D19" s="1">
        <v>3</v>
      </c>
      <c r="J19" s="137">
        <f t="shared" si="0"/>
        <v>45667</v>
      </c>
      <c r="L19">
        <f t="shared" si="1"/>
        <v>100</v>
      </c>
      <c r="Q19">
        <f t="shared" si="3"/>
        <v>19800</v>
      </c>
    </row>
    <row r="20" spans="4:17" x14ac:dyDescent="0.2">
      <c r="D20" s="1">
        <v>3</v>
      </c>
      <c r="J20" s="137">
        <f t="shared" si="0"/>
        <v>45660</v>
      </c>
      <c r="L20">
        <f t="shared" si="1"/>
        <v>100</v>
      </c>
      <c r="Q20">
        <f t="shared" si="3"/>
        <v>21600</v>
      </c>
    </row>
    <row r="21" spans="4:17" x14ac:dyDescent="0.2">
      <c r="D21" s="1">
        <v>3</v>
      </c>
      <c r="J21" s="137">
        <f t="shared" si="0"/>
        <v>45653</v>
      </c>
      <c r="Q21">
        <f>IF(+Q20+$Q$6&gt;$Q$5,$Q$5,+Q20+$Q$6)</f>
        <v>23400</v>
      </c>
    </row>
    <row r="22" spans="4:17" x14ac:dyDescent="0.2">
      <c r="D22" s="1">
        <v>3</v>
      </c>
      <c r="J22" s="112"/>
      <c r="Q22">
        <f t="shared" si="3"/>
        <v>25200</v>
      </c>
    </row>
    <row r="23" spans="4:17" x14ac:dyDescent="0.2">
      <c r="D23" s="1">
        <v>3</v>
      </c>
      <c r="J23" s="112"/>
      <c r="Q23">
        <f t="shared" si="3"/>
        <v>27000</v>
      </c>
    </row>
    <row r="24" spans="4:17" x14ac:dyDescent="0.2">
      <c r="D24" s="1">
        <v>3</v>
      </c>
      <c r="J24" s="112"/>
      <c r="Q24">
        <f t="shared" si="3"/>
        <v>28800</v>
      </c>
    </row>
    <row r="25" spans="4:17" x14ac:dyDescent="0.2">
      <c r="D25" s="1">
        <v>3</v>
      </c>
      <c r="J25" s="112"/>
      <c r="Q25">
        <f t="shared" si="3"/>
        <v>30600</v>
      </c>
    </row>
    <row r="26" spans="4:17" x14ac:dyDescent="0.2">
      <c r="D26" s="1">
        <v>3</v>
      </c>
      <c r="J26" s="112"/>
      <c r="Q26">
        <f t="shared" si="3"/>
        <v>32400</v>
      </c>
    </row>
    <row r="27" spans="4:17" x14ac:dyDescent="0.2">
      <c r="D27" s="1">
        <v>3</v>
      </c>
      <c r="J27" s="112"/>
      <c r="Q27">
        <f t="shared" si="3"/>
        <v>34200</v>
      </c>
    </row>
    <row r="28" spans="4:17" x14ac:dyDescent="0.2">
      <c r="D28" s="1">
        <v>3</v>
      </c>
      <c r="J28" s="112"/>
      <c r="Q28">
        <f t="shared" si="3"/>
        <v>36000</v>
      </c>
    </row>
    <row r="29" spans="4:17" x14ac:dyDescent="0.2">
      <c r="J29" s="112"/>
    </row>
    <row r="30" spans="4:17" x14ac:dyDescent="0.2">
      <c r="J30" s="112"/>
    </row>
    <row r="31" spans="4:17" x14ac:dyDescent="0.2">
      <c r="J31" s="112"/>
    </row>
    <row r="32" spans="4:17" x14ac:dyDescent="0.2">
      <c r="J32" s="112"/>
    </row>
    <row r="33" spans="10:10" x14ac:dyDescent="0.2">
      <c r="J33" s="112"/>
    </row>
    <row r="34" spans="10:10" x14ac:dyDescent="0.2">
      <c r="J34" s="112"/>
    </row>
    <row r="35" spans="10:10" x14ac:dyDescent="0.2">
      <c r="J35" s="112"/>
    </row>
    <row r="36" spans="10:10" x14ac:dyDescent="0.2">
      <c r="J36" s="112"/>
    </row>
    <row r="37" spans="10:10" x14ac:dyDescent="0.2">
      <c r="J37" s="112"/>
    </row>
    <row r="38" spans="10:10" x14ac:dyDescent="0.2">
      <c r="J38" s="112">
        <f t="shared" ref="J38" si="5">IF(+J37+$J$6&gt;$J$5,$J$5,+J37+$J$6)</f>
        <v>7</v>
      </c>
    </row>
    <row r="39" spans="10:10" x14ac:dyDescent="0.2">
      <c r="J39" s="111"/>
    </row>
    <row r="40" spans="10:10" x14ac:dyDescent="0.2">
      <c r="J40" s="111"/>
    </row>
    <row r="41" spans="10:10" x14ac:dyDescent="0.2">
      <c r="J41" s="111"/>
    </row>
    <row r="42" spans="10:10" x14ac:dyDescent="0.2">
      <c r="J42" s="111"/>
    </row>
    <row r="43" spans="10:10" x14ac:dyDescent="0.2">
      <c r="J43" s="111"/>
    </row>
    <row r="44" spans="10:10" x14ac:dyDescent="0.2">
      <c r="J44" s="111"/>
    </row>
    <row r="45" spans="10:10" x14ac:dyDescent="0.2">
      <c r="J45" s="111"/>
    </row>
    <row r="46" spans="10:10" x14ac:dyDescent="0.2">
      <c r="J46" s="111"/>
    </row>
    <row r="47" spans="10:10" x14ac:dyDescent="0.2">
      <c r="J47" s="111"/>
    </row>
    <row r="48" spans="10:10" x14ac:dyDescent="0.2">
      <c r="J48" s="111"/>
    </row>
    <row r="49" spans="10:10" x14ac:dyDescent="0.2">
      <c r="J49" s="111"/>
    </row>
    <row r="50" spans="10:10" x14ac:dyDescent="0.2">
      <c r="J50" s="111"/>
    </row>
    <row r="51" spans="10:10" x14ac:dyDescent="0.2">
      <c r="J51" s="111"/>
    </row>
    <row r="52" spans="10:10" x14ac:dyDescent="0.2">
      <c r="J52" s="111"/>
    </row>
    <row r="53" spans="10:10" x14ac:dyDescent="0.2">
      <c r="J53" s="111"/>
    </row>
    <row r="54" spans="10:10" x14ac:dyDescent="0.2">
      <c r="J54" s="111"/>
    </row>
    <row r="55" spans="10:10" x14ac:dyDescent="0.2">
      <c r="J55" s="111"/>
    </row>
    <row r="56" spans="10:10" x14ac:dyDescent="0.2">
      <c r="J56" s="111"/>
    </row>
    <row r="57" spans="10:10" x14ac:dyDescent="0.2">
      <c r="J57" s="111"/>
    </row>
    <row r="58" spans="10:10" x14ac:dyDescent="0.2">
      <c r="J58" s="111"/>
    </row>
    <row r="59" spans="10:10" x14ac:dyDescent="0.2">
      <c r="J59" s="111"/>
    </row>
    <row r="60" spans="10:10" x14ac:dyDescent="0.2">
      <c r="J60" s="111"/>
    </row>
    <row r="61" spans="10:10" x14ac:dyDescent="0.2">
      <c r="J61" s="111"/>
    </row>
    <row r="62" spans="10:10" x14ac:dyDescent="0.2">
      <c r="J62" s="111"/>
    </row>
    <row r="63" spans="10:10" x14ac:dyDescent="0.2">
      <c r="J63" s="111"/>
    </row>
    <row r="64" spans="10:10" x14ac:dyDescent="0.2">
      <c r="J64" s="111"/>
    </row>
    <row r="65" spans="10:10" x14ac:dyDescent="0.2">
      <c r="J65" s="111"/>
    </row>
    <row r="66" spans="10:10" x14ac:dyDescent="0.2">
      <c r="J66" s="111"/>
    </row>
    <row r="67" spans="10:10" x14ac:dyDescent="0.2">
      <c r="J67" s="111"/>
    </row>
    <row r="68" spans="10:10" x14ac:dyDescent="0.2">
      <c r="J68" s="111"/>
    </row>
    <row r="69" spans="10:10" x14ac:dyDescent="0.2">
      <c r="J69" s="111"/>
    </row>
    <row r="70" spans="10:10" x14ac:dyDescent="0.2">
      <c r="J70" s="111"/>
    </row>
    <row r="71" spans="10:10" x14ac:dyDescent="0.2">
      <c r="J71" s="111"/>
    </row>
    <row r="72" spans="10:10" x14ac:dyDescent="0.2">
      <c r="J72" s="111"/>
    </row>
    <row r="73" spans="10:10" x14ac:dyDescent="0.2">
      <c r="J73" s="111"/>
    </row>
    <row r="74" spans="10:10" x14ac:dyDescent="0.2">
      <c r="J74" s="111"/>
    </row>
    <row r="75" spans="10:10" x14ac:dyDescent="0.2">
      <c r="J75" s="111"/>
    </row>
    <row r="76" spans="10:10" x14ac:dyDescent="0.2">
      <c r="J76" s="111"/>
    </row>
    <row r="77" spans="10:10" x14ac:dyDescent="0.2">
      <c r="J77" s="111"/>
    </row>
    <row r="78" spans="10:10" x14ac:dyDescent="0.2">
      <c r="J78" s="111"/>
    </row>
    <row r="79" spans="10:10" x14ac:dyDescent="0.2">
      <c r="J79" s="111"/>
    </row>
    <row r="80" spans="10:10" x14ac:dyDescent="0.2">
      <c r="J80" s="111"/>
    </row>
    <row r="81" spans="10:10" x14ac:dyDescent="0.2">
      <c r="J81" s="111"/>
    </row>
    <row r="82" spans="10:10" x14ac:dyDescent="0.2">
      <c r="J82" s="111"/>
    </row>
    <row r="83" spans="10:10" x14ac:dyDescent="0.2">
      <c r="J83" s="111"/>
    </row>
    <row r="84" spans="10:10" x14ac:dyDescent="0.2">
      <c r="J84" s="111"/>
    </row>
    <row r="85" spans="10:10" x14ac:dyDescent="0.2">
      <c r="J85" s="111"/>
    </row>
    <row r="86" spans="10:10" x14ac:dyDescent="0.2">
      <c r="J86" s="111"/>
    </row>
    <row r="87" spans="10:10" x14ac:dyDescent="0.2">
      <c r="J87" s="111"/>
    </row>
    <row r="88" spans="10:10" x14ac:dyDescent="0.2">
      <c r="J88" s="111"/>
    </row>
    <row r="89" spans="10:10" x14ac:dyDescent="0.2">
      <c r="J89" s="111"/>
    </row>
    <row r="90" spans="10:10" x14ac:dyDescent="0.2">
      <c r="J90" s="111"/>
    </row>
    <row r="91" spans="10:10" x14ac:dyDescent="0.2">
      <c r="J91" s="111"/>
    </row>
    <row r="92" spans="10:10" x14ac:dyDescent="0.2">
      <c r="J92" s="111"/>
    </row>
    <row r="93" spans="10:10" x14ac:dyDescent="0.2">
      <c r="J93" s="111"/>
    </row>
    <row r="94" spans="10:10" x14ac:dyDescent="0.2">
      <c r="J94" s="111"/>
    </row>
    <row r="95" spans="10:10" x14ac:dyDescent="0.2">
      <c r="J95" s="111"/>
    </row>
    <row r="96" spans="10:10" x14ac:dyDescent="0.2">
      <c r="J96" s="111"/>
    </row>
    <row r="97" spans="10:10" x14ac:dyDescent="0.2">
      <c r="J97" s="111"/>
    </row>
    <row r="98" spans="10:10" x14ac:dyDescent="0.2">
      <c r="J98" s="111"/>
    </row>
    <row r="99" spans="10:10" x14ac:dyDescent="0.2">
      <c r="J99" s="111"/>
    </row>
    <row r="100" spans="10:10" x14ac:dyDescent="0.2">
      <c r="J100" s="111"/>
    </row>
    <row r="101" spans="10:10" x14ac:dyDescent="0.2">
      <c r="J101" s="111"/>
    </row>
    <row r="102" spans="10:10" x14ac:dyDescent="0.2">
      <c r="J102" s="111"/>
    </row>
    <row r="103" spans="10:10" x14ac:dyDescent="0.2">
      <c r="J103" s="111"/>
    </row>
    <row r="104" spans="10:10" x14ac:dyDescent="0.2">
      <c r="J104" s="111"/>
    </row>
    <row r="105" spans="10:10" x14ac:dyDescent="0.2">
      <c r="J105" s="111"/>
    </row>
    <row r="106" spans="10:10" x14ac:dyDescent="0.2">
      <c r="J106" s="111"/>
    </row>
    <row r="107" spans="10:10" x14ac:dyDescent="0.2">
      <c r="J107" s="111"/>
    </row>
    <row r="108" spans="10:10" x14ac:dyDescent="0.2">
      <c r="J108" s="111"/>
    </row>
    <row r="109" spans="10:10" x14ac:dyDescent="0.2">
      <c r="J109" s="111"/>
    </row>
    <row r="110" spans="10:10" x14ac:dyDescent="0.2">
      <c r="J110" s="111"/>
    </row>
    <row r="111" spans="10:10" x14ac:dyDescent="0.2">
      <c r="J111" s="111"/>
    </row>
    <row r="112" spans="10:10" x14ac:dyDescent="0.2">
      <c r="J112" s="111"/>
    </row>
    <row r="113" spans="10:10" x14ac:dyDescent="0.2">
      <c r="J113" s="111"/>
    </row>
    <row r="114" spans="10:10" x14ac:dyDescent="0.2">
      <c r="J114" s="111"/>
    </row>
    <row r="115" spans="10:10" x14ac:dyDescent="0.2">
      <c r="J115" s="111"/>
    </row>
    <row r="116" spans="10:10" x14ac:dyDescent="0.2">
      <c r="J116" s="111"/>
    </row>
    <row r="117" spans="10:10" x14ac:dyDescent="0.2">
      <c r="J117" s="111"/>
    </row>
    <row r="118" spans="10:10" x14ac:dyDescent="0.2">
      <c r="J118" s="111"/>
    </row>
    <row r="119" spans="10:10" x14ac:dyDescent="0.2">
      <c r="J119" s="111"/>
    </row>
    <row r="120" spans="10:10" x14ac:dyDescent="0.2">
      <c r="J120" s="111"/>
    </row>
    <row r="121" spans="10:10" x14ac:dyDescent="0.2">
      <c r="J121" s="111"/>
    </row>
    <row r="122" spans="10:10" x14ac:dyDescent="0.2">
      <c r="J122" s="111"/>
    </row>
    <row r="123" spans="10:10" x14ac:dyDescent="0.2">
      <c r="J123" s="111"/>
    </row>
    <row r="124" spans="10:10" x14ac:dyDescent="0.2">
      <c r="J124" s="111"/>
    </row>
    <row r="125" spans="10:10" x14ac:dyDescent="0.2">
      <c r="J125" s="111"/>
    </row>
    <row r="126" spans="10:10" x14ac:dyDescent="0.2">
      <c r="J126" s="111"/>
    </row>
    <row r="127" spans="10:10" x14ac:dyDescent="0.2">
      <c r="J127" s="111"/>
    </row>
    <row r="128" spans="10:10" x14ac:dyDescent="0.2">
      <c r="J128" s="111"/>
    </row>
    <row r="129" spans="10:10" x14ac:dyDescent="0.2">
      <c r="J129" s="111"/>
    </row>
    <row r="130" spans="10:10" x14ac:dyDescent="0.2">
      <c r="J130" s="111"/>
    </row>
    <row r="131" spans="10:10" x14ac:dyDescent="0.2">
      <c r="J131" s="111"/>
    </row>
    <row r="132" spans="10:10" x14ac:dyDescent="0.2">
      <c r="J132" s="111"/>
    </row>
    <row r="133" spans="10:10" x14ac:dyDescent="0.2">
      <c r="J133" s="111"/>
    </row>
    <row r="134" spans="10:10" x14ac:dyDescent="0.2">
      <c r="J134" s="111"/>
    </row>
    <row r="135" spans="10:10" x14ac:dyDescent="0.2">
      <c r="J135" s="111"/>
    </row>
    <row r="136" spans="10:10" x14ac:dyDescent="0.2">
      <c r="J136" s="111"/>
    </row>
    <row r="137" spans="10:10" x14ac:dyDescent="0.2">
      <c r="J137" s="111"/>
    </row>
    <row r="138" spans="10:10" x14ac:dyDescent="0.2">
      <c r="J138" s="111"/>
    </row>
    <row r="139" spans="10:10" x14ac:dyDescent="0.2">
      <c r="J139" s="111"/>
    </row>
    <row r="140" spans="10:10" x14ac:dyDescent="0.2">
      <c r="J140" s="111"/>
    </row>
    <row r="141" spans="10:10" x14ac:dyDescent="0.2">
      <c r="J141" s="111"/>
    </row>
    <row r="142" spans="10:10" x14ac:dyDescent="0.2">
      <c r="J142" s="111"/>
    </row>
    <row r="143" spans="10:10" x14ac:dyDescent="0.2">
      <c r="J143" s="111"/>
    </row>
    <row r="144" spans="10:10" x14ac:dyDescent="0.2">
      <c r="J144" s="111"/>
    </row>
    <row r="145" spans="10:10" x14ac:dyDescent="0.2">
      <c r="J145" s="111"/>
    </row>
    <row r="146" spans="10:10" x14ac:dyDescent="0.2">
      <c r="J146" s="111"/>
    </row>
    <row r="147" spans="10:10" x14ac:dyDescent="0.2">
      <c r="J147" s="111"/>
    </row>
    <row r="148" spans="10:10" x14ac:dyDescent="0.2">
      <c r="J148" s="111"/>
    </row>
    <row r="149" spans="10:10" x14ac:dyDescent="0.2">
      <c r="J149" s="111"/>
    </row>
    <row r="150" spans="10:10" x14ac:dyDescent="0.2">
      <c r="J150" s="111"/>
    </row>
    <row r="151" spans="10:10" x14ac:dyDescent="0.2">
      <c r="J151" s="111"/>
    </row>
    <row r="152" spans="10:10" x14ac:dyDescent="0.2">
      <c r="J152" s="111"/>
    </row>
    <row r="153" spans="10:10" x14ac:dyDescent="0.2">
      <c r="J153" s="111"/>
    </row>
    <row r="154" spans="10:10" x14ac:dyDescent="0.2">
      <c r="J154" s="111"/>
    </row>
    <row r="155" spans="10:10" x14ac:dyDescent="0.2">
      <c r="J155" s="111"/>
    </row>
    <row r="156" spans="10:10" x14ac:dyDescent="0.2">
      <c r="J156" s="111"/>
    </row>
    <row r="157" spans="10:10" x14ac:dyDescent="0.2">
      <c r="J157" s="111"/>
    </row>
    <row r="158" spans="10:10" x14ac:dyDescent="0.2">
      <c r="J158" s="111"/>
    </row>
    <row r="159" spans="10:10" x14ac:dyDescent="0.2">
      <c r="J159" s="111"/>
    </row>
    <row r="160" spans="10:10" x14ac:dyDescent="0.2">
      <c r="J160" s="111"/>
    </row>
    <row r="161" spans="10:10" x14ac:dyDescent="0.2">
      <c r="J161" s="111"/>
    </row>
    <row r="162" spans="10:10" x14ac:dyDescent="0.2">
      <c r="J162" s="111"/>
    </row>
    <row r="163" spans="10:10" x14ac:dyDescent="0.2">
      <c r="J163" s="111"/>
    </row>
    <row r="164" spans="10:10" x14ac:dyDescent="0.2">
      <c r="J164" s="111"/>
    </row>
    <row r="165" spans="10:10" x14ac:dyDescent="0.2">
      <c r="J165" s="111"/>
    </row>
    <row r="166" spans="10:10" x14ac:dyDescent="0.2">
      <c r="J166" s="111"/>
    </row>
    <row r="167" spans="10:10" x14ac:dyDescent="0.2">
      <c r="J167" s="111"/>
    </row>
    <row r="168" spans="10:10" x14ac:dyDescent="0.2">
      <c r="J168" s="111"/>
    </row>
    <row r="169" spans="10:10" x14ac:dyDescent="0.2">
      <c r="J169" s="111"/>
    </row>
    <row r="170" spans="10:10" x14ac:dyDescent="0.2">
      <c r="J170" s="111"/>
    </row>
    <row r="171" spans="10:10" x14ac:dyDescent="0.2">
      <c r="J171" s="111"/>
    </row>
    <row r="172" spans="10:10" x14ac:dyDescent="0.2">
      <c r="J172" s="111"/>
    </row>
    <row r="173" spans="10:10" x14ac:dyDescent="0.2">
      <c r="J173" s="111"/>
    </row>
    <row r="174" spans="10:10" x14ac:dyDescent="0.2">
      <c r="J174" s="111"/>
    </row>
    <row r="175" spans="10:10" x14ac:dyDescent="0.2">
      <c r="J175" s="111"/>
    </row>
    <row r="176" spans="10:10" x14ac:dyDescent="0.2">
      <c r="J176" s="111"/>
    </row>
    <row r="177" spans="10:10" x14ac:dyDescent="0.2">
      <c r="J177" s="111"/>
    </row>
    <row r="178" spans="10:10" x14ac:dyDescent="0.2">
      <c r="J178" s="111"/>
    </row>
    <row r="179" spans="10:10" x14ac:dyDescent="0.2">
      <c r="J179" s="111"/>
    </row>
    <row r="180" spans="10:10" x14ac:dyDescent="0.2">
      <c r="J180" s="111"/>
    </row>
    <row r="181" spans="10:10" x14ac:dyDescent="0.2">
      <c r="J181" s="111"/>
    </row>
  </sheetData>
  <sheetProtection algorithmName="SHA-512" hashValue="BfeW2kjKf28QC2p6zyLvIygaJxUaVI+KE0XlaSLPmo/abtFiK2oRCbaQHDBtuRFRsrSgITjGPrx4ELr0seBtUQ==" saltValue="KFSHJ0I+eAFqFPKYkdgtH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EMVI-vragenlijst</vt:lpstr>
      <vt:lpstr>Voertuigen en materieel</vt:lpstr>
      <vt:lpstr>Invulwaarden</vt:lpstr>
    </vt:vector>
  </TitlesOfParts>
  <Company>Gemeente Meierijstad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hwijng</dc:creator>
  <cp:lastModifiedBy>hwijng</cp:lastModifiedBy>
  <dcterms:created xsi:type="dcterms:W3CDTF">2019-03-20T06:05:24Z</dcterms:created>
  <dcterms:modified xsi:type="dcterms:W3CDTF">2023-09-15T05:55:24Z</dcterms:modified>
</cp:coreProperties>
</file>