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7 Vastgoed\A07.119.2022 Ophoging parkeergarage Haarlemmerstraat\3b. Gunningsfase\1. Publicatie\"/>
    </mc:Choice>
  </mc:AlternateContent>
  <xr:revisionPtr revIDLastSave="0" documentId="8_{EFB6CA97-8593-40C2-827D-AECB53888655}" xr6:coauthVersionLast="47" xr6:coauthVersionMax="47" xr10:uidLastSave="{00000000-0000-0000-0000-000000000000}"/>
  <bookViews>
    <workbookView xWindow="-120" yWindow="-120" windowWidth="29040" windowHeight="17640" xr2:uid="{11E07EF8-8E8C-44FE-811D-50A16BAFC6BE}"/>
  </bookViews>
  <sheets>
    <sheet name="Invulformulier" sheetId="6" r:id="rId1"/>
    <sheet name="Referentieberekening" sheetId="1" r:id="rId2"/>
    <sheet name="Achtergrondberekeningen" sheetId="3" r:id="rId3"/>
    <sheet name="MKI Pantserdekvloer" sheetId="4" r:id="rId4"/>
    <sheet name="Volledige referentie" sheetId="5" state="hidden" r:id="rId5"/>
  </sheets>
  <definedNames>
    <definedName name="_xlnm._FilterDatabase" localSheetId="0" hidden="1">Invulformulier!$A$13:$J$26</definedName>
    <definedName name="_xlnm._FilterDatabase" localSheetId="1" hidden="1">Referentieberekening!$A$10:$J$23</definedName>
    <definedName name="_xlnm._FilterDatabase" localSheetId="4" hidden="1">'Volledige referentie'!$A$5:$L$43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D22" i="6"/>
  <c r="H15" i="6"/>
  <c r="H16" i="6"/>
  <c r="H17" i="6"/>
  <c r="H18" i="6"/>
  <c r="H19" i="6"/>
  <c r="H20" i="6"/>
  <c r="H21" i="6"/>
  <c r="H22" i="6"/>
  <c r="H23" i="6"/>
  <c r="H24" i="6"/>
  <c r="H25" i="6"/>
  <c r="H26" i="6"/>
  <c r="D25" i="6"/>
  <c r="B34" i="6"/>
  <c r="D16" i="6"/>
  <c r="D23" i="6"/>
  <c r="G22" i="1"/>
  <c r="J22" i="1" s="1"/>
  <c r="H12" i="1"/>
  <c r="H11" i="1"/>
  <c r="H20" i="1"/>
  <c r="H23" i="1"/>
  <c r="I15" i="6"/>
  <c r="I16" i="6"/>
  <c r="I17" i="6"/>
  <c r="I18" i="6"/>
  <c r="I19" i="6"/>
  <c r="I20" i="6"/>
  <c r="I21" i="6"/>
  <c r="I22" i="6"/>
  <c r="J22" i="6" s="1"/>
  <c r="I23" i="6"/>
  <c r="I24" i="6"/>
  <c r="I25" i="6"/>
  <c r="I26" i="6"/>
  <c r="I14" i="6"/>
  <c r="E15" i="6"/>
  <c r="F15" i="6"/>
  <c r="E16" i="6"/>
  <c r="F16" i="6"/>
  <c r="E17" i="6"/>
  <c r="F17" i="6"/>
  <c r="E18" i="6"/>
  <c r="F18" i="6"/>
  <c r="E19" i="6"/>
  <c r="F19" i="6"/>
  <c r="E20" i="6"/>
  <c r="F20" i="6"/>
  <c r="E21" i="6"/>
  <c r="F21" i="6"/>
  <c r="E22" i="6"/>
  <c r="F22" i="6"/>
  <c r="E23" i="6"/>
  <c r="F23" i="6"/>
  <c r="E24" i="6"/>
  <c r="F24" i="6"/>
  <c r="E25" i="6"/>
  <c r="F25" i="6"/>
  <c r="E26" i="6"/>
  <c r="F26" i="6"/>
  <c r="F14" i="6"/>
  <c r="E14" i="6"/>
  <c r="D15" i="6"/>
  <c r="D17" i="6"/>
  <c r="D18" i="6"/>
  <c r="D19" i="6"/>
  <c r="D20" i="6"/>
  <c r="D21" i="6"/>
  <c r="D24" i="6"/>
  <c r="D26" i="6"/>
  <c r="D14" i="6"/>
  <c r="J13" i="1"/>
  <c r="J14" i="1"/>
  <c r="J15" i="1"/>
  <c r="J16" i="1"/>
  <c r="J17" i="1"/>
  <c r="J18" i="1"/>
  <c r="J19" i="1"/>
  <c r="J20" i="1"/>
  <c r="J21" i="1"/>
  <c r="J23" i="1"/>
  <c r="J43" i="5"/>
  <c r="J42" i="5"/>
  <c r="G39" i="5"/>
  <c r="J39" i="5" s="1"/>
  <c r="G38" i="5"/>
  <c r="J38" i="5" s="1"/>
  <c r="J37" i="5"/>
  <c r="J35" i="5"/>
  <c r="J34" i="5"/>
  <c r="J33" i="5"/>
  <c r="J32" i="5"/>
  <c r="J31" i="5"/>
  <c r="J29" i="5"/>
  <c r="J28" i="5"/>
  <c r="J27" i="5"/>
  <c r="J26" i="5"/>
  <c r="G26" i="5"/>
  <c r="J25" i="5"/>
  <c r="J24" i="5"/>
  <c r="J23" i="5"/>
  <c r="J22" i="5"/>
  <c r="J21" i="5"/>
  <c r="J20" i="5"/>
  <c r="G18" i="5"/>
  <c r="J18" i="5" s="1"/>
  <c r="J17" i="5"/>
  <c r="G16" i="5"/>
  <c r="J16" i="5" s="1"/>
  <c r="J15" i="5"/>
  <c r="J14" i="5"/>
  <c r="J11" i="5"/>
  <c r="J10" i="5"/>
  <c r="J9" i="5"/>
  <c r="J8" i="5"/>
  <c r="J7" i="5"/>
  <c r="J6" i="5"/>
  <c r="M49" i="3"/>
  <c r="S49" i="3"/>
  <c r="T49" i="3"/>
  <c r="U49" i="3"/>
  <c r="V49" i="3"/>
  <c r="W49" i="3"/>
  <c r="L49" i="3"/>
  <c r="B13" i="4"/>
  <c r="H13" i="4" s="1"/>
  <c r="J13" i="4" s="1"/>
  <c r="B12" i="4"/>
  <c r="H12" i="4" s="1"/>
  <c r="J12" i="4" s="1"/>
  <c r="H6" i="4"/>
  <c r="J8" i="4" s="1"/>
  <c r="J21" i="6" l="1"/>
  <c r="J20" i="6"/>
  <c r="J23" i="6"/>
  <c r="J18" i="6"/>
  <c r="J19" i="6"/>
  <c r="J15" i="6"/>
  <c r="J12" i="1"/>
  <c r="J25" i="1" s="1"/>
  <c r="J11" i="1"/>
  <c r="J26" i="6"/>
  <c r="J14" i="6"/>
  <c r="J25" i="6"/>
  <c r="J17" i="6"/>
  <c r="J24" i="6"/>
  <c r="J16" i="6"/>
  <c r="J7" i="4"/>
  <c r="J10" i="4"/>
  <c r="J15" i="4" s="1"/>
  <c r="H49" i="3" s="1"/>
  <c r="J9" i="4"/>
  <c r="J28" i="6" l="1"/>
  <c r="J29" i="6" s="1"/>
  <c r="G49" i="3" a="1"/>
  <c r="G49" i="3" s="1"/>
  <c r="F49" i="3"/>
  <c r="E49" i="3" l="1"/>
  <c r="H41" i="5" s="1"/>
  <c r="J41" i="5" s="1"/>
  <c r="V42" i="3"/>
  <c r="U42" i="3"/>
  <c r="T42" i="3"/>
  <c r="S42" i="3"/>
  <c r="M42" i="3"/>
  <c r="L42" i="3"/>
  <c r="W42" i="3"/>
  <c r="H42" i="3"/>
  <c r="B35" i="3"/>
  <c r="B24" i="3"/>
  <c r="B23" i="3"/>
  <c r="B17" i="3"/>
  <c r="H36" i="5" s="1"/>
  <c r="J36" i="5" s="1"/>
  <c r="B72" i="3"/>
  <c r="B75" i="3"/>
  <c r="B68" i="3"/>
  <c r="B65" i="3"/>
  <c r="B58" i="3"/>
  <c r="B55" i="3"/>
  <c r="B7" i="3"/>
  <c r="B10" i="3" s="1"/>
  <c r="G40" i="5" s="1"/>
  <c r="J40" i="5" s="1"/>
  <c r="G42" i="3" l="1" a="1"/>
  <c r="G42" i="3" s="1"/>
  <c r="F42" i="3"/>
  <c r="B69" i="3"/>
  <c r="B76" i="3"/>
  <c r="B25" i="3"/>
  <c r="B26" i="3" s="1"/>
  <c r="B28" i="3" s="1"/>
  <c r="B30" i="3" s="1"/>
  <c r="H12" i="5" s="1"/>
  <c r="J12" i="5" s="1"/>
  <c r="B59" i="3"/>
  <c r="G19" i="5" s="1"/>
  <c r="J19" i="5" s="1"/>
  <c r="E42" i="3" l="1"/>
  <c r="B36" i="3" s="1"/>
  <c r="H13" i="5" s="1"/>
  <c r="J13" i="5" s="1"/>
  <c r="J46" i="5" s="1"/>
  <c r="B77" i="3"/>
  <c r="B78" i="3" s="1"/>
  <c r="G30" i="5" s="1"/>
  <c r="J30" i="5" s="1"/>
  <c r="J45" i="5" l="1"/>
  <c r="K30" i="5" s="1"/>
  <c r="K13" i="5" l="1"/>
  <c r="K41" i="5"/>
  <c r="K42" i="5"/>
  <c r="K28" i="5"/>
  <c r="K24" i="5"/>
  <c r="K10" i="5"/>
  <c r="K31" i="5"/>
  <c r="K11" i="5"/>
  <c r="K22" i="5"/>
  <c r="K14" i="5"/>
  <c r="K23" i="5"/>
  <c r="K18" i="5"/>
  <c r="K7" i="5"/>
  <c r="K9" i="5"/>
  <c r="K33" i="5"/>
  <c r="K6" i="5"/>
  <c r="K35" i="5"/>
  <c r="K15" i="5"/>
  <c r="K37" i="5"/>
  <c r="K25" i="5"/>
  <c r="K32" i="5"/>
  <c r="K39" i="5"/>
  <c r="K38" i="5"/>
  <c r="K20" i="5"/>
  <c r="K43" i="5"/>
  <c r="K21" i="5"/>
  <c r="K26" i="5"/>
  <c r="K34" i="5"/>
  <c r="K36" i="5"/>
  <c r="K8" i="5"/>
  <c r="K12" i="5"/>
  <c r="L46" i="5" s="1"/>
  <c r="K40" i="5"/>
  <c r="K29" i="5"/>
  <c r="K19" i="5"/>
  <c r="K16" i="5"/>
  <c r="K27" i="5"/>
  <c r="K45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<sst xmlns="http://schemas.openxmlformats.org/spreadsheetml/2006/main" count="662" uniqueCount="259">
  <si>
    <t>%</t>
  </si>
  <si>
    <t>1 - Fundering</t>
  </si>
  <si>
    <t>16 - Fundering</t>
  </si>
  <si>
    <t>Funderingsbalk met C2025 0% betongranulaat, LafargeHolcim Limburg</t>
  </si>
  <si>
    <t>m</t>
  </si>
  <si>
    <t>17 - Paalfundering</t>
  </si>
  <si>
    <t>Funderingspalen, Stalen buispaal rond, 20% granulaat; diameter 323.9 mm</t>
  </si>
  <si>
    <t>2 - Ruwbouw</t>
  </si>
  <si>
    <t>21 - Buitenwanden</t>
  </si>
  <si>
    <t>Baksteenmetselwerk buitenwanden KNB</t>
  </si>
  <si>
    <t>m2</t>
  </si>
  <si>
    <t>Samengestelde constructies uit plaatstaal  koudgevormd prefab wereldproductie</t>
  </si>
  <si>
    <t>kg</t>
  </si>
  <si>
    <t>Stalen rioleringsbuis, klein</t>
  </si>
  <si>
    <t>23 - Vloeren</t>
  </si>
  <si>
    <t>Breedplaatvloer druklaag C3037 0% betongranulaat LafargeHolcim Limburg</t>
  </si>
  <si>
    <t>Druklaag, kanaalplaat vrijdragende vloer C3037 0% betongranulaat LafargeHolcim Limburg</t>
  </si>
  <si>
    <t>24 - Trappen en hellingen</t>
  </si>
  <si>
    <t>27 - Daken</t>
  </si>
  <si>
    <t>Druklaag, kanaalplaat vrijdragende vloer C2025 0% betongranulaat LafargeHolcim Limburg</t>
  </si>
  <si>
    <t>Gordingen hout</t>
  </si>
  <si>
    <t>28 - Hoofddraagconstructie</t>
  </si>
  <si>
    <t>3 - Afbouw</t>
  </si>
  <si>
    <t>31 - Buitenwandopeningen</t>
  </si>
  <si>
    <t>Aluminium spijlenhekwerk</t>
  </si>
  <si>
    <t>Buitenbeglazing, Dubbel glas; droog beglaasd</t>
  </si>
  <si>
    <t>Geotextiel PVC</t>
  </si>
  <si>
    <t>kozijn, Staal, verzinkt, gepoedercoat incl. RVS hs</t>
  </si>
  <si>
    <t>32 - Binnenwandopening</t>
  </si>
  <si>
    <t>Sandwichpaneel  trapeziumvormig, staal + PIR, gecoat 40mu</t>
  </si>
  <si>
    <t>34 - Balustrade en leuningen</t>
  </si>
  <si>
    <t>Nieuwe stalen geleiderails, type FL 2M 40080</t>
  </si>
  <si>
    <t>39 - Diversen</t>
  </si>
  <si>
    <t>Massieve wand, dragend C3037 20% betongranulaat LafargeHolcim Limburg</t>
  </si>
  <si>
    <t>Vlonderplank; tropisch hardhout</t>
  </si>
  <si>
    <t>4 - Afwerking</t>
  </si>
  <si>
    <t>41 - Buitenwandafwerking</t>
  </si>
  <si>
    <t>Straatwerk elementen, natuursteen</t>
  </si>
  <si>
    <t>42 - Binnenwandafwerking</t>
  </si>
  <si>
    <t>43 - Vloerafwerking</t>
  </si>
  <si>
    <t>Lengtemarkering, wegenverf</t>
  </si>
  <si>
    <t>47 - Dakafwerking</t>
  </si>
  <si>
    <t>Deelproduct: Isolatielagen, Isotras Randblokken 1.000x100x348</t>
  </si>
  <si>
    <t>Profiel; RVS</t>
  </si>
  <si>
    <t/>
  </si>
  <si>
    <t>Objectniveau 1</t>
  </si>
  <si>
    <t>Objectniveau 2</t>
  </si>
  <si>
    <t>Cat.1 (merkgebonden - getoetst)</t>
  </si>
  <si>
    <t>Cat.3 (niet merkgebonden - niet getoetst)</t>
  </si>
  <si>
    <t>Cat.2 (niet merkgebonden - getoetst)</t>
  </si>
  <si>
    <t>Eenheid</t>
  </si>
  <si>
    <t>Datacategorie</t>
  </si>
  <si>
    <t>Hoeveelheid</t>
  </si>
  <si>
    <t>MKI-waarde per eenheid*</t>
  </si>
  <si>
    <t>MKI-waarde item</t>
  </si>
  <si>
    <t>x</t>
  </si>
  <si>
    <t>Steenstrips</t>
  </si>
  <si>
    <t>Funderingsbalken</t>
  </si>
  <si>
    <t>Funderingspalen</t>
  </si>
  <si>
    <t>Breedplaatvloer</t>
  </si>
  <si>
    <t>kokerprofiel tbv lamellen vloerrand</t>
  </si>
  <si>
    <t>Metselwerk</t>
  </si>
  <si>
    <t>Aluminium paneel, beplating enz</t>
  </si>
  <si>
    <t>HSB binnenspouwblad</t>
  </si>
  <si>
    <t>Kanaalplaatvloer</t>
  </si>
  <si>
    <t>Betonnen trap</t>
  </si>
  <si>
    <t>Kanaalplaat dak</t>
  </si>
  <si>
    <t>Gordingen</t>
  </si>
  <si>
    <t>Aluminium kader</t>
  </si>
  <si>
    <t>Glazen raam</t>
  </si>
  <si>
    <t>Hoekprofiel raam</t>
  </si>
  <si>
    <t>speedgates</t>
  </si>
  <si>
    <t>Sandwichpaneel</t>
  </si>
  <si>
    <t>Pantserdekvloer</t>
  </si>
  <si>
    <t>Handleuning</t>
  </si>
  <si>
    <t>Wandafwerking afdekplaat</t>
  </si>
  <si>
    <t>dakrand/dakrim/dakgoot</t>
  </si>
  <si>
    <t>Rand hardsteen</t>
  </si>
  <si>
    <t>Wand</t>
  </si>
  <si>
    <t>stuk(s)</t>
  </si>
  <si>
    <t>Stalen trap</t>
  </si>
  <si>
    <t>Totaal</t>
  </si>
  <si>
    <t>Levensduur (jaar)</t>
  </si>
  <si>
    <t>Projectlevensduur</t>
  </si>
  <si>
    <t>jaar</t>
  </si>
  <si>
    <t>Zwaar constructiestaal 7820 kgm3, incl. conservering</t>
  </si>
  <si>
    <t>Belijning</t>
  </si>
  <si>
    <t>Breedte lijn</t>
  </si>
  <si>
    <t>Breedte parkeervak</t>
  </si>
  <si>
    <t>Lengte parkeervak</t>
  </si>
  <si>
    <t>Aantal parkeervakken</t>
  </si>
  <si>
    <t>Totaal lengte lijnen</t>
  </si>
  <si>
    <t>Totaal rekenhoeveelheid</t>
  </si>
  <si>
    <t>Breedte lijn milieuprofiel</t>
  </si>
  <si>
    <t>Dikte bordes</t>
  </si>
  <si>
    <t>Doorsnede trede</t>
  </si>
  <si>
    <t>Doorsnede</t>
  </si>
  <si>
    <t>Aantal treden</t>
  </si>
  <si>
    <t>Oppervlak bordes</t>
  </si>
  <si>
    <t>Breedte trap</t>
  </si>
  <si>
    <t>Volume betonnen trappen</t>
  </si>
  <si>
    <t>m3</t>
  </si>
  <si>
    <t>Betonmortel voor GWW C3545 CEM III 2391 kgm3 compleet</t>
  </si>
  <si>
    <t>Breedplaatvloeren</t>
  </si>
  <si>
    <t>Vangrailconstructie</t>
  </si>
  <si>
    <t>Opmerkingen</t>
  </si>
  <si>
    <t>Aluminium kozijn incl en excl glas</t>
  </si>
  <si>
    <t>Aluminium raamkozijn, vast kozijn, met VMRG keurmerk</t>
  </si>
  <si>
    <t>Aluminium entree pui</t>
  </si>
  <si>
    <t>Speedgate</t>
  </si>
  <si>
    <t>Aantal</t>
  </si>
  <si>
    <t>Breedte per stuk</t>
  </si>
  <si>
    <t>Hoogte</t>
  </si>
  <si>
    <t>Kolommen en liggers</t>
  </si>
  <si>
    <t>- m3</t>
  </si>
  <si>
    <t>Oppervlak doorsnede</t>
  </si>
  <si>
    <t>- Oppervlak doorsnede</t>
  </si>
  <si>
    <t>- Wanddikte</t>
  </si>
  <si>
    <t>- Breedte</t>
  </si>
  <si>
    <t>Spijlen</t>
  </si>
  <si>
    <t>- h.o.h.</t>
  </si>
  <si>
    <t>- lengte</t>
  </si>
  <si>
    <t>Totaal volume</t>
  </si>
  <si>
    <t>Totaal gewicht</t>
  </si>
  <si>
    <t>Dikte steenstrip</t>
  </si>
  <si>
    <t>MKI isolatie</t>
  </si>
  <si>
    <t>MKI/m2</t>
  </si>
  <si>
    <t>O.b.v. Sandwichpaneel vlak, Rc = 4,5 m2KW</t>
  </si>
  <si>
    <t>Dikte standaard baksteen</t>
  </si>
  <si>
    <t>MKI baksteenmetselwerk</t>
  </si>
  <si>
    <t>MKI steenstrip</t>
  </si>
  <si>
    <t>Steenstrips op isolatie</t>
  </si>
  <si>
    <t>Berekening o.b.v. Baksteenmetselwerk buitenwanden constructief KNB (20%*2,88 MKI/m2) en steenwol uit Sandwichpaneel vlak, staal + steenwol (5,31 MKI/m2)</t>
  </si>
  <si>
    <t>Wanddikte</t>
  </si>
  <si>
    <t>Breedte</t>
  </si>
  <si>
    <t>Lamellen aluminium 200x500 mm h.o.h. 450 mm</t>
  </si>
  <si>
    <t>Aantal lamellen per m</t>
  </si>
  <si>
    <t>Volume per m2</t>
  </si>
  <si>
    <t>st</t>
  </si>
  <si>
    <t>Gewicht</t>
  </si>
  <si>
    <t>Gewicht aluminium leuningwerk 0,9 m</t>
  </si>
  <si>
    <t>kg/m</t>
  </si>
  <si>
    <t>Rekenhoeveelheid leuningwerk</t>
  </si>
  <si>
    <t>/m2</t>
  </si>
  <si>
    <t>MKI aluminium leuningwerk 0,9 m</t>
  </si>
  <si>
    <t>MKI/m</t>
  </si>
  <si>
    <t>MKI aluminium lamellen</t>
  </si>
  <si>
    <t>Handmatige berekening o.b.v. Aluminium leungingwerk 0,9m hoog à 10,78 kg/m</t>
  </si>
  <si>
    <t>- Breedte en diepte</t>
  </si>
  <si>
    <t>Diepte</t>
  </si>
  <si>
    <t>RVS gaas voorziening tbv begroeiing</t>
  </si>
  <si>
    <t>BW60 stalen puien tpv trappenhuizen</t>
  </si>
  <si>
    <t>Stootbanden biggenruggen</t>
  </si>
  <si>
    <t>Stootbanden doorgaand</t>
  </si>
  <si>
    <t>Betonband, 200mm hoog, CEM III, schaalbaar</t>
  </si>
  <si>
    <t>Natuursteenplaat</t>
  </si>
  <si>
    <t>Wandafwerking natuursteen band h=125mm</t>
  </si>
  <si>
    <t>MOSA keramische wandtegel 15x15 cm, d 7mm glanzend, zijdemat geinstalleerd</t>
  </si>
  <si>
    <t>Selectie</t>
  </si>
  <si>
    <t>Product uit of van leverancier</t>
  </si>
  <si>
    <t>Referentieberekening van Gemeente Leiden voor renovatie en uitbreiding parkeergarage P1 Haarlemmerstraat</t>
  </si>
  <si>
    <t>Bestekspost</t>
  </si>
  <si>
    <t>Morteldekvloer</t>
  </si>
  <si>
    <t>- In sommige gevallen is een handmatige berekening gemaakt op basis van data uit de NMD. Deze berekeningen zijn voor uw informatie opgenomen op tabblad Achtergrondberekeningen</t>
  </si>
  <si>
    <t>Instructie</t>
  </si>
  <si>
    <t>- De vereisten voor aan te leveren documentatie ter onderbouwing van lagere MKI-waarden zijn in de aanbestedingsteksten opgenomen.</t>
  </si>
  <si>
    <t>- De referentieberekening is zoveel mogelijk opgesteld op basis van openbare MKI-waarden uit de Nationale Milieudatabase (NMD), verkregen via DuboCalc (versie 6.0, bibliotheekversie 21-12-22)</t>
  </si>
  <si>
    <t>- Voor het product Pantserdekvloer heeft Gemeente Leiden een indicatieve MKI-berekening laten uitvoeren op basis van gegevens van leverancier Korodur (Duitsland).</t>
  </si>
  <si>
    <t>Handmatige berekening o.b.v. Gaashekwerk en A1-A3 van RVS leuning en Staal constructieprofiel, Klein IPE140 à 13,2 kg/m</t>
  </si>
  <si>
    <t>Aluminium lamellen 200x50 mm h.o.h. 450 mm</t>
  </si>
  <si>
    <t>Kanaalplaat hellingbaan</t>
  </si>
  <si>
    <t>Stalen kolommen en liggers, thvz en gepoedercoat</t>
  </si>
  <si>
    <t>Gaashekwerk</t>
  </si>
  <si>
    <t>m1</t>
  </si>
  <si>
    <t>Cat.3 (30%)</t>
  </si>
  <si>
    <t>Naam</t>
  </si>
  <si>
    <t>MKI</t>
  </si>
  <si>
    <t>MKI MP</t>
  </si>
  <si>
    <t>MKI Toeslag</t>
  </si>
  <si>
    <t>A1-A3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</si>
  <si>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</si>
  <si>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</si>
  <si>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</si>
  <si>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</si>
  <si>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</si>
  <si>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</si>
  <si>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</si>
  <si>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</si>
  <si>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</si>
  <si>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</si>
  <si>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</si>
  <si>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</si>
  <si>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</si>
  <si>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</si>
  <si>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D</t>
  </si>
  <si>
    <t>Gewicht per m2 (MW 60)</t>
  </si>
  <si>
    <t>kg/m2</t>
  </si>
  <si>
    <t>Bron Carl Stahl datasheet X-TEND</t>
  </si>
  <si>
    <t>RVS kabelnet</t>
  </si>
  <si>
    <t>RVS leuningwerk 0,9m hoog</t>
  </si>
  <si>
    <t>52,63*</t>
  </si>
  <si>
    <t>*Komt overeen met 1000 kg</t>
  </si>
  <si>
    <t>*</t>
  </si>
  <si>
    <t>MKI RVS kabelnet MW60</t>
  </si>
  <si>
    <t>Afgelezen uit toelichting DuboCalc</t>
  </si>
  <si>
    <t>incl 30% toeslag</t>
  </si>
  <si>
    <t>Materiaal of materieel</t>
  </si>
  <si>
    <t>Ingrediënt</t>
  </si>
  <si>
    <t>Referentie MKI-waarde (EcoInvent of NMD)</t>
  </si>
  <si>
    <t>Korodur</t>
  </si>
  <si>
    <t>Toegepast in bovenste 15 mm (vermengd door vlinderen)</t>
  </si>
  <si>
    <t>Kwartszand</t>
  </si>
  <si>
    <t>Aanname: 60% 'kwartszand en harde aggregaten' (Chemical Composition blad van Korodur)</t>
  </si>
  <si>
    <t>Siliciumcarbide</t>
  </si>
  <si>
    <t>Ruys Groep geeft siliciumcarbide als bestandsdeel aan, maar het Chemical Composition blad doet dat niet. Vraag gesteld.</t>
  </si>
  <si>
    <t>Corundum (aluminiumoxide)</t>
  </si>
  <si>
    <t>Aanname: 40% corundum (Chemical Composition blad van Korodur)</t>
  </si>
  <si>
    <t>Bijproducten van electrometallurgische smeltprocessen (slakken)</t>
  </si>
  <si>
    <t>Voorzichtige aanname: 10% van 'kwartszand en harde aggregaten' is harde aggregaten</t>
  </si>
  <si>
    <t>Productie-energie</t>
  </si>
  <si>
    <t>MJ</t>
  </si>
  <si>
    <t>niet significant geacht</t>
  </si>
  <si>
    <t>Onderlaag</t>
  </si>
  <si>
    <t>m3/m2</t>
  </si>
  <si>
    <t>Betonmortel voor GWW C3545 CEM I 2331 kgm3 A13</t>
  </si>
  <si>
    <t>35-40 mm, ook bij renovaties, 2350 kg/m3</t>
  </si>
  <si>
    <t>Vlinderen</t>
  </si>
  <si>
    <t>h/m2</t>
  </si>
  <si>
    <t>Trilplaat 13kN, diesel</t>
  </si>
  <si>
    <t>h</t>
  </si>
  <si>
    <t>Aanname: vlindermachine is vergelijkbaar met kleine trilplaat</t>
  </si>
  <si>
    <t>silica sand production | silica sand | Germany</t>
  </si>
  <si>
    <t>market for slag from metallurgical grade silicon production | slag from metallurgical grade silicon production | Global</t>
  </si>
  <si>
    <t>0235-fab&amp;Aluminium oxide (o.b.v. Aluminium oxide, metallurgical {IAI Area, EU27 &amp; EFTA}| market for aluminium oxide, metallurgical | Cut-off, U)</t>
  </si>
  <si>
    <t>Trilplaat 250-700kN, diesel</t>
  </si>
  <si>
    <t>Trilplaat, 13 kN, elektrisch</t>
  </si>
  <si>
    <t>MKI-berekening Pantserdekvloer</t>
  </si>
  <si>
    <t>MKI/m2 excl 30% toeslag (datacategorie 3)</t>
  </si>
  <si>
    <t>-</t>
  </si>
  <si>
    <t>0,029*</t>
  </si>
  <si>
    <t>*Komt overeen met 1 m2 Pantserdekvloer</t>
  </si>
  <si>
    <t>Pantserdekvloer betonmortel C3545 CEM III 37,5 mm</t>
  </si>
  <si>
    <t>Bron Metadecor</t>
  </si>
  <si>
    <t>Totaal fictieve korting</t>
  </si>
  <si>
    <t>Maximale fictieve korting</t>
  </si>
  <si>
    <t>Bovengrens MKI</t>
  </si>
  <si>
    <t>Ondergrens MKI</t>
  </si>
  <si>
    <t>- U dient hierbij dezelfde levensduren aan te houden als de meest vergelijkbare producten in de NMD. Uitzondering is de aangepaste levensduur van de wegenverf naar 5 jaar.</t>
  </si>
  <si>
    <t>Toelichting referentieberekening</t>
  </si>
  <si>
    <t>Fictieve korting / MKI</t>
  </si>
  <si>
    <t>- Op de hoeveelheden kan volgend uit het aangeboden ontwerp afgeweken worden.</t>
  </si>
  <si>
    <t>Achtergrondberekeningen van hoeveelheden en MKI-waarden voor de referentieberekening</t>
  </si>
  <si>
    <t>Naam van product uit NMD of van leverancier</t>
  </si>
  <si>
    <t>Invulformulier MKI-berekening voor renovatie en uitbreiding parkeergarage P1 Haarlemmerstraat</t>
  </si>
  <si>
    <t>- Wanneer u andere producten kiest, moet u evetueel ook bijbehorende datacategorie, eenheid, hoeveelheid, MKI-waarde en levensduur aanpassen. Regels toevoegen is toegestaan, bijvoorbeeld als een product uit meerdere LCA's bestaat.</t>
  </si>
  <si>
    <t xml:space="preserve">- U dient een MKI-berekening in te dienen in dit Excel format. U past de gele cellen aan, waar nu de referentieberekening is ingevuld. U kunt naar keuze alleen de MKI-waarden per eenheid of ook type producten aanpassen als variant op het bestek. </t>
  </si>
  <si>
    <t>- Uw fictieve korting wordt onderaan berekend.</t>
  </si>
  <si>
    <t>(85%)</t>
  </si>
  <si>
    <t>(25%)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</si>
</sst>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 * #,##0.00_ ;_ * \-#,##0.00_ ;_ * &quot;-&quot;??_ ;_ @_ "/>
    <numFmt numFmtId="164" formatCode="0.0%"/>
    <numFmt numFmtId="165" formatCode="0.000"/>
    <numFmt numFmtId="166" formatCode="0.0000"/>
    <numFmt numFmtId="167" formatCode="#,##0.000"/>
    <numFmt numFmtId="168" formatCode="&quot;€&quot;\ #,##0.00"/>
    <numFmt numFmtId="169" formatCode="&quot;€&quot;\ 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Verdana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sz val="8"/>
      <color rgb="FFFF0000"/>
      <name val="Verdana"/>
      <family val="2"/>
    </font>
    <font>
      <sz val="11"/>
      <color rgb="FFFF0000"/>
      <name val="Calibri"/>
      <family val="2"/>
      <scheme val="minor"/>
    </font>
    <font>
      <sz val="8"/>
      <color theme="5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4"/>
      <name val="Verdana"/>
      <family val="2"/>
    </font>
    <font>
      <u/>
      <sz val="10"/>
      <color theme="1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333333"/>
      <name val="Hind Madurai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FCEF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F5FBFF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rgb="FFD8EAF2"/>
      </right>
      <top/>
      <bottom/>
      <diagonal/>
    </border>
    <border>
      <left/>
      <right style="medium">
        <color rgb="FF9ECDE2"/>
      </right>
      <top/>
      <bottom style="thick">
        <color rgb="FF1190B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5" borderId="3" applyNumberFormat="0" applyFont="0" applyAlignment="0" applyProtection="0"/>
  </cellStyleXfs>
  <cellXfs count="96">
    <xf numFmtId="0" fontId="0" fillId="0" borderId="0" xfId="0"/>
    <xf numFmtId="0" fontId="4" fillId="2" borderId="1" xfId="0" applyFont="1" applyFill="1" applyBorder="1" applyAlignment="1">
      <alignment horizontal="left" wrapText="1"/>
    </xf>
    <xf numFmtId="3" fontId="4" fillId="2" borderId="1" xfId="0" applyNumberFormat="1" applyFont="1" applyFill="1" applyBorder="1" applyAlignment="1">
      <alignment horizontal="left" wrapText="1"/>
    </xf>
    <xf numFmtId="3" fontId="4" fillId="2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center" wrapText="1"/>
    </xf>
    <xf numFmtId="164" fontId="3" fillId="0" borderId="0" xfId="1" applyNumberFormat="1" applyFont="1" applyFill="1" applyBorder="1" applyAlignment="1">
      <alignment horizontal="center"/>
    </xf>
    <xf numFmtId="164" fontId="1" fillId="0" borderId="0" xfId="1" applyNumberFormat="1" applyFont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5" fillId="0" borderId="1" xfId="1" applyNumberFormat="1" applyFont="1" applyFill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7" fillId="0" borderId="1" xfId="1" applyNumberFormat="1" applyFont="1" applyFill="1" applyBorder="1" applyAlignment="1">
      <alignment horizontal="right"/>
    </xf>
    <xf numFmtId="0" fontId="9" fillId="0" borderId="0" xfId="0" applyFont="1"/>
    <xf numFmtId="3" fontId="5" fillId="0" borderId="1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8" fillId="0" borderId="0" xfId="3"/>
    <xf numFmtId="0" fontId="11" fillId="0" borderId="1" xfId="3" applyFont="1" applyFill="1" applyBorder="1" applyAlignment="1">
      <alignment horizontal="left"/>
    </xf>
    <xf numFmtId="0" fontId="0" fillId="0" borderId="0" xfId="0" quotePrefix="1"/>
    <xf numFmtId="0" fontId="12" fillId="0" borderId="0" xfId="0" applyFont="1"/>
    <xf numFmtId="0" fontId="13" fillId="0" borderId="0" xfId="0" applyFont="1"/>
    <xf numFmtId="4" fontId="3" fillId="5" borderId="3" xfId="4" applyNumberFormat="1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wrapText="1"/>
    </xf>
    <xf numFmtId="0" fontId="14" fillId="6" borderId="5" xfId="0" applyFont="1" applyFill="1" applyBorder="1" applyAlignment="1">
      <alignment horizontal="left" vertical="center"/>
    </xf>
    <xf numFmtId="0" fontId="15" fillId="0" borderId="0" xfId="0" applyFont="1"/>
    <xf numFmtId="0" fontId="14" fillId="7" borderId="4" xfId="0" applyFont="1" applyFill="1" applyBorder="1" applyAlignment="1">
      <alignment horizontal="left" vertical="center"/>
    </xf>
    <xf numFmtId="3" fontId="14" fillId="6" borderId="0" xfId="0" applyNumberFormat="1" applyFont="1" applyFill="1" applyAlignment="1">
      <alignment horizontal="right" vertical="center"/>
    </xf>
    <xf numFmtId="0" fontId="0" fillId="0" borderId="0" xfId="0" applyAlignment="1">
      <alignment horizontal="right"/>
    </xf>
    <xf numFmtId="4" fontId="14" fillId="7" borderId="4" xfId="0" applyNumberFormat="1" applyFont="1" applyFill="1" applyBorder="1" applyAlignment="1">
      <alignment horizontal="right" vertical="center"/>
    </xf>
    <xf numFmtId="0" fontId="14" fillId="7" borderId="4" xfId="0" applyFont="1" applyFill="1" applyBorder="1" applyAlignment="1">
      <alignment horizontal="right" vertical="center"/>
    </xf>
    <xf numFmtId="165" fontId="0" fillId="0" borderId="0" xfId="0" applyNumberFormat="1"/>
    <xf numFmtId="165" fontId="16" fillId="0" borderId="0" xfId="0" applyNumberFormat="1" applyFont="1"/>
    <xf numFmtId="165" fontId="9" fillId="0" borderId="0" xfId="0" applyNumberFormat="1" applyFont="1"/>
    <xf numFmtId="9" fontId="0" fillId="0" borderId="0" xfId="0" applyNumberFormat="1"/>
    <xf numFmtId="166" fontId="0" fillId="0" borderId="0" xfId="0" applyNumberFormat="1"/>
    <xf numFmtId="166" fontId="9" fillId="0" borderId="0" xfId="0" applyNumberFormat="1" applyFont="1"/>
    <xf numFmtId="167" fontId="14" fillId="6" borderId="0" xfId="0" applyNumberFormat="1" applyFont="1" applyFill="1" applyAlignment="1">
      <alignment horizontal="right" vertical="center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5" fontId="9" fillId="0" borderId="0" xfId="0" applyNumberFormat="1" applyFont="1" applyAlignment="1">
      <alignment horizontal="right"/>
    </xf>
    <xf numFmtId="2" fontId="0" fillId="0" borderId="0" xfId="0" applyNumberFormat="1"/>
    <xf numFmtId="164" fontId="17" fillId="2" borderId="1" xfId="1" applyNumberFormat="1" applyFont="1" applyFill="1" applyBorder="1" applyAlignment="1">
      <alignment horizontal="right" wrapText="1"/>
    </xf>
    <xf numFmtId="164" fontId="18" fillId="0" borderId="1" xfId="1" applyNumberFormat="1" applyFont="1" applyFill="1" applyBorder="1" applyAlignment="1">
      <alignment horizontal="right"/>
    </xf>
    <xf numFmtId="164" fontId="17" fillId="3" borderId="1" xfId="1" applyNumberFormat="1" applyFont="1" applyFill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2" borderId="9" xfId="0" applyNumberFormat="1" applyFont="1" applyFill="1" applyBorder="1" applyAlignment="1">
      <alignment horizontal="right" wrapText="1"/>
    </xf>
    <xf numFmtId="0" fontId="9" fillId="0" borderId="0" xfId="0" quotePrefix="1" applyFont="1"/>
    <xf numFmtId="169" fontId="0" fillId="0" borderId="0" xfId="0" applyNumberFormat="1"/>
    <xf numFmtId="0" fontId="4" fillId="3" borderId="1" xfId="0" applyFont="1" applyFill="1" applyBorder="1" applyAlignment="1">
      <alignment horizontal="left" wrapText="1"/>
    </xf>
    <xf numFmtId="2" fontId="9" fillId="0" borderId="0" xfId="0" applyNumberFormat="1" applyFont="1"/>
    <xf numFmtId="3" fontId="3" fillId="0" borderId="6" xfId="0" applyNumberFormat="1" applyFont="1" applyBorder="1" applyAlignment="1">
      <alignment horizontal="right"/>
    </xf>
    <xf numFmtId="4" fontId="3" fillId="0" borderId="6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9" xfId="0" applyFont="1" applyFill="1" applyBorder="1" applyAlignment="1" applyProtection="1">
      <alignment horizontal="left" wrapText="1"/>
      <protection locked="0"/>
    </xf>
    <xf numFmtId="3" fontId="4" fillId="2" borderId="9" xfId="0" applyNumberFormat="1" applyFont="1" applyFill="1" applyBorder="1" applyAlignment="1" applyProtection="1">
      <alignment horizontal="lef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3" fontId="4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5" borderId="6" xfId="4" applyFont="1" applyBorder="1" applyAlignment="1" applyProtection="1">
      <alignment horizontal="left" wrapText="1"/>
      <protection locked="0"/>
    </xf>
    <xf numFmtId="0" fontId="3" fillId="5" borderId="6" xfId="4" applyFont="1" applyBorder="1" applyAlignment="1" applyProtection="1">
      <alignment horizontal="left"/>
      <protection locked="0"/>
    </xf>
    <xf numFmtId="4" fontId="3" fillId="5" borderId="6" xfId="4" applyNumberFormat="1" applyFont="1" applyBorder="1" applyAlignment="1" applyProtection="1">
      <alignment horizontal="right"/>
      <protection locked="0"/>
    </xf>
    <xf numFmtId="3" fontId="3" fillId="5" borderId="6" xfId="4" applyNumberFormat="1" applyFont="1" applyBorder="1" applyAlignment="1" applyProtection="1">
      <alignment horizontal="right"/>
      <protection locked="0"/>
    </xf>
    <xf numFmtId="3" fontId="3" fillId="0" borderId="8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3" fontId="4" fillId="3" borderId="1" xfId="0" applyNumberFormat="1" applyFont="1" applyFill="1" applyBorder="1" applyAlignment="1" applyProtection="1">
      <alignment horizontal="left"/>
      <protection locked="0"/>
    </xf>
    <xf numFmtId="3" fontId="4" fillId="3" borderId="1" xfId="0" applyNumberFormat="1" applyFont="1" applyFill="1" applyBorder="1" applyAlignment="1" applyProtection="1">
      <alignment horizontal="right"/>
      <protection locked="0"/>
    </xf>
    <xf numFmtId="169" fontId="0" fillId="0" borderId="0" xfId="0" applyNumberFormat="1" applyProtection="1">
      <protection locked="0"/>
    </xf>
    <xf numFmtId="0" fontId="4" fillId="8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 wrapText="1"/>
    </xf>
    <xf numFmtId="3" fontId="4" fillId="8" borderId="1" xfId="0" applyNumberFormat="1" applyFont="1" applyFill="1" applyBorder="1" applyAlignment="1">
      <alignment horizontal="left"/>
    </xf>
    <xf numFmtId="3" fontId="4" fillId="8" borderId="1" xfId="0" applyNumberFormat="1" applyFont="1" applyFill="1" applyBorder="1" applyAlignment="1">
      <alignment horizontal="right"/>
    </xf>
    <xf numFmtId="169" fontId="4" fillId="8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169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5" fillId="0" borderId="0" xfId="0" quotePrefix="1" applyFont="1"/>
    <xf numFmtId="168" fontId="3" fillId="0" borderId="0" xfId="0" applyNumberFormat="1" applyFont="1" applyAlignment="1">
      <alignment horizontal="right"/>
    </xf>
    <xf numFmtId="0" fontId="6" fillId="0" borderId="0" xfId="0" applyFont="1"/>
  </cellXfs>
  <cellStyles count="5">
    <cellStyle name="Hyperlink" xfId="3" builtinId="8"/>
    <cellStyle name="Komma 2" xfId="2" xr:uid="{00000000-0005-0000-0000-00002F000000}"/>
    <cellStyle name="Notitie" xfId="4" builtinId="10"/>
    <cellStyle name="Procent" xfId="1" builtinId="5"/>
    <cellStyle name="Standaard" xfId="0" builtinId="0"/>
  </cellStyles>
  <dxfs count="0"/>
  <tableStyles count="1" defaultTableStyle="TableStyleMedium2" defaultPivotStyle="PivotStyleLight16">
    <tableStyle name="Invisible" pivot="0" table="0" count="0" xr9:uid="{61EABE1B-F8A2-44FE-9366-7947CF0A4573}"/>
  </tableStyles>
  <colors>
    <mruColors>
      <color rgb="FFFF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2198</xdr:colOff>
          <xdr:row>46</xdr:row>
          <xdr:rowOff>156063</xdr:rowOff>
        </xdr:from>
        <xdr:to>
          <xdr:col>5</xdr:col>
          <xdr:colOff>335573</xdr:colOff>
          <xdr:row>48</xdr:row>
          <xdr:rowOff>117963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arlstahl-architectuur.nl/wp-content/uploads/2021/06/Data_Sheet_X-TEND_CXL_micro_1_5mm_23022021.pdf" TargetMode="External"/><Relationship Id="rId7" Type="http://schemas.openxmlformats.org/officeDocument/2006/relationships/image" Target="../media/image1.emf"/><Relationship Id="rId2" Type="http://schemas.openxmlformats.org/officeDocument/2006/relationships/hyperlink" Target="https://www.metadecor.nl/producten/lamel/md-la110/" TargetMode="External"/><Relationship Id="rId1" Type="http://schemas.openxmlformats.org/officeDocument/2006/relationships/hyperlink" Target="https://www.google.com/url?sa=i&amp;url=http%3A%2F%2Fwww.zhitov.ru%2Fnl%2Fconcrete_stairs%2F&amp;psig=AOvVaw2B7Xkm_TvEfpjgedcLNjvP&amp;ust=1674053137539000&amp;source=images&amp;cd=vfe&amp;ved=0CBAQjRxqFwoTCPjlzYbszvwCFQAAAAAdAAAAABAF" TargetMode="External"/><Relationship Id="rId6" Type="http://schemas.openxmlformats.org/officeDocument/2006/relationships/control" Target="../activeX/activeX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vmrg.nl/application/files/5716/1529/3655/EPD_VMRG_Buitenkozijn_2x_vast_en_draaiend_002.pdf" TargetMode="External"/><Relationship Id="rId1" Type="http://schemas.openxmlformats.org/officeDocument/2006/relationships/hyperlink" Target="https://vmrg.nl/application/files/5716/1529/3655/EPD_VMRG_Buitenkozijn_2x_vast_en_draaiend_0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A63F1-A759-4F89-879F-D89B607FE82E}">
  <dimension ref="A1:J36"/>
  <sheetViews>
    <sheetView tabSelected="1" zoomScaleNormal="100" workbookViewId="0">
      <selection activeCell="H14" sqref="H14"/>
    </sheetView>
  </sheetViews>
  <sheetFormatPr defaultRowHeight="15" x14ac:dyDescent="0.25"/>
  <cols>
    <col min="1" max="1" width="17.85546875" style="65" customWidth="1"/>
    <col min="2" max="2" width="22.28515625" style="65" bestFit="1" customWidth="1"/>
    <col min="3" max="3" width="31" style="65" customWidth="1"/>
    <col min="4" max="4" width="69.28515625" style="66" customWidth="1"/>
    <col min="5" max="5" width="14" style="65" customWidth="1"/>
    <col min="6" max="9" width="9.140625" style="65"/>
    <col min="10" max="10" width="11.5703125" style="65" customWidth="1"/>
    <col min="11" max="16384" width="9.140625" style="65"/>
  </cols>
  <sheetData>
    <row r="1" spans="1:10" customFormat="1" ht="18.75" x14ac:dyDescent="0.3">
      <c r="A1" s="30" t="s">
        <v>253</v>
      </c>
      <c r="D1" s="33"/>
    </row>
    <row r="2" spans="1:10" customFormat="1" x14ac:dyDescent="0.25">
      <c r="D2" s="33"/>
    </row>
    <row r="3" spans="1:10" customFormat="1" x14ac:dyDescent="0.25">
      <c r="A3" s="23" t="s">
        <v>164</v>
      </c>
      <c r="D3" s="33"/>
    </row>
    <row r="4" spans="1:10" customFormat="1" x14ac:dyDescent="0.25">
      <c r="A4" s="28" t="s">
        <v>255</v>
      </c>
      <c r="D4" s="33"/>
    </row>
    <row r="5" spans="1:10" customFormat="1" x14ac:dyDescent="0.25">
      <c r="A5" s="28" t="s">
        <v>254</v>
      </c>
      <c r="D5" s="33"/>
    </row>
    <row r="6" spans="1:10" customFormat="1" x14ac:dyDescent="0.25">
      <c r="A6" s="28" t="s">
        <v>250</v>
      </c>
      <c r="D6" s="33"/>
    </row>
    <row r="7" spans="1:10" customFormat="1" x14ac:dyDescent="0.25">
      <c r="A7" s="28" t="s">
        <v>247</v>
      </c>
      <c r="D7" s="33"/>
    </row>
    <row r="8" spans="1:10" customFormat="1" x14ac:dyDescent="0.25">
      <c r="A8" s="28" t="s">
        <v>165</v>
      </c>
      <c r="D8" s="33"/>
    </row>
    <row r="9" spans="1:10" customFormat="1" x14ac:dyDescent="0.25">
      <c r="A9" s="28" t="s">
        <v>256</v>
      </c>
      <c r="D9" s="33"/>
    </row>
    <row r="10" spans="1:10" customFormat="1" x14ac:dyDescent="0.25">
      <c r="A10" s="28"/>
      <c r="D10" s="33"/>
    </row>
    <row r="11" spans="1:10" customFormat="1" x14ac:dyDescent="0.25">
      <c r="A11" s="23" t="s">
        <v>83</v>
      </c>
      <c r="B11" s="23">
        <v>50</v>
      </c>
      <c r="C11" s="23" t="s">
        <v>84</v>
      </c>
      <c r="D11" s="33"/>
    </row>
    <row r="13" spans="1:10" ht="54" x14ac:dyDescent="0.25">
      <c r="A13" s="67" t="s">
        <v>45</v>
      </c>
      <c r="B13" s="67" t="s">
        <v>46</v>
      </c>
      <c r="C13" s="67" t="s">
        <v>161</v>
      </c>
      <c r="D13" s="68" t="s">
        <v>252</v>
      </c>
      <c r="E13" s="68" t="s">
        <v>51</v>
      </c>
      <c r="F13" s="69" t="s">
        <v>50</v>
      </c>
      <c r="G13" s="70" t="s">
        <v>52</v>
      </c>
      <c r="H13" s="70" t="s">
        <v>53</v>
      </c>
      <c r="I13" s="70" t="s">
        <v>82</v>
      </c>
      <c r="J13" s="71" t="s">
        <v>54</v>
      </c>
    </row>
    <row r="14" spans="1:10" x14ac:dyDescent="0.25">
      <c r="A14" s="72" t="s">
        <v>7</v>
      </c>
      <c r="B14" s="72" t="s">
        <v>8</v>
      </c>
      <c r="C14" s="73" t="s">
        <v>169</v>
      </c>
      <c r="D14" s="74" t="str">
        <f>Referentieberekening!D11</f>
        <v>Handmatige berekening o.b.v. Aluminium leungingwerk 0,9m hoog à 10,78 kg/m</v>
      </c>
      <c r="E14" s="75" t="str">
        <f>Referentieberekening!E11</f>
        <v>Cat.3 (niet merkgebonden - niet getoetst)</v>
      </c>
      <c r="F14" s="75" t="str">
        <f>Referentieberekening!F11</f>
        <v>m2</v>
      </c>
      <c r="G14" s="77">
        <v>639.74</v>
      </c>
      <c r="H14" s="76">
        <f>Referentieberekening!H11</f>
        <v>3.203719134199138</v>
      </c>
      <c r="I14" s="77">
        <f>Referentieberekening!I11</f>
        <v>50</v>
      </c>
      <c r="J14" s="78">
        <f>G14*H14*IF(I14&lt;$B$11,$B$11/I14,1)</f>
        <v>2049.5472789125565</v>
      </c>
    </row>
    <row r="15" spans="1:10" ht="24" customHeight="1" x14ac:dyDescent="0.25">
      <c r="A15" s="72" t="s">
        <v>7</v>
      </c>
      <c r="B15" s="72" t="s">
        <v>8</v>
      </c>
      <c r="C15" s="73" t="s">
        <v>150</v>
      </c>
      <c r="D15" s="74" t="str">
        <f>Referentieberekening!D12</f>
        <v>Handmatige berekening o.b.v. Gaashekwerk en A1-A3 van RVS leuning en Staal constructieprofiel, Klein IPE140 à 13,2 kg/m</v>
      </c>
      <c r="E15" s="75" t="str">
        <f>Referentieberekening!E12</f>
        <v>Cat.3 (niet merkgebonden - niet getoetst)</v>
      </c>
      <c r="F15" s="75" t="str">
        <f>Referentieberekening!F12</f>
        <v>m2</v>
      </c>
      <c r="G15" s="77">
        <v>771.14</v>
      </c>
      <c r="H15" s="76">
        <f>Referentieberekening!H12</f>
        <v>3.7826986000000002</v>
      </c>
      <c r="I15" s="77">
        <f>Referentieberekening!I12</f>
        <v>50</v>
      </c>
      <c r="J15" s="78">
        <f t="shared" ref="J15:J26" si="0">G15*H15*IF(I15&lt;$B$11,$B$11/I15,1)</f>
        <v>2916.9901984040002</v>
      </c>
    </row>
    <row r="16" spans="1:10" ht="24" customHeight="1" x14ac:dyDescent="0.25">
      <c r="A16" s="72" t="s">
        <v>7</v>
      </c>
      <c r="B16" s="72" t="s">
        <v>14</v>
      </c>
      <c r="C16" s="73" t="s">
        <v>64</v>
      </c>
      <c r="D16" s="74" t="str">
        <f>Referentieberekening!D13</f>
        <v>Druklaag, kanaalplaat vrijdragende vloer C3037 0% betongranulaat LafargeHolcim Limburg</v>
      </c>
      <c r="E16" s="75" t="str">
        <f>Referentieberekening!E13</f>
        <v>Cat.1 (merkgebonden - getoetst)</v>
      </c>
      <c r="F16" s="75" t="str">
        <f>Referentieberekening!F13</f>
        <v>m2</v>
      </c>
      <c r="G16" s="77">
        <v>2239</v>
      </c>
      <c r="H16" s="76">
        <f>Referentieberekening!H13</f>
        <v>5.2144899475187172</v>
      </c>
      <c r="I16" s="77">
        <f>Referentieberekening!I13</f>
        <v>100</v>
      </c>
      <c r="J16" s="78">
        <f t="shared" si="0"/>
        <v>11675.242992494408</v>
      </c>
    </row>
    <row r="17" spans="1:10" ht="24" customHeight="1" x14ac:dyDescent="0.25">
      <c r="A17" s="72" t="s">
        <v>7</v>
      </c>
      <c r="B17" s="72" t="s">
        <v>17</v>
      </c>
      <c r="C17" s="73" t="s">
        <v>170</v>
      </c>
      <c r="D17" s="74" t="str">
        <f>Referentieberekening!D14</f>
        <v>Druklaag, kanaalplaat vrijdragende vloer C3037 0% betongranulaat LafargeHolcim Limburg</v>
      </c>
      <c r="E17" s="75" t="str">
        <f>Referentieberekening!E14</f>
        <v>Cat.1 (merkgebonden - getoetst)</v>
      </c>
      <c r="F17" s="75" t="str">
        <f>Referentieberekening!F14</f>
        <v>m2</v>
      </c>
      <c r="G17" s="77">
        <v>393.74</v>
      </c>
      <c r="H17" s="76">
        <f>Referentieberekening!H14</f>
        <v>5.2144899475187172</v>
      </c>
      <c r="I17" s="77">
        <f>Referentieberekening!I14</f>
        <v>100</v>
      </c>
      <c r="J17" s="78">
        <f t="shared" si="0"/>
        <v>2053.1532719360198</v>
      </c>
    </row>
    <row r="18" spans="1:10" x14ac:dyDescent="0.25">
      <c r="A18" s="72" t="s">
        <v>7</v>
      </c>
      <c r="B18" s="72" t="s">
        <v>21</v>
      </c>
      <c r="C18" s="73" t="s">
        <v>171</v>
      </c>
      <c r="D18" s="74" t="str">
        <f>Referentieberekening!D15</f>
        <v>Zwaar constructiestaal 7820 kgm3, incl. conservering</v>
      </c>
      <c r="E18" s="75" t="str">
        <f>Referentieberekening!E15</f>
        <v>Cat.2 (niet merkgebonden - getoetst)</v>
      </c>
      <c r="F18" s="75" t="str">
        <f>Referentieberekening!F15</f>
        <v>kg</v>
      </c>
      <c r="G18" s="77">
        <v>106290</v>
      </c>
      <c r="H18" s="76">
        <f>Referentieberekening!H15</f>
        <v>0.12045</v>
      </c>
      <c r="I18" s="77">
        <f>Referentieberekening!I15</f>
        <v>100</v>
      </c>
      <c r="J18" s="78">
        <f t="shared" si="0"/>
        <v>12802.630499999999</v>
      </c>
    </row>
    <row r="19" spans="1:10" x14ac:dyDescent="0.25">
      <c r="A19" s="79" t="s">
        <v>22</v>
      </c>
      <c r="B19" s="79" t="s">
        <v>28</v>
      </c>
      <c r="C19" s="73" t="s">
        <v>151</v>
      </c>
      <c r="D19" s="74" t="str">
        <f>Referentieberekening!D16</f>
        <v>kozijn, Staal, verzinkt, gepoedercoat incl. RVS hs</v>
      </c>
      <c r="E19" s="75" t="str">
        <f>Referentieberekening!E16</f>
        <v>Cat.3 (niet merkgebonden - niet getoetst)</v>
      </c>
      <c r="F19" s="75" t="str">
        <f>Referentieberekening!F16</f>
        <v>m2</v>
      </c>
      <c r="G19" s="77">
        <v>309.08</v>
      </c>
      <c r="H19" s="76">
        <f>Referentieberekening!H16</f>
        <v>7.27</v>
      </c>
      <c r="I19" s="77">
        <f>Referentieberekening!I16</f>
        <v>50</v>
      </c>
      <c r="J19" s="78">
        <f t="shared" si="0"/>
        <v>2247.0115999999998</v>
      </c>
    </row>
    <row r="20" spans="1:10" x14ac:dyDescent="0.25">
      <c r="A20" s="72" t="s">
        <v>22</v>
      </c>
      <c r="B20" s="72" t="s">
        <v>30</v>
      </c>
      <c r="C20" s="73" t="s">
        <v>104</v>
      </c>
      <c r="D20" s="74" t="str">
        <f>Referentieberekening!D17</f>
        <v>Nieuwe stalen geleiderails, type FL 2M 40080</v>
      </c>
      <c r="E20" s="75" t="str">
        <f>Referentieberekening!E17</f>
        <v>Cat.3 (niet merkgebonden - niet getoetst)</v>
      </c>
      <c r="F20" s="75" t="str">
        <f>Referentieberekening!F17</f>
        <v>m</v>
      </c>
      <c r="G20" s="77">
        <v>241.26</v>
      </c>
      <c r="H20" s="76">
        <f>Referentieberekening!H17</f>
        <v>18.139442295534938</v>
      </c>
      <c r="I20" s="77">
        <f>Referentieberekening!I17</f>
        <v>44</v>
      </c>
      <c r="J20" s="78">
        <f t="shared" si="0"/>
        <v>4973.0930093417719</v>
      </c>
    </row>
    <row r="21" spans="1:10" x14ac:dyDescent="0.25">
      <c r="A21" s="72" t="s">
        <v>22</v>
      </c>
      <c r="B21" s="72" t="s">
        <v>32</v>
      </c>
      <c r="C21" s="73" t="s">
        <v>152</v>
      </c>
      <c r="D21" s="74" t="str">
        <f>Referentieberekening!D18</f>
        <v>Betonband, 200mm hoog, CEM III, schaalbaar</v>
      </c>
      <c r="E21" s="75" t="str">
        <f>Referentieberekening!E18</f>
        <v>Cat.3 (niet merkgebonden - niet getoetst)</v>
      </c>
      <c r="F21" s="75" t="str">
        <f>Referentieberekening!F18</f>
        <v>m</v>
      </c>
      <c r="G21" s="77">
        <v>68</v>
      </c>
      <c r="H21" s="76">
        <f>Referentieberekening!H18</f>
        <v>1.89</v>
      </c>
      <c r="I21" s="77">
        <f>Referentieberekening!I18</f>
        <v>50</v>
      </c>
      <c r="J21" s="78">
        <f t="shared" si="0"/>
        <v>128.51999999999998</v>
      </c>
    </row>
    <row r="22" spans="1:10" x14ac:dyDescent="0.25">
      <c r="A22" s="72" t="s">
        <v>22</v>
      </c>
      <c r="B22" s="72" t="s">
        <v>32</v>
      </c>
      <c r="C22" s="73" t="s">
        <v>153</v>
      </c>
      <c r="D22" s="74" t="b">
        <f>B24=Referentieberekening!D19</f>
        <v>0</v>
      </c>
      <c r="E22" s="75" t="str">
        <f>Referentieberekening!E19</f>
        <v>Cat.3 (niet merkgebonden - niet getoetst)</v>
      </c>
      <c r="F22" s="75" t="str">
        <f>Referentieberekening!F19</f>
        <v>m</v>
      </c>
      <c r="G22" s="77">
        <v>352.47</v>
      </c>
      <c r="H22" s="76">
        <f>Referentieberekening!H19</f>
        <v>1.89</v>
      </c>
      <c r="I22" s="77">
        <f>Referentieberekening!I19</f>
        <v>50</v>
      </c>
      <c r="J22" s="78">
        <f t="shared" si="0"/>
        <v>666.16830000000004</v>
      </c>
    </row>
    <row r="23" spans="1:10" ht="24" customHeight="1" x14ac:dyDescent="0.25">
      <c r="A23" s="79" t="s">
        <v>35</v>
      </c>
      <c r="B23" s="79" t="s">
        <v>36</v>
      </c>
      <c r="C23" s="73" t="s">
        <v>131</v>
      </c>
      <c r="D23" s="74" t="str">
        <f>Referentieberekening!D20</f>
        <v>Berekening o.b.v. Baksteenmetselwerk buitenwanden constructief KNB (20%*2,88 MKI/m2) en steenwol uit Sandwichpaneel vlak, staal + steenwol (5,31 MKI/m2)</v>
      </c>
      <c r="E23" s="75" t="str">
        <f>Referentieberekening!E20</f>
        <v>Cat.3 (niet merkgebonden - niet getoetst)</v>
      </c>
      <c r="F23" s="75" t="str">
        <f>Referentieberekening!F20</f>
        <v>m2</v>
      </c>
      <c r="G23" s="77">
        <v>1492.86</v>
      </c>
      <c r="H23" s="76">
        <f>Referentieberekening!H20</f>
        <v>5.8859999999999992</v>
      </c>
      <c r="I23" s="77">
        <f>Referentieberekening!I20</f>
        <v>135</v>
      </c>
      <c r="J23" s="78">
        <f t="shared" si="0"/>
        <v>8786.9739599999975</v>
      </c>
    </row>
    <row r="24" spans="1:10" x14ac:dyDescent="0.25">
      <c r="A24" s="72" t="s">
        <v>35</v>
      </c>
      <c r="B24" s="72" t="s">
        <v>36</v>
      </c>
      <c r="C24" s="73" t="s">
        <v>155</v>
      </c>
      <c r="D24" s="74" t="str">
        <f>Referentieberekening!D21</f>
        <v>Straatwerk elementen, natuursteen</v>
      </c>
      <c r="E24" s="75" t="str">
        <f>Referentieberekening!E21</f>
        <v>Cat.3 (niet merkgebonden - niet getoetst)</v>
      </c>
      <c r="F24" s="75" t="str">
        <f>Referentieberekening!F21</f>
        <v>m2</v>
      </c>
      <c r="G24" s="77">
        <v>101.96</v>
      </c>
      <c r="H24" s="76">
        <f>Referentieberekening!H21</f>
        <v>23.33</v>
      </c>
      <c r="I24" s="77">
        <f>Referentieberekening!I21</f>
        <v>50</v>
      </c>
      <c r="J24" s="78">
        <f t="shared" si="0"/>
        <v>2378.7267999999995</v>
      </c>
    </row>
    <row r="25" spans="1:10" x14ac:dyDescent="0.25">
      <c r="A25" s="72" t="s">
        <v>35</v>
      </c>
      <c r="B25" s="72" t="s">
        <v>39</v>
      </c>
      <c r="C25" s="73" t="s">
        <v>86</v>
      </c>
      <c r="D25" s="74" t="str">
        <f>Referentieberekening!D22</f>
        <v>Lengtemarkering, wegenverf</v>
      </c>
      <c r="E25" s="75" t="str">
        <f>Referentieberekening!E22</f>
        <v>Cat.3 (niet merkgebonden - niet getoetst)</v>
      </c>
      <c r="F25" s="75" t="str">
        <f>Referentieberekening!F22</f>
        <v>m</v>
      </c>
      <c r="G25" s="77">
        <v>892.5</v>
      </c>
      <c r="H25" s="76">
        <f>Referentieberekening!H22</f>
        <v>0.14119000000000001</v>
      </c>
      <c r="I25" s="77">
        <f>Referentieberekening!I22</f>
        <v>5</v>
      </c>
      <c r="J25" s="78">
        <f t="shared" si="0"/>
        <v>1260.12075</v>
      </c>
    </row>
    <row r="26" spans="1:10" x14ac:dyDescent="0.25">
      <c r="A26" s="72" t="s">
        <v>35</v>
      </c>
      <c r="B26" s="72" t="s">
        <v>39</v>
      </c>
      <c r="C26" s="73" t="s">
        <v>162</v>
      </c>
      <c r="D26" s="74" t="str">
        <f>Referentieberekening!D23</f>
        <v>Pantserdekvloer betonmortel C3545 CEM III 37,5 mm</v>
      </c>
      <c r="E26" s="75" t="str">
        <f>Referentieberekening!E23</f>
        <v>Cat.3 (niet merkgebonden - niet getoetst)</v>
      </c>
      <c r="F26" s="75" t="str">
        <f>Referentieberekening!F23</f>
        <v>m2</v>
      </c>
      <c r="G26" s="77">
        <v>8885</v>
      </c>
      <c r="H26" s="76">
        <f>Referentieberekening!H23</f>
        <v>2.0116397066926348</v>
      </c>
      <c r="I26" s="77">
        <f>Referentieberekening!I23</f>
        <v>100</v>
      </c>
      <c r="J26" s="78">
        <f t="shared" si="0"/>
        <v>17873.418793964061</v>
      </c>
    </row>
    <row r="27" spans="1:10" customFormat="1" x14ac:dyDescent="0.25">
      <c r="D27" s="33"/>
    </row>
    <row r="28" spans="1:10" x14ac:dyDescent="0.25">
      <c r="A28" s="80" t="s">
        <v>81</v>
      </c>
      <c r="B28" s="80" t="s">
        <v>44</v>
      </c>
      <c r="C28" s="80"/>
      <c r="D28" s="81" t="s">
        <v>44</v>
      </c>
      <c r="E28" s="80" t="s">
        <v>44</v>
      </c>
      <c r="F28" s="82" t="s">
        <v>44</v>
      </c>
      <c r="G28" s="83" t="s">
        <v>44</v>
      </c>
      <c r="H28" s="83" t="s">
        <v>44</v>
      </c>
      <c r="I28" s="83"/>
      <c r="J28" s="83">
        <f>SUM(J14:J27)</f>
        <v>69811.597455052804</v>
      </c>
    </row>
    <row r="29" spans="1:10" customFormat="1" x14ac:dyDescent="0.25">
      <c r="A29" s="85" t="s">
        <v>243</v>
      </c>
      <c r="B29" s="85"/>
      <c r="C29" s="85"/>
      <c r="D29" s="86"/>
      <c r="E29" s="85"/>
      <c r="F29" s="87"/>
      <c r="G29" s="88"/>
      <c r="H29" s="88"/>
      <c r="I29" s="88"/>
      <c r="J29" s="89">
        <f>IF(J28&lt;$B$33,$B$31,IF(J28&gt;$B$32,0,($B$32-J28)/($B$32-$B$33)*B31))</f>
        <v>0</v>
      </c>
    </row>
    <row r="30" spans="1:10" customFormat="1" x14ac:dyDescent="0.25">
      <c r="D30" s="33"/>
    </row>
    <row r="31" spans="1:10" customFormat="1" x14ac:dyDescent="0.25">
      <c r="A31" s="90" t="s">
        <v>244</v>
      </c>
      <c r="B31" s="91">
        <v>750000</v>
      </c>
      <c r="D31" s="33"/>
    </row>
    <row r="32" spans="1:10" customFormat="1" x14ac:dyDescent="0.25">
      <c r="A32" s="90" t="s">
        <v>245</v>
      </c>
      <c r="B32" s="92">
        <v>59339.857836794879</v>
      </c>
      <c r="C32" s="93" t="s">
        <v>257</v>
      </c>
      <c r="D32" s="33"/>
    </row>
    <row r="33" spans="1:10" customFormat="1" x14ac:dyDescent="0.25">
      <c r="A33" s="90" t="s">
        <v>246</v>
      </c>
      <c r="B33" s="92">
        <v>17452.899363763201</v>
      </c>
      <c r="C33" s="93" t="s">
        <v>258</v>
      </c>
      <c r="D33" s="33"/>
    </row>
    <row r="34" spans="1:10" customFormat="1" x14ac:dyDescent="0.25">
      <c r="A34" s="90" t="s">
        <v>249</v>
      </c>
      <c r="B34" s="94">
        <f>B31/(B32-B33)</f>
        <v>17.905334436800342</v>
      </c>
      <c r="D34" s="33"/>
    </row>
    <row r="36" spans="1:10" x14ac:dyDescent="0.25">
      <c r="J36" s="84"/>
    </row>
  </sheetData>
  <sheetProtection algorithmName="SHA-512" hashValue="8JyQLzaiM2Hj5mIWeuCJkMt7YddkU4u8tAlRdFLExAk7r5lD5QV2WtLiPImhrPqghSAHRTtZIhFEzfDngUOamg==" saltValue="aIAYc4cDUzKJ5kZpsWapaw==" spinCount="100000" sheet="1" objects="1" scenarios="1" formatCells="0" formatColumns="0" formatRows="0" insertRows="0" deleteRows="0" selectLockedCells="1" sort="0"/>
  <autoFilter ref="A13:J26" xr:uid="{5987299A-8B4A-41C2-8686-53A1F77773F3}">
    <sortState xmlns:xlrd2="http://schemas.microsoft.com/office/spreadsheetml/2017/richdata2" ref="A14:J26">
      <sortCondition ref="B13:B26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299A-8B4A-41C2-8686-53A1F77773F3}">
  <dimension ref="A1:J27"/>
  <sheetViews>
    <sheetView zoomScaleNormal="100" workbookViewId="0">
      <selection activeCell="D14" sqref="D14"/>
    </sheetView>
  </sheetViews>
  <sheetFormatPr defaultRowHeight="15" x14ac:dyDescent="0.25"/>
  <cols>
    <col min="1" max="1" width="17.85546875" customWidth="1"/>
    <col min="2" max="2" width="22.28515625" bestFit="1" customWidth="1"/>
    <col min="3" max="3" width="31" customWidth="1"/>
    <col min="4" max="4" width="69.28515625" style="33" customWidth="1"/>
    <col min="5" max="5" width="14" customWidth="1"/>
    <col min="10" max="10" width="11.5703125" customWidth="1"/>
  </cols>
  <sheetData>
    <row r="1" spans="1:10" ht="18.75" x14ac:dyDescent="0.3">
      <c r="A1" s="30" t="s">
        <v>160</v>
      </c>
    </row>
    <row r="3" spans="1:10" x14ac:dyDescent="0.25">
      <c r="A3" s="58" t="s">
        <v>248</v>
      </c>
    </row>
    <row r="4" spans="1:10" x14ac:dyDescent="0.25">
      <c r="A4" s="28" t="s">
        <v>166</v>
      </c>
    </row>
    <row r="5" spans="1:10" x14ac:dyDescent="0.25">
      <c r="A5" s="28" t="s">
        <v>163</v>
      </c>
    </row>
    <row r="6" spans="1:10" x14ac:dyDescent="0.25">
      <c r="A6" s="28" t="s">
        <v>167</v>
      </c>
    </row>
    <row r="8" spans="1:10" x14ac:dyDescent="0.25">
      <c r="A8" s="23" t="s">
        <v>83</v>
      </c>
      <c r="B8" s="23">
        <v>50</v>
      </c>
      <c r="C8" s="23" t="s">
        <v>84</v>
      </c>
    </row>
    <row r="10" spans="1:10" ht="54" x14ac:dyDescent="0.25">
      <c r="A10" s="1" t="s">
        <v>45</v>
      </c>
      <c r="B10" s="1" t="s">
        <v>46</v>
      </c>
      <c r="C10" s="1" t="s">
        <v>161</v>
      </c>
      <c r="D10" s="1" t="s">
        <v>252</v>
      </c>
      <c r="E10" s="1" t="s">
        <v>51</v>
      </c>
      <c r="F10" s="2" t="s">
        <v>50</v>
      </c>
      <c r="G10" s="3" t="s">
        <v>52</v>
      </c>
      <c r="H10" s="57" t="s">
        <v>53</v>
      </c>
      <c r="I10" s="57" t="s">
        <v>82</v>
      </c>
      <c r="J10" s="3" t="s">
        <v>54</v>
      </c>
    </row>
    <row r="11" spans="1:10" x14ac:dyDescent="0.25">
      <c r="A11" s="14" t="s">
        <v>7</v>
      </c>
      <c r="B11" s="14" t="s">
        <v>8</v>
      </c>
      <c r="C11" s="14" t="s">
        <v>169</v>
      </c>
      <c r="D11" s="32" t="s">
        <v>147</v>
      </c>
      <c r="E11" s="14" t="s">
        <v>48</v>
      </c>
      <c r="F11" s="15" t="s">
        <v>10</v>
      </c>
      <c r="G11" s="55">
        <v>639.74</v>
      </c>
      <c r="H11" s="63">
        <f>Achtergrondberekeningen!B30</f>
        <v>3.203719134199138</v>
      </c>
      <c r="I11" s="62">
        <v>50</v>
      </c>
      <c r="J11" s="56">
        <f>G11*H11*IF(I11&lt;$B$8,$B$8/I11,1)</f>
        <v>2049.5472789125565</v>
      </c>
    </row>
    <row r="12" spans="1:10" ht="24" customHeight="1" x14ac:dyDescent="0.25">
      <c r="A12" s="14" t="s">
        <v>7</v>
      </c>
      <c r="B12" s="14" t="s">
        <v>8</v>
      </c>
      <c r="C12" s="14" t="s">
        <v>150</v>
      </c>
      <c r="D12" s="32" t="s">
        <v>168</v>
      </c>
      <c r="E12" s="14" t="s">
        <v>48</v>
      </c>
      <c r="F12" s="15" t="s">
        <v>10</v>
      </c>
      <c r="G12" s="55">
        <v>771.14</v>
      </c>
      <c r="H12" s="63">
        <f>Achtergrondberekeningen!B36</f>
        <v>3.7826986000000002</v>
      </c>
      <c r="I12" s="62">
        <v>50</v>
      </c>
      <c r="J12" s="56">
        <f t="shared" ref="J12:J23" si="0">G12*H12*IF(I12&lt;$B$8,$B$8/I12,1)</f>
        <v>2916.9901984040002</v>
      </c>
    </row>
    <row r="13" spans="1:10" ht="24" customHeight="1" x14ac:dyDescent="0.25">
      <c r="A13" s="14" t="s">
        <v>7</v>
      </c>
      <c r="B13" s="14" t="s">
        <v>14</v>
      </c>
      <c r="C13" s="14" t="s">
        <v>64</v>
      </c>
      <c r="D13" s="32" t="s">
        <v>16</v>
      </c>
      <c r="E13" s="14" t="s">
        <v>47</v>
      </c>
      <c r="F13" s="15" t="s">
        <v>10</v>
      </c>
      <c r="G13" s="55">
        <v>2239</v>
      </c>
      <c r="H13" s="63">
        <v>5.2144899475187172</v>
      </c>
      <c r="I13" s="62">
        <v>100</v>
      </c>
      <c r="J13" s="56">
        <f t="shared" si="0"/>
        <v>11675.242992494408</v>
      </c>
    </row>
    <row r="14" spans="1:10" ht="24" customHeight="1" x14ac:dyDescent="0.25">
      <c r="A14" s="14" t="s">
        <v>7</v>
      </c>
      <c r="B14" s="14" t="s">
        <v>17</v>
      </c>
      <c r="C14" s="14" t="s">
        <v>170</v>
      </c>
      <c r="D14" s="32" t="s">
        <v>16</v>
      </c>
      <c r="E14" s="14" t="s">
        <v>47</v>
      </c>
      <c r="F14" s="15" t="s">
        <v>10</v>
      </c>
      <c r="G14" s="55">
        <v>393.74</v>
      </c>
      <c r="H14" s="63">
        <v>5.2144899475187172</v>
      </c>
      <c r="I14" s="62">
        <v>100</v>
      </c>
      <c r="J14" s="56">
        <f t="shared" si="0"/>
        <v>2053.1532719360198</v>
      </c>
    </row>
    <row r="15" spans="1:10" x14ac:dyDescent="0.25">
      <c r="A15" s="14" t="s">
        <v>7</v>
      </c>
      <c r="B15" s="14" t="s">
        <v>21</v>
      </c>
      <c r="C15" s="14" t="s">
        <v>171</v>
      </c>
      <c r="D15" s="32" t="s">
        <v>85</v>
      </c>
      <c r="E15" s="14" t="s">
        <v>49</v>
      </c>
      <c r="F15" s="15" t="s">
        <v>12</v>
      </c>
      <c r="G15" s="55">
        <v>106290</v>
      </c>
      <c r="H15" s="63">
        <v>0.12045</v>
      </c>
      <c r="I15" s="62">
        <v>100</v>
      </c>
      <c r="J15" s="56">
        <f t="shared" si="0"/>
        <v>12802.630499999999</v>
      </c>
    </row>
    <row r="16" spans="1:10" x14ac:dyDescent="0.25">
      <c r="A16" s="4" t="s">
        <v>22</v>
      </c>
      <c r="B16" s="4" t="s">
        <v>28</v>
      </c>
      <c r="C16" s="14" t="s">
        <v>151</v>
      </c>
      <c r="D16" s="32" t="s">
        <v>27</v>
      </c>
      <c r="E16" s="14" t="s">
        <v>48</v>
      </c>
      <c r="F16" s="15" t="s">
        <v>10</v>
      </c>
      <c r="G16" s="55">
        <v>309.08</v>
      </c>
      <c r="H16" s="63">
        <v>7.27</v>
      </c>
      <c r="I16" s="62">
        <v>50</v>
      </c>
      <c r="J16" s="56">
        <f t="shared" si="0"/>
        <v>2247.0115999999998</v>
      </c>
    </row>
    <row r="17" spans="1:10" x14ac:dyDescent="0.25">
      <c r="A17" s="14" t="s">
        <v>22</v>
      </c>
      <c r="B17" s="14" t="s">
        <v>30</v>
      </c>
      <c r="C17" s="14" t="s">
        <v>104</v>
      </c>
      <c r="D17" s="32" t="s">
        <v>31</v>
      </c>
      <c r="E17" s="14" t="s">
        <v>48</v>
      </c>
      <c r="F17" s="15" t="s">
        <v>4</v>
      </c>
      <c r="G17" s="55">
        <v>241.26</v>
      </c>
      <c r="H17" s="63">
        <v>18.139442295534938</v>
      </c>
      <c r="I17" s="62">
        <v>44</v>
      </c>
      <c r="J17" s="56">
        <f t="shared" si="0"/>
        <v>4973.0930093417719</v>
      </c>
    </row>
    <row r="18" spans="1:10" x14ac:dyDescent="0.25">
      <c r="A18" s="14" t="s">
        <v>22</v>
      </c>
      <c r="B18" s="14" t="s">
        <v>32</v>
      </c>
      <c r="C18" s="14" t="s">
        <v>152</v>
      </c>
      <c r="D18" s="32" t="s">
        <v>154</v>
      </c>
      <c r="E18" s="14" t="s">
        <v>48</v>
      </c>
      <c r="F18" s="15" t="s">
        <v>4</v>
      </c>
      <c r="G18" s="55">
        <v>68</v>
      </c>
      <c r="H18" s="63">
        <v>1.89</v>
      </c>
      <c r="I18" s="62">
        <v>50</v>
      </c>
      <c r="J18" s="56">
        <f t="shared" si="0"/>
        <v>128.51999999999998</v>
      </c>
    </row>
    <row r="19" spans="1:10" x14ac:dyDescent="0.25">
      <c r="A19" s="14" t="s">
        <v>22</v>
      </c>
      <c r="B19" s="14" t="s">
        <v>32</v>
      </c>
      <c r="C19" s="14" t="s">
        <v>153</v>
      </c>
      <c r="D19" s="32" t="s">
        <v>154</v>
      </c>
      <c r="E19" s="14" t="s">
        <v>48</v>
      </c>
      <c r="F19" s="15" t="s">
        <v>4</v>
      </c>
      <c r="G19" s="55">
        <v>352.47</v>
      </c>
      <c r="H19" s="63">
        <v>1.89</v>
      </c>
      <c r="I19" s="62">
        <v>50</v>
      </c>
      <c r="J19" s="56">
        <f t="shared" si="0"/>
        <v>666.16830000000004</v>
      </c>
    </row>
    <row r="20" spans="1:10" ht="24" customHeight="1" x14ac:dyDescent="0.25">
      <c r="A20" s="4" t="s">
        <v>35</v>
      </c>
      <c r="B20" s="4" t="s">
        <v>36</v>
      </c>
      <c r="C20" s="14" t="s">
        <v>131</v>
      </c>
      <c r="D20" s="32" t="s">
        <v>132</v>
      </c>
      <c r="E20" s="4" t="s">
        <v>48</v>
      </c>
      <c r="F20" s="4" t="s">
        <v>10</v>
      </c>
      <c r="G20" s="55">
        <v>1492.86</v>
      </c>
      <c r="H20" s="63">
        <f>Achtergrondberekeningen!B17</f>
        <v>5.8859999999999992</v>
      </c>
      <c r="I20" s="62">
        <v>135</v>
      </c>
      <c r="J20" s="56">
        <f t="shared" si="0"/>
        <v>8786.9739599999975</v>
      </c>
    </row>
    <row r="21" spans="1:10" x14ac:dyDescent="0.25">
      <c r="A21" s="14" t="s">
        <v>35</v>
      </c>
      <c r="B21" s="14" t="s">
        <v>36</v>
      </c>
      <c r="C21" s="14" t="s">
        <v>155</v>
      </c>
      <c r="D21" s="32" t="s">
        <v>37</v>
      </c>
      <c r="E21" s="14" t="s">
        <v>48</v>
      </c>
      <c r="F21" s="15" t="s">
        <v>10</v>
      </c>
      <c r="G21" s="55">
        <v>101.96</v>
      </c>
      <c r="H21" s="63">
        <v>23.33</v>
      </c>
      <c r="I21" s="62">
        <v>50</v>
      </c>
      <c r="J21" s="56">
        <f t="shared" si="0"/>
        <v>2378.7267999999995</v>
      </c>
    </row>
    <row r="22" spans="1:10" x14ac:dyDescent="0.25">
      <c r="A22" s="14" t="s">
        <v>35</v>
      </c>
      <c r="B22" s="14" t="s">
        <v>39</v>
      </c>
      <c r="C22" s="14" t="s">
        <v>86</v>
      </c>
      <c r="D22" s="32" t="s">
        <v>40</v>
      </c>
      <c r="E22" s="14" t="s">
        <v>48</v>
      </c>
      <c r="F22" s="15" t="s">
        <v>4</v>
      </c>
      <c r="G22" s="55">
        <f>Achtergrondberekeningen!B10</f>
        <v>892.5</v>
      </c>
      <c r="H22" s="63">
        <v>0.14119000000000001</v>
      </c>
      <c r="I22" s="64">
        <v>5</v>
      </c>
      <c r="J22" s="56">
        <f t="shared" si="0"/>
        <v>1260.12075</v>
      </c>
    </row>
    <row r="23" spans="1:10" x14ac:dyDescent="0.25">
      <c r="A23" s="14" t="s">
        <v>35</v>
      </c>
      <c r="B23" s="14" t="s">
        <v>39</v>
      </c>
      <c r="C23" s="14" t="s">
        <v>162</v>
      </c>
      <c r="D23" s="32" t="s">
        <v>241</v>
      </c>
      <c r="E23" s="14" t="s">
        <v>48</v>
      </c>
      <c r="F23" s="15" t="s">
        <v>10</v>
      </c>
      <c r="G23" s="55">
        <v>8885</v>
      </c>
      <c r="H23" s="63">
        <f>Achtergrondberekeningen!E49</f>
        <v>2.0116397066926348</v>
      </c>
      <c r="I23" s="62">
        <v>100</v>
      </c>
      <c r="J23" s="56">
        <f t="shared" si="0"/>
        <v>17873.418793964061</v>
      </c>
    </row>
    <row r="25" spans="1:10" x14ac:dyDescent="0.25">
      <c r="A25" s="7" t="s">
        <v>81</v>
      </c>
      <c r="B25" s="7" t="s">
        <v>44</v>
      </c>
      <c r="C25" s="7"/>
      <c r="D25" s="60" t="s">
        <v>44</v>
      </c>
      <c r="E25" s="7" t="s">
        <v>44</v>
      </c>
      <c r="F25" s="8" t="s">
        <v>44</v>
      </c>
      <c r="G25" s="9" t="s">
        <v>44</v>
      </c>
      <c r="H25" s="9" t="s">
        <v>44</v>
      </c>
      <c r="I25" s="9"/>
      <c r="J25" s="9">
        <f>SUM(J11:J24)</f>
        <v>69811.597455052804</v>
      </c>
    </row>
    <row r="27" spans="1:10" x14ac:dyDescent="0.25">
      <c r="J27" s="59"/>
    </row>
  </sheetData>
  <sheetProtection algorithmName="SHA-512" hashValue="xIYjZ7GmqWdxIyejf4afuse8DsdRmiIjkuRHEelwQaKYOLVCjTpkKGsLrel+hfml4Ze4W1c+Yjeqiimhh9R43w==" saltValue="7OdezGu9ycb0E5mRzNIGgQ==" spinCount="100000" sheet="1" objects="1" scenarios="1"/>
  <autoFilter ref="A10:J23" xr:uid="{5987299A-8B4A-41C2-8686-53A1F77773F3}">
    <sortState xmlns:xlrd2="http://schemas.microsoft.com/office/spreadsheetml/2017/richdata2" ref="A11:J23">
      <sortCondition ref="B10:B23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5C129-9A08-4D1D-B227-46891C7E6028}">
  <sheetPr codeName="Sheet1"/>
  <dimension ref="A1:W78"/>
  <sheetViews>
    <sheetView zoomScale="130" zoomScaleNormal="130" workbookViewId="0">
      <selection activeCell="A9" sqref="A9"/>
    </sheetView>
  </sheetViews>
  <sheetFormatPr defaultRowHeight="15" x14ac:dyDescent="0.25"/>
  <cols>
    <col min="1" max="1" width="26.42578125" customWidth="1"/>
  </cols>
  <sheetData>
    <row r="1" spans="1:4" ht="18.75" x14ac:dyDescent="0.3">
      <c r="A1" s="30" t="s">
        <v>251</v>
      </c>
    </row>
    <row r="3" spans="1:4" x14ac:dyDescent="0.25">
      <c r="A3" s="23" t="s">
        <v>86</v>
      </c>
    </row>
    <row r="4" spans="1:4" x14ac:dyDescent="0.25">
      <c r="A4" t="s">
        <v>90</v>
      </c>
      <c r="B4">
        <v>357</v>
      </c>
    </row>
    <row r="5" spans="1:4" x14ac:dyDescent="0.25">
      <c r="A5" t="s">
        <v>88</v>
      </c>
      <c r="B5">
        <v>2.5</v>
      </c>
      <c r="C5" t="s">
        <v>4</v>
      </c>
    </row>
    <row r="6" spans="1:4" x14ac:dyDescent="0.25">
      <c r="A6" t="s">
        <v>89</v>
      </c>
      <c r="B6">
        <v>5</v>
      </c>
      <c r="C6" t="s">
        <v>4</v>
      </c>
    </row>
    <row r="7" spans="1:4" x14ac:dyDescent="0.25">
      <c r="A7" t="s">
        <v>91</v>
      </c>
      <c r="B7">
        <f>B6*B4</f>
        <v>1785</v>
      </c>
      <c r="C7" t="s">
        <v>4</v>
      </c>
    </row>
    <row r="8" spans="1:4" x14ac:dyDescent="0.25">
      <c r="A8" t="s">
        <v>87</v>
      </c>
      <c r="B8">
        <v>0.1</v>
      </c>
      <c r="C8" t="s">
        <v>4</v>
      </c>
    </row>
    <row r="9" spans="1:4" x14ac:dyDescent="0.25">
      <c r="A9" t="s">
        <v>93</v>
      </c>
      <c r="B9">
        <v>0.2</v>
      </c>
      <c r="C9" t="s">
        <v>4</v>
      </c>
    </row>
    <row r="10" spans="1:4" x14ac:dyDescent="0.25">
      <c r="A10" t="s">
        <v>92</v>
      </c>
      <c r="B10" s="23">
        <f>B7*(B8/B9)</f>
        <v>892.5</v>
      </c>
      <c r="C10" t="s">
        <v>4</v>
      </c>
    </row>
    <row r="12" spans="1:4" x14ac:dyDescent="0.25">
      <c r="A12" s="23" t="s">
        <v>56</v>
      </c>
    </row>
    <row r="13" spans="1:4" x14ac:dyDescent="0.25">
      <c r="A13" t="s">
        <v>124</v>
      </c>
      <c r="B13">
        <v>0.02</v>
      </c>
      <c r="C13" t="s">
        <v>4</v>
      </c>
    </row>
    <row r="14" spans="1:4" x14ac:dyDescent="0.25">
      <c r="A14" t="s">
        <v>128</v>
      </c>
      <c r="B14">
        <v>0.1</v>
      </c>
      <c r="C14" t="s">
        <v>4</v>
      </c>
    </row>
    <row r="15" spans="1:4" x14ac:dyDescent="0.25">
      <c r="A15" t="s">
        <v>129</v>
      </c>
      <c r="B15">
        <v>2.88</v>
      </c>
      <c r="C15" t="s">
        <v>126</v>
      </c>
    </row>
    <row r="16" spans="1:4" x14ac:dyDescent="0.25">
      <c r="A16" t="s">
        <v>125</v>
      </c>
      <c r="B16">
        <v>5.31</v>
      </c>
      <c r="C16" t="s">
        <v>126</v>
      </c>
      <c r="D16" t="s">
        <v>127</v>
      </c>
    </row>
    <row r="17" spans="1:4" x14ac:dyDescent="0.25">
      <c r="A17" t="s">
        <v>130</v>
      </c>
      <c r="B17" s="23">
        <f>B13/B14*B15+B16</f>
        <v>5.8859999999999992</v>
      </c>
      <c r="C17" t="s">
        <v>126</v>
      </c>
    </row>
    <row r="19" spans="1:4" x14ac:dyDescent="0.25">
      <c r="A19" s="23" t="s">
        <v>135</v>
      </c>
    </row>
    <row r="20" spans="1:4" x14ac:dyDescent="0.25">
      <c r="A20" t="s">
        <v>133</v>
      </c>
      <c r="B20" s="45">
        <v>2.8E-3</v>
      </c>
      <c r="C20" t="s">
        <v>4</v>
      </c>
      <c r="D20" s="26" t="s">
        <v>242</v>
      </c>
    </row>
    <row r="21" spans="1:4" x14ac:dyDescent="0.25">
      <c r="A21" t="s">
        <v>134</v>
      </c>
      <c r="B21" s="51">
        <v>0.2</v>
      </c>
      <c r="C21" t="s">
        <v>4</v>
      </c>
    </row>
    <row r="22" spans="1:4" x14ac:dyDescent="0.25">
      <c r="A22" t="s">
        <v>149</v>
      </c>
      <c r="B22">
        <v>0.05</v>
      </c>
      <c r="C22" t="s">
        <v>4</v>
      </c>
    </row>
    <row r="23" spans="1:4" x14ac:dyDescent="0.25">
      <c r="A23" t="s">
        <v>115</v>
      </c>
      <c r="B23">
        <f>B21*B22-(B21-B20)*(B22-B20)</f>
        <v>6.9216000000000069E-4</v>
      </c>
      <c r="C23" t="s">
        <v>10</v>
      </c>
    </row>
    <row r="24" spans="1:4" x14ac:dyDescent="0.25">
      <c r="A24" t="s">
        <v>136</v>
      </c>
      <c r="B24" s="51">
        <f>1/0.45</f>
        <v>2.2222222222222223</v>
      </c>
      <c r="C24" t="s">
        <v>138</v>
      </c>
    </row>
    <row r="25" spans="1:4" x14ac:dyDescent="0.25">
      <c r="A25" t="s">
        <v>137</v>
      </c>
      <c r="B25">
        <f>B24*B23</f>
        <v>1.538133333333335E-3</v>
      </c>
      <c r="C25" t="s">
        <v>101</v>
      </c>
    </row>
    <row r="26" spans="1:4" x14ac:dyDescent="0.25">
      <c r="A26" t="s">
        <v>139</v>
      </c>
      <c r="B26" s="51">
        <f>B25*2755</f>
        <v>4.2375573333333376</v>
      </c>
      <c r="C26" t="s">
        <v>12</v>
      </c>
    </row>
    <row r="27" spans="1:4" x14ac:dyDescent="0.25">
      <c r="A27" t="s">
        <v>140</v>
      </c>
      <c r="B27">
        <v>10.78</v>
      </c>
      <c r="C27" t="s">
        <v>141</v>
      </c>
    </row>
    <row r="28" spans="1:4" x14ac:dyDescent="0.25">
      <c r="A28" t="s">
        <v>142</v>
      </c>
      <c r="B28" s="51">
        <f>B26/B27</f>
        <v>0.39309437229437272</v>
      </c>
      <c r="C28" s="28" t="s">
        <v>143</v>
      </c>
    </row>
    <row r="29" spans="1:4" x14ac:dyDescent="0.25">
      <c r="A29" t="s">
        <v>144</v>
      </c>
      <c r="B29" s="51">
        <v>8.15</v>
      </c>
      <c r="C29" t="s">
        <v>145</v>
      </c>
    </row>
    <row r="30" spans="1:4" x14ac:dyDescent="0.25">
      <c r="A30" t="s">
        <v>146</v>
      </c>
      <c r="B30" s="61">
        <f>B29*B28</f>
        <v>3.203719134199138</v>
      </c>
      <c r="C30" t="s">
        <v>126</v>
      </c>
    </row>
    <row r="32" spans="1:4" x14ac:dyDescent="0.25">
      <c r="A32" s="23" t="s">
        <v>198</v>
      </c>
    </row>
    <row r="33" spans="1:23" x14ac:dyDescent="0.25">
      <c r="A33" t="s">
        <v>195</v>
      </c>
      <c r="B33">
        <v>0.4</v>
      </c>
      <c r="C33" t="s">
        <v>196</v>
      </c>
      <c r="D33" s="26" t="s">
        <v>197</v>
      </c>
    </row>
    <row r="34" spans="1:23" x14ac:dyDescent="0.25">
      <c r="A34" t="s">
        <v>139</v>
      </c>
      <c r="B34">
        <v>19</v>
      </c>
      <c r="C34" t="s">
        <v>141</v>
      </c>
      <c r="D34" t="s">
        <v>204</v>
      </c>
    </row>
    <row r="35" spans="1:23" x14ac:dyDescent="0.25">
      <c r="B35">
        <f>1/B34*1000</f>
        <v>52.631578947368418</v>
      </c>
      <c r="C35" t="s">
        <v>202</v>
      </c>
    </row>
    <row r="36" spans="1:23" x14ac:dyDescent="0.25">
      <c r="A36" t="s">
        <v>203</v>
      </c>
      <c r="B36" s="23">
        <f>E42/1000</f>
        <v>3.7826986000000002</v>
      </c>
      <c r="C36" t="s">
        <v>126</v>
      </c>
      <c r="D36" t="s">
        <v>205</v>
      </c>
    </row>
    <row r="39" spans="1:23" s="35" customFormat="1" thickBot="1" x14ac:dyDescent="0.25">
      <c r="A39" s="34" t="s">
        <v>175</v>
      </c>
      <c r="B39" s="34" t="s">
        <v>52</v>
      </c>
      <c r="C39" s="34" t="s">
        <v>50</v>
      </c>
      <c r="D39" s="34" t="s">
        <v>51</v>
      </c>
      <c r="E39" s="34" t="s">
        <v>176</v>
      </c>
      <c r="F39" s="34" t="s">
        <v>177</v>
      </c>
      <c r="G39" s="34" t="s">
        <v>178</v>
      </c>
      <c r="H39" s="34" t="s">
        <v>179</v>
      </c>
      <c r="I39" s="34" t="s">
        <v>180</v>
      </c>
      <c r="J39" s="34" t="s">
        <v>181</v>
      </c>
      <c r="K39" s="34" t="s">
        <v>182</v>
      </c>
      <c r="L39" s="34" t="s">
        <v>183</v>
      </c>
      <c r="M39" s="34" t="s">
        <v>184</v>
      </c>
      <c r="N39" s="34" t="s">
        <v>185</v>
      </c>
      <c r="O39" s="34" t="s">
        <v>186</v>
      </c>
      <c r="P39" s="34" t="s">
        <v>187</v>
      </c>
      <c r="Q39" s="34" t="s">
        <v>188</v>
      </c>
      <c r="R39" s="34" t="s">
        <v>189</v>
      </c>
      <c r="S39" s="34" t="s">
        <v>190</v>
      </c>
      <c r="T39" s="34" t="s">
        <v>191</v>
      </c>
      <c r="U39" s="34" t="s">
        <v>192</v>
      </c>
      <c r="V39" s="34" t="s">
        <v>193</v>
      </c>
      <c r="W39" s="34" t="s">
        <v>194</v>
      </c>
    </row>
    <row r="40" spans="1:23" s="35" customFormat="1" thickTop="1" x14ac:dyDescent="0.2">
      <c r="A40" s="36" t="s">
        <v>172</v>
      </c>
      <c r="B40" s="37">
        <v>1000</v>
      </c>
      <c r="C40" s="36" t="s">
        <v>173</v>
      </c>
      <c r="D40" s="36" t="s">
        <v>174</v>
      </c>
      <c r="E40" s="39">
        <v>1862.52</v>
      </c>
      <c r="F40" s="39">
        <v>1247.3399999999999</v>
      </c>
      <c r="G40" s="40">
        <v>615.17999999999995</v>
      </c>
      <c r="H40" s="39">
        <v>1943.58</v>
      </c>
      <c r="I40" s="40">
        <v>0</v>
      </c>
      <c r="J40" s="40">
        <v>0</v>
      </c>
      <c r="K40" s="40">
        <v>0</v>
      </c>
      <c r="L40" s="40">
        <v>11.16</v>
      </c>
      <c r="M40" s="40">
        <v>74.709999999999994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15.91</v>
      </c>
      <c r="T40" s="40">
        <v>4.1100000000000003</v>
      </c>
      <c r="U40" s="40">
        <v>0.9</v>
      </c>
      <c r="V40" s="40">
        <v>0.24</v>
      </c>
      <c r="W40" s="40">
        <v>-803.27</v>
      </c>
    </row>
    <row r="41" spans="1:23" s="35" customFormat="1" ht="14.25" x14ac:dyDescent="0.2">
      <c r="A41" s="36" t="s">
        <v>199</v>
      </c>
      <c r="B41" s="37" t="s">
        <v>200</v>
      </c>
      <c r="C41" s="36" t="s">
        <v>173</v>
      </c>
      <c r="D41" s="36" t="s">
        <v>174</v>
      </c>
      <c r="E41" s="39">
        <v>9555.2999999999993</v>
      </c>
      <c r="F41" s="39">
        <v>7325.78</v>
      </c>
      <c r="G41" s="40">
        <v>2229.5100000000002</v>
      </c>
      <c r="H41" s="39">
        <v>7086.44</v>
      </c>
      <c r="I41" s="40">
        <v>0</v>
      </c>
      <c r="J41" s="40">
        <v>0</v>
      </c>
      <c r="K41" s="40">
        <v>0</v>
      </c>
      <c r="L41" s="40">
        <v>1.44</v>
      </c>
      <c r="M41" s="40">
        <v>275.69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v>62.9</v>
      </c>
      <c r="T41" s="40">
        <v>0.5</v>
      </c>
      <c r="U41" s="40">
        <v>4.7</v>
      </c>
      <c r="V41" s="40">
        <v>0.04</v>
      </c>
      <c r="W41" s="40">
        <v>-105.93</v>
      </c>
    </row>
    <row r="42" spans="1:23" x14ac:dyDescent="0.25">
      <c r="A42" t="s">
        <v>198</v>
      </c>
      <c r="B42" s="38">
        <v>1000</v>
      </c>
      <c r="C42" t="s">
        <v>10</v>
      </c>
      <c r="D42" t="s">
        <v>174</v>
      </c>
      <c r="E42" s="38">
        <f>F42+G42</f>
        <v>3782.6986000000002</v>
      </c>
      <c r="F42" s="38">
        <f>SUM(H42:W42)</f>
        <v>2899.9900000000002</v>
      </c>
      <c r="G42" s="38" cm="1">
        <f t="array" ref="G42">SUM(H42:V42*0.3)</f>
        <v>882.70859999999993</v>
      </c>
      <c r="H42" s="38">
        <f>H41*$B$33</f>
        <v>2834.576</v>
      </c>
      <c r="I42" s="38"/>
      <c r="J42" s="38"/>
      <c r="K42" s="38"/>
      <c r="L42" s="38">
        <f>L40</f>
        <v>11.16</v>
      </c>
      <c r="M42" s="38">
        <f>M40</f>
        <v>74.709999999999994</v>
      </c>
      <c r="N42" s="38"/>
      <c r="O42" s="38"/>
      <c r="P42" s="38"/>
      <c r="Q42" s="38"/>
      <c r="R42" s="38"/>
      <c r="S42" s="38">
        <f>S40</f>
        <v>15.91</v>
      </c>
      <c r="T42" s="38">
        <f>T40</f>
        <v>4.1100000000000003</v>
      </c>
      <c r="U42" s="38">
        <f t="shared" ref="U42:V42" si="0">U41*$B$33</f>
        <v>1.8800000000000001</v>
      </c>
      <c r="V42" s="38">
        <f t="shared" si="0"/>
        <v>1.6E-2</v>
      </c>
      <c r="W42" s="38">
        <f>W41*$B$33</f>
        <v>-42.372000000000007</v>
      </c>
    </row>
    <row r="43" spans="1:23" x14ac:dyDescent="0.25">
      <c r="A43" t="s">
        <v>201</v>
      </c>
    </row>
    <row r="45" spans="1:23" x14ac:dyDescent="0.25">
      <c r="A45" s="23" t="s">
        <v>73</v>
      </c>
    </row>
    <row r="47" spans="1:23" s="35" customFormat="1" thickBot="1" x14ac:dyDescent="0.25">
      <c r="A47" s="34" t="s">
        <v>175</v>
      </c>
      <c r="B47" s="34" t="s">
        <v>52</v>
      </c>
      <c r="C47" s="34" t="s">
        <v>50</v>
      </c>
      <c r="D47" s="34" t="s">
        <v>51</v>
      </c>
      <c r="E47" s="34" t="s">
        <v>176</v>
      </c>
      <c r="F47" s="34" t="s">
        <v>177</v>
      </c>
      <c r="G47" s="34" t="s">
        <v>178</v>
      </c>
      <c r="H47" s="34" t="s">
        <v>179</v>
      </c>
      <c r="I47" s="34" t="s">
        <v>180</v>
      </c>
      <c r="J47" s="34" t="s">
        <v>181</v>
      </c>
      <c r="K47" s="34" t="s">
        <v>182</v>
      </c>
      <c r="L47" s="34" t="s">
        <v>183</v>
      </c>
      <c r="M47" s="34" t="s">
        <v>184</v>
      </c>
      <c r="N47" s="34" t="s">
        <v>185</v>
      </c>
      <c r="O47" s="34" t="s">
        <v>186</v>
      </c>
      <c r="P47" s="34" t="s">
        <v>187</v>
      </c>
      <c r="Q47" s="34" t="s">
        <v>188</v>
      </c>
      <c r="R47" s="34" t="s">
        <v>189</v>
      </c>
      <c r="S47" s="34" t="s">
        <v>190</v>
      </c>
      <c r="T47" s="34" t="s">
        <v>191</v>
      </c>
      <c r="U47" s="34" t="s">
        <v>192</v>
      </c>
      <c r="V47" s="34" t="s">
        <v>193</v>
      </c>
      <c r="W47" s="34" t="s">
        <v>194</v>
      </c>
    </row>
    <row r="48" spans="1:23" s="35" customFormat="1" thickTop="1" x14ac:dyDescent="0.2">
      <c r="A48" s="36" t="s">
        <v>102</v>
      </c>
      <c r="B48" s="47" t="s">
        <v>239</v>
      </c>
      <c r="C48" s="36" t="s">
        <v>101</v>
      </c>
      <c r="D48" s="36" t="s">
        <v>174</v>
      </c>
      <c r="E48" s="47">
        <v>0.86153000000000002</v>
      </c>
      <c r="F48" s="47">
        <v>0.65422000000000002</v>
      </c>
      <c r="G48" s="47">
        <v>0.20732</v>
      </c>
      <c r="H48" s="47">
        <v>0.42508999999999997</v>
      </c>
      <c r="I48" s="47"/>
      <c r="J48" s="47"/>
      <c r="K48" s="47"/>
      <c r="L48" s="47">
        <v>5.3929999999999999E-2</v>
      </c>
      <c r="M48" s="47">
        <v>5.9209999999999999E-2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7.8099999999999989E-2</v>
      </c>
      <c r="T48" s="47">
        <v>5.4469999999999998E-2</v>
      </c>
      <c r="U48" s="47">
        <v>1.9739999999999997E-2</v>
      </c>
      <c r="V48" s="47">
        <v>5.2000000000000006E-4</v>
      </c>
      <c r="W48" s="47">
        <v>-3.6840000000000005E-2</v>
      </c>
    </row>
    <row r="49" spans="1:23" s="41" customFormat="1" x14ac:dyDescent="0.25">
      <c r="A49" s="41" t="s">
        <v>73</v>
      </c>
      <c r="B49" s="49">
        <v>1</v>
      </c>
      <c r="C49" s="41" t="s">
        <v>10</v>
      </c>
      <c r="E49" s="48">
        <f>F49+G49</f>
        <v>2.0116397066926348</v>
      </c>
      <c r="F49" s="48">
        <f>SUM(H49:W49)</f>
        <v>1.538913620532796</v>
      </c>
      <c r="G49" s="48" cm="1">
        <f t="array" ref="G49">SUM(H49:V49*0.3)</f>
        <v>0.47272608615983863</v>
      </c>
      <c r="H49" s="50">
        <f>'MKI Pantserdekvloer'!J15</f>
        <v>1.3097836205327957</v>
      </c>
      <c r="I49" s="48"/>
      <c r="J49" s="48"/>
      <c r="K49" s="48"/>
      <c r="L49" s="48">
        <f>L48</f>
        <v>5.3929999999999999E-2</v>
      </c>
      <c r="M49" s="48">
        <f t="shared" ref="M49:W49" si="1">M48</f>
        <v>5.9209999999999999E-2</v>
      </c>
      <c r="N49" s="48"/>
      <c r="O49" s="48"/>
      <c r="P49" s="48"/>
      <c r="Q49" s="48"/>
      <c r="R49" s="48"/>
      <c r="S49" s="48">
        <f t="shared" si="1"/>
        <v>7.8099999999999989E-2</v>
      </c>
      <c r="T49" s="48">
        <f t="shared" si="1"/>
        <v>5.4469999999999998E-2</v>
      </c>
      <c r="U49" s="48">
        <f t="shared" si="1"/>
        <v>1.9739999999999997E-2</v>
      </c>
      <c r="V49" s="48">
        <f t="shared" si="1"/>
        <v>5.2000000000000006E-4</v>
      </c>
      <c r="W49" s="48">
        <f t="shared" si="1"/>
        <v>-3.6840000000000005E-2</v>
      </c>
    </row>
    <row r="50" spans="1:23" x14ac:dyDescent="0.25">
      <c r="A50" t="s">
        <v>240</v>
      </c>
    </row>
    <row r="53" spans="1:23" hidden="1" x14ac:dyDescent="0.25">
      <c r="A53" s="29" t="s">
        <v>65</v>
      </c>
    </row>
    <row r="54" spans="1:23" hidden="1" x14ac:dyDescent="0.25">
      <c r="A54" t="s">
        <v>99</v>
      </c>
      <c r="B54">
        <v>1.2</v>
      </c>
      <c r="C54" t="s">
        <v>4</v>
      </c>
    </row>
    <row r="55" spans="1:23" hidden="1" x14ac:dyDescent="0.25">
      <c r="A55" t="s">
        <v>95</v>
      </c>
      <c r="B55">
        <f>(85*150+0.5*200*150)/1000000</f>
        <v>2.775E-2</v>
      </c>
      <c r="C55" t="s">
        <v>10</v>
      </c>
      <c r="D55" s="26" t="s">
        <v>96</v>
      </c>
    </row>
    <row r="56" spans="1:23" hidden="1" x14ac:dyDescent="0.25">
      <c r="A56" t="s">
        <v>97</v>
      </c>
      <c r="B56">
        <v>28</v>
      </c>
    </row>
    <row r="57" spans="1:23" hidden="1" x14ac:dyDescent="0.25">
      <c r="A57" t="s">
        <v>94</v>
      </c>
      <c r="B57">
        <v>0.15</v>
      </c>
      <c r="C57" t="s">
        <v>4</v>
      </c>
    </row>
    <row r="58" spans="1:23" hidden="1" x14ac:dyDescent="0.25">
      <c r="A58" t="s">
        <v>98</v>
      </c>
      <c r="B58">
        <f>1.2*1.2</f>
        <v>1.44</v>
      </c>
      <c r="C58" t="s">
        <v>10</v>
      </c>
    </row>
    <row r="59" spans="1:23" hidden="1" x14ac:dyDescent="0.25">
      <c r="A59" t="s">
        <v>100</v>
      </c>
      <c r="B59">
        <f>B54*B55*B56+B57*B58</f>
        <v>1.1483999999999999</v>
      </c>
      <c r="C59" t="s">
        <v>101</v>
      </c>
    </row>
    <row r="60" spans="1:23" hidden="1" x14ac:dyDescent="0.25"/>
    <row r="61" spans="1:23" hidden="1" x14ac:dyDescent="0.25">
      <c r="A61" s="29" t="s">
        <v>109</v>
      </c>
    </row>
    <row r="62" spans="1:23" hidden="1" x14ac:dyDescent="0.25">
      <c r="A62" t="s">
        <v>110</v>
      </c>
      <c r="B62">
        <v>3</v>
      </c>
    </row>
    <row r="63" spans="1:23" hidden="1" x14ac:dyDescent="0.25">
      <c r="A63" t="s">
        <v>111</v>
      </c>
      <c r="B63">
        <v>3.5</v>
      </c>
      <c r="C63" t="s">
        <v>4</v>
      </c>
    </row>
    <row r="64" spans="1:23" hidden="1" x14ac:dyDescent="0.25">
      <c r="A64" t="s">
        <v>112</v>
      </c>
      <c r="B64">
        <v>3</v>
      </c>
      <c r="C64" t="s">
        <v>4</v>
      </c>
    </row>
    <row r="65" spans="1:3" hidden="1" x14ac:dyDescent="0.25">
      <c r="A65" t="s">
        <v>113</v>
      </c>
      <c r="B65">
        <f>B64*2+B63</f>
        <v>9.5</v>
      </c>
      <c r="C65" t="s">
        <v>4</v>
      </c>
    </row>
    <row r="66" spans="1:3" hidden="1" x14ac:dyDescent="0.25">
      <c r="A66" s="28" t="s">
        <v>117</v>
      </c>
      <c r="B66">
        <v>6.0000000000000001E-3</v>
      </c>
      <c r="C66" t="s">
        <v>4</v>
      </c>
    </row>
    <row r="67" spans="1:3" hidden="1" x14ac:dyDescent="0.25">
      <c r="A67" s="28" t="s">
        <v>148</v>
      </c>
      <c r="B67">
        <v>0.2</v>
      </c>
      <c r="C67" t="s">
        <v>4</v>
      </c>
    </row>
    <row r="68" spans="1:3" hidden="1" x14ac:dyDescent="0.25">
      <c r="A68" s="28" t="s">
        <v>116</v>
      </c>
      <c r="B68">
        <f>B67^2-(B67-B66)^2</f>
        <v>2.364000000000005E-3</v>
      </c>
      <c r="C68" t="s">
        <v>10</v>
      </c>
    </row>
    <row r="69" spans="1:3" hidden="1" x14ac:dyDescent="0.25">
      <c r="A69" s="28" t="s">
        <v>114</v>
      </c>
      <c r="B69">
        <f>B68*B65</f>
        <v>2.2458000000000047E-2</v>
      </c>
      <c r="C69" t="s">
        <v>101</v>
      </c>
    </row>
    <row r="70" spans="1:3" hidden="1" x14ac:dyDescent="0.25">
      <c r="A70" t="s">
        <v>119</v>
      </c>
    </row>
    <row r="71" spans="1:3" hidden="1" x14ac:dyDescent="0.25">
      <c r="A71" s="28" t="s">
        <v>120</v>
      </c>
      <c r="B71">
        <v>0.15</v>
      </c>
      <c r="C71" t="s">
        <v>4</v>
      </c>
    </row>
    <row r="72" spans="1:3" hidden="1" x14ac:dyDescent="0.25">
      <c r="A72" s="28" t="s">
        <v>121</v>
      </c>
      <c r="B72">
        <f>B63/B71*B64+2*B63</f>
        <v>77</v>
      </c>
      <c r="C72" t="s">
        <v>4</v>
      </c>
    </row>
    <row r="73" spans="1:3" hidden="1" x14ac:dyDescent="0.25">
      <c r="A73" s="28" t="s">
        <v>117</v>
      </c>
      <c r="B73">
        <v>5.0000000000000001E-3</v>
      </c>
      <c r="C73" t="s">
        <v>4</v>
      </c>
    </row>
    <row r="74" spans="1:3" hidden="1" x14ac:dyDescent="0.25">
      <c r="A74" s="28" t="s">
        <v>118</v>
      </c>
      <c r="B74">
        <v>0.06</v>
      </c>
      <c r="C74" t="s">
        <v>4</v>
      </c>
    </row>
    <row r="75" spans="1:3" hidden="1" x14ac:dyDescent="0.25">
      <c r="A75" s="28" t="s">
        <v>116</v>
      </c>
      <c r="B75">
        <f>B74^2-(B74-B73)^2</f>
        <v>5.7499999999999999E-4</v>
      </c>
      <c r="C75" t="s">
        <v>10</v>
      </c>
    </row>
    <row r="76" spans="1:3" hidden="1" x14ac:dyDescent="0.25">
      <c r="A76" s="28" t="s">
        <v>114</v>
      </c>
      <c r="B76">
        <f>B75*B72</f>
        <v>4.4275000000000002E-2</v>
      </c>
      <c r="C76" t="s">
        <v>101</v>
      </c>
    </row>
    <row r="77" spans="1:3" hidden="1" x14ac:dyDescent="0.25">
      <c r="A77" t="s">
        <v>122</v>
      </c>
      <c r="B77">
        <f>B76*B69*B62</f>
        <v>2.9829838500000068E-3</v>
      </c>
      <c r="C77" t="s">
        <v>101</v>
      </c>
    </row>
    <row r="78" spans="1:3" hidden="1" x14ac:dyDescent="0.25">
      <c r="A78" t="s">
        <v>123</v>
      </c>
      <c r="B78">
        <f>B77*7850</f>
        <v>23.416423222500054</v>
      </c>
      <c r="C78" t="s">
        <v>12</v>
      </c>
    </row>
  </sheetData>
  <sheetProtection algorithmName="SHA-512" hashValue="gm6xviAitN8v2thB0i0pGN1s57x5CH6CIT6GvkpXz5KMzmbemubTcvPaazqQOW3J0cc1e3/azRmG2ShmzVMgLw==" saltValue="qM5yhL9ok/DUsh2F9WbQKA==" spinCount="100000" sheet="1" objects="1" scenarios="1"/>
  <hyperlinks>
    <hyperlink ref="D55" r:id="rId1" xr:uid="{B75C0078-56E4-4E52-8AD8-F8B249B00C04}"/>
    <hyperlink ref="D20" r:id="rId2" xr:uid="{F2C08894-9309-4835-9B26-7C3E79D27017}"/>
    <hyperlink ref="D33" r:id="rId3" xr:uid="{E511886F-0B5F-42C5-9A27-C52FCC52724C}"/>
  </hyperlinks>
  <pageMargins left="0.7" right="0.7" top="0.75" bottom="0.75" header="0.3" footer="0.3"/>
  <drawing r:id="rId4"/>
  <legacyDrawing r:id="rId5"/>
  <controls>
    <mc:AlternateContent xmlns:mc="http://schemas.openxmlformats.org/markup-compatibility/2006">
      <mc:Choice Requires="x14">
        <control shapeId="2049" r:id="rId6" name="Control 1">
          <controlPr defaultSize="0" r:id="rId7">
            <anchor moveWithCells="1">
              <from>
                <xdr:col>5</xdr:col>
                <xdr:colOff>0</xdr:colOff>
                <xdr:row>46</xdr:row>
                <xdr:rowOff>152400</xdr:rowOff>
              </from>
              <to>
                <xdr:col>5</xdr:col>
                <xdr:colOff>333375</xdr:colOff>
                <xdr:row>48</xdr:row>
                <xdr:rowOff>114300</xdr:rowOff>
              </to>
            </anchor>
          </controlPr>
        </control>
      </mc:Choice>
      <mc:Fallback>
        <control shapeId="2049" r:id="rId6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131FC-C58E-4F77-A30E-3270809CB59D}">
  <dimension ref="A1:L17"/>
  <sheetViews>
    <sheetView workbookViewId="0">
      <selection activeCell="D7" sqref="D7"/>
    </sheetView>
  </sheetViews>
  <sheetFormatPr defaultRowHeight="15" x14ac:dyDescent="0.25"/>
  <cols>
    <col min="1" max="1" width="10" customWidth="1"/>
    <col min="4" max="4" width="58.85546875" bestFit="1" customWidth="1"/>
    <col min="7" max="7" width="52.140625" customWidth="1"/>
  </cols>
  <sheetData>
    <row r="1" spans="1:12" ht="18.75" x14ac:dyDescent="0.3">
      <c r="A1" s="30" t="s">
        <v>236</v>
      </c>
    </row>
    <row r="2" spans="1:12" x14ac:dyDescent="0.25">
      <c r="A2" s="28" t="s">
        <v>167</v>
      </c>
    </row>
    <row r="3" spans="1:12" x14ac:dyDescent="0.25">
      <c r="A3" s="23"/>
    </row>
    <row r="5" spans="1:12" x14ac:dyDescent="0.25">
      <c r="A5" s="23" t="s">
        <v>206</v>
      </c>
      <c r="B5" s="23" t="s">
        <v>52</v>
      </c>
      <c r="C5" s="23" t="s">
        <v>50</v>
      </c>
      <c r="D5" s="23" t="s">
        <v>207</v>
      </c>
      <c r="E5" s="23" t="s">
        <v>50</v>
      </c>
      <c r="F5" s="23" t="s">
        <v>176</v>
      </c>
      <c r="G5" s="23" t="s">
        <v>208</v>
      </c>
      <c r="H5" s="23" t="s">
        <v>52</v>
      </c>
      <c r="I5" s="23"/>
      <c r="J5" s="23" t="s">
        <v>126</v>
      </c>
      <c r="K5" s="23" t="s">
        <v>105</v>
      </c>
    </row>
    <row r="6" spans="1:12" x14ac:dyDescent="0.25">
      <c r="A6" t="s">
        <v>209</v>
      </c>
      <c r="B6">
        <v>4.5</v>
      </c>
      <c r="C6" t="s">
        <v>196</v>
      </c>
      <c r="H6" s="41">
        <f>B6</f>
        <v>4.5</v>
      </c>
      <c r="I6" t="s">
        <v>196</v>
      </c>
      <c r="K6" t="s">
        <v>210</v>
      </c>
    </row>
    <row r="7" spans="1:12" x14ac:dyDescent="0.25">
      <c r="D7" t="s">
        <v>211</v>
      </c>
      <c r="E7" t="s">
        <v>12</v>
      </c>
      <c r="F7" s="41">
        <v>3.0150078703731001E-3</v>
      </c>
      <c r="G7" s="41" t="s">
        <v>231</v>
      </c>
      <c r="H7" s="44">
        <v>0.5</v>
      </c>
      <c r="J7" s="45">
        <f>$H$6*H7*F7</f>
        <v>6.7837677083394752E-3</v>
      </c>
      <c r="K7" t="s">
        <v>212</v>
      </c>
    </row>
    <row r="8" spans="1:12" x14ac:dyDescent="0.25">
      <c r="D8" t="s">
        <v>213</v>
      </c>
      <c r="E8" t="s">
        <v>12</v>
      </c>
      <c r="F8" s="41">
        <v>0.56965647320738999</v>
      </c>
      <c r="G8" s="41" t="s">
        <v>232</v>
      </c>
      <c r="H8" s="44">
        <v>0</v>
      </c>
      <c r="J8" s="45">
        <f t="shared" ref="J8:J10" si="0">$H$6*H8*F8</f>
        <v>0</v>
      </c>
      <c r="K8" t="s">
        <v>214</v>
      </c>
    </row>
    <row r="9" spans="1:12" x14ac:dyDescent="0.25">
      <c r="D9" t="s">
        <v>215</v>
      </c>
      <c r="E9" t="s">
        <v>12</v>
      </c>
      <c r="F9" s="41">
        <v>0.13131951055863</v>
      </c>
      <c r="G9" s="41" t="s">
        <v>224</v>
      </c>
      <c r="H9" s="44">
        <v>0.4</v>
      </c>
      <c r="J9" s="45">
        <f t="shared" si="0"/>
        <v>0.23637511900553401</v>
      </c>
      <c r="K9" t="s">
        <v>216</v>
      </c>
    </row>
    <row r="10" spans="1:12" x14ac:dyDescent="0.25">
      <c r="D10" t="s">
        <v>217</v>
      </c>
      <c r="E10" t="s">
        <v>12</v>
      </c>
      <c r="F10" s="41">
        <v>1.1105195976048999E-3</v>
      </c>
      <c r="G10" s="41" t="s">
        <v>233</v>
      </c>
      <c r="H10" s="44">
        <v>0.1</v>
      </c>
      <c r="J10" s="45">
        <f t="shared" si="0"/>
        <v>4.9973381892220504E-4</v>
      </c>
      <c r="K10" t="s">
        <v>218</v>
      </c>
    </row>
    <row r="11" spans="1:12" x14ac:dyDescent="0.25">
      <c r="D11" t="s">
        <v>219</v>
      </c>
      <c r="E11" t="s">
        <v>220</v>
      </c>
      <c r="F11" s="38" t="s">
        <v>238</v>
      </c>
      <c r="G11" s="42" t="s">
        <v>221</v>
      </c>
      <c r="J11" s="45"/>
      <c r="K11" s="26"/>
    </row>
    <row r="12" spans="1:12" x14ac:dyDescent="0.25">
      <c r="A12" t="s">
        <v>222</v>
      </c>
      <c r="B12">
        <f>0.0375</f>
        <v>3.7499999999999999E-2</v>
      </c>
      <c r="C12" t="s">
        <v>223</v>
      </c>
      <c r="D12" t="s">
        <v>224</v>
      </c>
      <c r="E12" t="s">
        <v>101</v>
      </c>
      <c r="F12" s="41">
        <v>35.295000000000002</v>
      </c>
      <c r="G12" s="41" t="s">
        <v>234</v>
      </c>
      <c r="H12" s="41">
        <f>1/1.3*B12</f>
        <v>2.8846153846153841E-2</v>
      </c>
      <c r="I12" t="s">
        <v>223</v>
      </c>
      <c r="J12" s="45">
        <f>F12*H12</f>
        <v>1.0181249999999999</v>
      </c>
      <c r="K12" t="s">
        <v>225</v>
      </c>
    </row>
    <row r="13" spans="1:12" x14ac:dyDescent="0.25">
      <c r="A13" t="s">
        <v>226</v>
      </c>
      <c r="B13">
        <f>1/10</f>
        <v>0.1</v>
      </c>
      <c r="C13" t="s">
        <v>227</v>
      </c>
      <c r="D13" t="s">
        <v>228</v>
      </c>
      <c r="E13" t="s">
        <v>229</v>
      </c>
      <c r="F13" s="41">
        <v>0.48</v>
      </c>
      <c r="G13" s="41" t="s">
        <v>235</v>
      </c>
      <c r="H13" s="41">
        <f>B13</f>
        <v>0.1</v>
      </c>
      <c r="I13" t="s">
        <v>227</v>
      </c>
      <c r="J13" s="45">
        <f>F13*H13</f>
        <v>4.8000000000000001E-2</v>
      </c>
      <c r="K13" t="s">
        <v>230</v>
      </c>
    </row>
    <row r="14" spans="1:12" x14ac:dyDescent="0.25">
      <c r="F14" s="41"/>
      <c r="G14" s="41"/>
      <c r="H14" s="41"/>
      <c r="J14" s="45"/>
      <c r="K14" s="41"/>
    </row>
    <row r="15" spans="1:12" x14ac:dyDescent="0.25">
      <c r="A15" s="23" t="s">
        <v>81</v>
      </c>
      <c r="B15" s="23"/>
      <c r="C15" s="23"/>
      <c r="D15" s="23"/>
      <c r="E15" s="23"/>
      <c r="F15" s="43"/>
      <c r="G15" s="43"/>
      <c r="H15" s="23"/>
      <c r="I15" s="23"/>
      <c r="J15" s="46">
        <f>SUM(J7:J14)</f>
        <v>1.3097836205327957</v>
      </c>
      <c r="K15" s="43" t="s">
        <v>237</v>
      </c>
      <c r="L15" s="23"/>
    </row>
    <row r="17" spans="2:2" x14ac:dyDescent="0.25">
      <c r="B17" s="41"/>
    </row>
  </sheetData>
  <sheetProtection algorithmName="SHA-512" hashValue="ukElCo3iMyn/W7GKD8QsMvLfQuHmfFMIM7V8pR5aCxmei2fd+6N4zd7+wMuijfD40EpNytENXZmDX3lz0pmDTg==" saltValue="SkWRS+dB4ozDAKbiiEMD8Q==" spinCount="100000" sheet="1" objects="1" scenarios="1" formatCells="0" formatColumns="0" formatRow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F5E6-A6FE-4772-B9EF-8FF1A9E5EB3D}">
  <dimension ref="A1:L46"/>
  <sheetViews>
    <sheetView zoomScaleNormal="100" workbookViewId="0">
      <selection activeCell="N19" sqref="N19"/>
    </sheetView>
  </sheetViews>
  <sheetFormatPr defaultRowHeight="15" x14ac:dyDescent="0.25"/>
  <cols>
    <col min="1" max="1" width="17.85546875" customWidth="1"/>
    <col min="2" max="2" width="22.28515625" bestFit="1" customWidth="1"/>
    <col min="3" max="3" width="31" customWidth="1"/>
    <col min="4" max="4" width="42.5703125" customWidth="1"/>
    <col min="5" max="5" width="8.28515625" customWidth="1"/>
    <col min="11" max="11" width="8.85546875"/>
    <col min="12" max="12" width="8.85546875" style="6"/>
  </cols>
  <sheetData>
    <row r="1" spans="1:12" ht="18.75" x14ac:dyDescent="0.3">
      <c r="A1" s="30" t="s">
        <v>160</v>
      </c>
    </row>
    <row r="3" spans="1:12" x14ac:dyDescent="0.25">
      <c r="A3" t="s">
        <v>83</v>
      </c>
      <c r="B3">
        <v>50</v>
      </c>
      <c r="C3" t="s">
        <v>84</v>
      </c>
    </row>
    <row r="5" spans="1:12" ht="54" x14ac:dyDescent="0.25">
      <c r="A5" s="1" t="s">
        <v>45</v>
      </c>
      <c r="B5" s="1" t="s">
        <v>46</v>
      </c>
      <c r="C5" s="1" t="s">
        <v>161</v>
      </c>
      <c r="D5" s="1" t="s">
        <v>159</v>
      </c>
      <c r="E5" s="1" t="s">
        <v>51</v>
      </c>
      <c r="F5" s="2" t="s">
        <v>50</v>
      </c>
      <c r="G5" s="3" t="s">
        <v>52</v>
      </c>
      <c r="H5" s="3" t="s">
        <v>53</v>
      </c>
      <c r="I5" s="3" t="s">
        <v>82</v>
      </c>
      <c r="J5" s="3" t="s">
        <v>54</v>
      </c>
      <c r="K5" s="52" t="s">
        <v>0</v>
      </c>
      <c r="L5" s="10" t="s">
        <v>158</v>
      </c>
    </row>
    <row r="6" spans="1:12" x14ac:dyDescent="0.25">
      <c r="A6" s="14" t="s">
        <v>1</v>
      </c>
      <c r="B6" s="14" t="s">
        <v>2</v>
      </c>
      <c r="C6" s="14" t="s">
        <v>57</v>
      </c>
      <c r="D6" s="14" t="s">
        <v>3</v>
      </c>
      <c r="E6" s="14" t="s">
        <v>47</v>
      </c>
      <c r="F6" s="15" t="s">
        <v>4</v>
      </c>
      <c r="G6" s="16">
        <v>30</v>
      </c>
      <c r="H6" s="17">
        <v>6.1232632824197326</v>
      </c>
      <c r="I6" s="24">
        <v>50</v>
      </c>
      <c r="J6" s="16">
        <f t="shared" ref="J6:J43" si="0">G6*H6*IF(I6&lt;$B$3,$B$3/I6,1)</f>
        <v>183.69789847259199</v>
      </c>
      <c r="K6" s="18">
        <f t="shared" ref="K6:K16" si="1">J6/$J$45</f>
        <v>2.4548566950317323E-3</v>
      </c>
      <c r="L6" s="11"/>
    </row>
    <row r="7" spans="1:12" x14ac:dyDescent="0.25">
      <c r="A7" s="14" t="s">
        <v>1</v>
      </c>
      <c r="B7" s="14" t="s">
        <v>5</v>
      </c>
      <c r="C7" s="14" t="s">
        <v>58</v>
      </c>
      <c r="D7" s="14" t="s">
        <v>6</v>
      </c>
      <c r="E7" s="14" t="s">
        <v>48</v>
      </c>
      <c r="F7" s="15" t="s">
        <v>4</v>
      </c>
      <c r="G7" s="16">
        <v>7</v>
      </c>
      <c r="H7" s="17">
        <v>54.27</v>
      </c>
      <c r="I7" s="16">
        <v>100</v>
      </c>
      <c r="J7" s="16">
        <f t="shared" si="0"/>
        <v>379.89000000000004</v>
      </c>
      <c r="K7" s="18">
        <f t="shared" si="1"/>
        <v>5.0766803410913627E-3</v>
      </c>
      <c r="L7" s="11"/>
    </row>
    <row r="8" spans="1:12" x14ac:dyDescent="0.25">
      <c r="A8" s="14" t="s">
        <v>7</v>
      </c>
      <c r="B8" s="14" t="s">
        <v>8</v>
      </c>
      <c r="C8" s="14" t="s">
        <v>62</v>
      </c>
      <c r="D8" s="14" t="s">
        <v>11</v>
      </c>
      <c r="E8" s="14" t="s">
        <v>48</v>
      </c>
      <c r="F8" s="15" t="s">
        <v>12</v>
      </c>
      <c r="G8" s="16">
        <v>67</v>
      </c>
      <c r="H8" s="17">
        <v>1.1675077728601373</v>
      </c>
      <c r="I8" s="24">
        <v>50</v>
      </c>
      <c r="J8" s="16">
        <f t="shared" si="0"/>
        <v>78.223020781629202</v>
      </c>
      <c r="K8" s="18">
        <f t="shared" si="1"/>
        <v>1.0453375235538658E-3</v>
      </c>
      <c r="L8" s="11"/>
    </row>
    <row r="9" spans="1:12" x14ac:dyDescent="0.25">
      <c r="A9" s="14" t="s">
        <v>7</v>
      </c>
      <c r="B9" s="14" t="s">
        <v>8</v>
      </c>
      <c r="C9" s="14" t="s">
        <v>61</v>
      </c>
      <c r="D9" s="14" t="s">
        <v>9</v>
      </c>
      <c r="E9" s="14" t="s">
        <v>49</v>
      </c>
      <c r="F9" s="15" t="s">
        <v>10</v>
      </c>
      <c r="G9" s="16">
        <v>77</v>
      </c>
      <c r="H9" s="17">
        <v>2.8821169402117661</v>
      </c>
      <c r="I9" s="24">
        <v>50</v>
      </c>
      <c r="J9" s="16">
        <f t="shared" si="0"/>
        <v>221.923004396306</v>
      </c>
      <c r="K9" s="18">
        <f t="shared" si="1"/>
        <v>2.9656799432853159E-3</v>
      </c>
      <c r="L9" s="11"/>
    </row>
    <row r="10" spans="1:12" x14ac:dyDescent="0.25">
      <c r="A10" s="14" t="s">
        <v>7</v>
      </c>
      <c r="B10" s="14" t="s">
        <v>8</v>
      </c>
      <c r="C10" s="14" t="s">
        <v>60</v>
      </c>
      <c r="D10" s="14" t="s">
        <v>13</v>
      </c>
      <c r="E10" s="14" t="s">
        <v>48</v>
      </c>
      <c r="F10" s="15" t="s">
        <v>4</v>
      </c>
      <c r="G10" s="16">
        <v>350</v>
      </c>
      <c r="H10" s="17">
        <v>1.2378463404556399</v>
      </c>
      <c r="I10" s="24">
        <v>50</v>
      </c>
      <c r="J10" s="16">
        <f t="shared" si="0"/>
        <v>433.24621915947398</v>
      </c>
      <c r="K10" s="18">
        <f t="shared" si="1"/>
        <v>5.7897090306643015E-3</v>
      </c>
      <c r="L10" s="11"/>
    </row>
    <row r="11" spans="1:12" x14ac:dyDescent="0.25">
      <c r="A11" s="4" t="s">
        <v>7</v>
      </c>
      <c r="B11" s="4" t="s">
        <v>8</v>
      </c>
      <c r="C11" s="13" t="s">
        <v>63</v>
      </c>
      <c r="D11" s="4" t="s">
        <v>34</v>
      </c>
      <c r="E11" s="4" t="s">
        <v>48</v>
      </c>
      <c r="F11" s="15" t="s">
        <v>10</v>
      </c>
      <c r="G11" s="5">
        <v>129</v>
      </c>
      <c r="H11" s="17">
        <v>4.9661195378579377</v>
      </c>
      <c r="I11" s="24">
        <v>50</v>
      </c>
      <c r="J11" s="16">
        <f t="shared" si="0"/>
        <v>640.62942038367396</v>
      </c>
      <c r="K11" s="21">
        <f t="shared" si="1"/>
        <v>8.5610855363040667E-3</v>
      </c>
      <c r="L11" s="11"/>
    </row>
    <row r="12" spans="1:12" x14ac:dyDescent="0.25">
      <c r="A12" s="14" t="s">
        <v>7</v>
      </c>
      <c r="B12" s="14" t="s">
        <v>8</v>
      </c>
      <c r="C12" s="14" t="s">
        <v>169</v>
      </c>
      <c r="D12" s="14" t="s">
        <v>147</v>
      </c>
      <c r="E12" s="14" t="s">
        <v>48</v>
      </c>
      <c r="F12" s="15" t="s">
        <v>10</v>
      </c>
      <c r="G12" s="16">
        <v>639.74</v>
      </c>
      <c r="H12" s="31">
        <f>Achtergrondberekeningen!B30</f>
        <v>3.203719134199138</v>
      </c>
      <c r="I12" s="16">
        <v>50</v>
      </c>
      <c r="J12" s="16">
        <f t="shared" si="0"/>
        <v>2049.5472789125565</v>
      </c>
      <c r="K12" s="53">
        <f t="shared" si="1"/>
        <v>2.7389234723190058E-2</v>
      </c>
      <c r="L12" s="11" t="s">
        <v>55</v>
      </c>
    </row>
    <row r="13" spans="1:12" x14ac:dyDescent="0.25">
      <c r="A13" s="14" t="s">
        <v>7</v>
      </c>
      <c r="B13" s="14" t="s">
        <v>8</v>
      </c>
      <c r="C13" s="14" t="s">
        <v>150</v>
      </c>
      <c r="D13" s="14" t="s">
        <v>168</v>
      </c>
      <c r="E13" s="14" t="s">
        <v>48</v>
      </c>
      <c r="F13" s="15" t="s">
        <v>10</v>
      </c>
      <c r="G13" s="16">
        <v>771.14</v>
      </c>
      <c r="H13" s="31">
        <f>Achtergrondberekeningen!B36</f>
        <v>3.7826986000000002</v>
      </c>
      <c r="I13" s="16">
        <v>50</v>
      </c>
      <c r="J13" s="16">
        <f t="shared" si="0"/>
        <v>2916.9901984040002</v>
      </c>
      <c r="K13" s="53">
        <f t="shared" si="1"/>
        <v>3.8981354590522994E-2</v>
      </c>
      <c r="L13" s="6" t="s">
        <v>55</v>
      </c>
    </row>
    <row r="14" spans="1:12" x14ac:dyDescent="0.25">
      <c r="A14" s="14" t="s">
        <v>7</v>
      </c>
      <c r="B14" s="14" t="s">
        <v>14</v>
      </c>
      <c r="C14" s="14" t="s">
        <v>59</v>
      </c>
      <c r="D14" s="14" t="s">
        <v>15</v>
      </c>
      <c r="E14" s="14" t="s">
        <v>47</v>
      </c>
      <c r="F14" s="15" t="s">
        <v>10</v>
      </c>
      <c r="G14" s="16">
        <v>33</v>
      </c>
      <c r="H14" s="17">
        <v>3.5053373343089396</v>
      </c>
      <c r="I14" s="24">
        <v>50</v>
      </c>
      <c r="J14" s="16">
        <f t="shared" si="0"/>
        <v>115.676132032195</v>
      </c>
      <c r="K14" s="18">
        <f t="shared" si="1"/>
        <v>1.545844179687102E-3</v>
      </c>
      <c r="L14" s="11"/>
    </row>
    <row r="15" spans="1:12" x14ac:dyDescent="0.25">
      <c r="A15" s="14" t="s">
        <v>7</v>
      </c>
      <c r="B15" s="14" t="s">
        <v>14</v>
      </c>
      <c r="C15" s="14" t="s">
        <v>64</v>
      </c>
      <c r="D15" s="14" t="s">
        <v>16</v>
      </c>
      <c r="E15" s="14" t="s">
        <v>47</v>
      </c>
      <c r="F15" s="15" t="s">
        <v>10</v>
      </c>
      <c r="G15" s="16">
        <v>2239</v>
      </c>
      <c r="H15" s="31">
        <v>5.2144899475187172</v>
      </c>
      <c r="I15" s="16">
        <v>100</v>
      </c>
      <c r="J15" s="16">
        <f t="shared" si="0"/>
        <v>11675.242992494408</v>
      </c>
      <c r="K15" s="53">
        <f t="shared" si="1"/>
        <v>0.1560227344164391</v>
      </c>
      <c r="L15" s="11" t="s">
        <v>55</v>
      </c>
    </row>
    <row r="16" spans="1:12" x14ac:dyDescent="0.25">
      <c r="A16" s="14" t="s">
        <v>7</v>
      </c>
      <c r="B16" s="14" t="s">
        <v>14</v>
      </c>
      <c r="C16" s="14" t="s">
        <v>103</v>
      </c>
      <c r="D16" s="14" t="s">
        <v>15</v>
      </c>
      <c r="E16" s="14" t="s">
        <v>47</v>
      </c>
      <c r="F16" s="15" t="s">
        <v>10</v>
      </c>
      <c r="G16" s="16">
        <f>14.7+18.62</f>
        <v>33.32</v>
      </c>
      <c r="H16" s="17">
        <v>3.51</v>
      </c>
      <c r="I16" s="16">
        <v>100</v>
      </c>
      <c r="J16" s="16">
        <f t="shared" si="0"/>
        <v>116.9532</v>
      </c>
      <c r="K16" s="18">
        <f t="shared" si="1"/>
        <v>1.5629103458046443E-3</v>
      </c>
      <c r="L16" s="11"/>
    </row>
    <row r="17" spans="1:12" x14ac:dyDescent="0.25">
      <c r="A17" s="14" t="s">
        <v>7</v>
      </c>
      <c r="B17" s="14" t="s">
        <v>17</v>
      </c>
      <c r="C17" s="14" t="s">
        <v>80</v>
      </c>
      <c r="D17" s="19"/>
      <c r="E17" s="14" t="s">
        <v>48</v>
      </c>
      <c r="F17" s="15" t="s">
        <v>79</v>
      </c>
      <c r="G17" s="16">
        <v>18</v>
      </c>
      <c r="H17" s="17"/>
      <c r="I17" s="16">
        <v>100</v>
      </c>
      <c r="J17" s="16">
        <f t="shared" si="0"/>
        <v>0</v>
      </c>
      <c r="K17" s="20"/>
      <c r="L17" s="11"/>
    </row>
    <row r="18" spans="1:12" x14ac:dyDescent="0.25">
      <c r="A18" s="14" t="s">
        <v>7</v>
      </c>
      <c r="B18" s="14" t="s">
        <v>17</v>
      </c>
      <c r="C18" s="14" t="s">
        <v>170</v>
      </c>
      <c r="D18" s="14" t="s">
        <v>16</v>
      </c>
      <c r="E18" s="14" t="s">
        <v>47</v>
      </c>
      <c r="F18" s="15" t="s">
        <v>10</v>
      </c>
      <c r="G18" s="16">
        <f>115.87+93.09+91.55+93.23</f>
        <v>393.74</v>
      </c>
      <c r="H18" s="31">
        <v>5.2144899475187172</v>
      </c>
      <c r="I18" s="16">
        <v>100</v>
      </c>
      <c r="J18" s="16">
        <f t="shared" si="0"/>
        <v>2053.1532719360198</v>
      </c>
      <c r="K18" s="53">
        <f t="shared" ref="K18:K43" si="2">J18/$J$45</f>
        <v>2.7437423603898496E-2</v>
      </c>
      <c r="L18" s="11" t="s">
        <v>55</v>
      </c>
    </row>
    <row r="19" spans="1:12" x14ac:dyDescent="0.25">
      <c r="A19" s="14" t="s">
        <v>7</v>
      </c>
      <c r="B19" s="14" t="s">
        <v>17</v>
      </c>
      <c r="C19" s="14" t="s">
        <v>65</v>
      </c>
      <c r="D19" s="14" t="s">
        <v>102</v>
      </c>
      <c r="E19" s="14" t="s">
        <v>48</v>
      </c>
      <c r="F19" s="15" t="s">
        <v>10</v>
      </c>
      <c r="G19" s="16">
        <f>Achtergrondberekeningen!B59</f>
        <v>1.1483999999999999</v>
      </c>
      <c r="H19" s="17">
        <v>29.71</v>
      </c>
      <c r="I19" s="16">
        <v>100</v>
      </c>
      <c r="J19" s="16">
        <f t="shared" si="0"/>
        <v>34.118963999999998</v>
      </c>
      <c r="K19" s="22">
        <f t="shared" si="2"/>
        <v>4.5595060095607651E-4</v>
      </c>
      <c r="L19" s="11"/>
    </row>
    <row r="20" spans="1:12" x14ac:dyDescent="0.25">
      <c r="A20" s="14" t="s">
        <v>7</v>
      </c>
      <c r="B20" s="14" t="s">
        <v>18</v>
      </c>
      <c r="C20" s="14" t="s">
        <v>66</v>
      </c>
      <c r="D20" s="14" t="s">
        <v>19</v>
      </c>
      <c r="E20" s="14" t="s">
        <v>47</v>
      </c>
      <c r="F20" s="15" t="s">
        <v>10</v>
      </c>
      <c r="G20" s="16">
        <v>60</v>
      </c>
      <c r="H20" s="17">
        <v>4.9137583992999332</v>
      </c>
      <c r="I20" s="16">
        <v>50</v>
      </c>
      <c r="J20" s="16">
        <f t="shared" si="0"/>
        <v>294.82550395799598</v>
      </c>
      <c r="K20" s="18">
        <f t="shared" si="2"/>
        <v>3.9399163968409584E-3</v>
      </c>
      <c r="L20" s="11"/>
    </row>
    <row r="21" spans="1:12" x14ac:dyDescent="0.25">
      <c r="A21" s="14" t="s">
        <v>7</v>
      </c>
      <c r="B21" s="14" t="s">
        <v>18</v>
      </c>
      <c r="C21" s="14" t="s">
        <v>67</v>
      </c>
      <c r="D21" s="14" t="s">
        <v>20</v>
      </c>
      <c r="E21" s="14" t="s">
        <v>48</v>
      </c>
      <c r="F21" s="15" t="s">
        <v>4</v>
      </c>
      <c r="G21" s="16">
        <v>60</v>
      </c>
      <c r="H21" s="17">
        <v>6.9685391548285001</v>
      </c>
      <c r="I21" s="16">
        <v>50</v>
      </c>
      <c r="J21" s="16">
        <f t="shared" si="0"/>
        <v>418.11234928970998</v>
      </c>
      <c r="K21" s="18">
        <f t="shared" si="2"/>
        <v>5.5874667509189391E-3</v>
      </c>
      <c r="L21" s="11"/>
    </row>
    <row r="22" spans="1:12" x14ac:dyDescent="0.25">
      <c r="A22" s="14" t="s">
        <v>7</v>
      </c>
      <c r="B22" s="14" t="s">
        <v>21</v>
      </c>
      <c r="C22" s="14" t="s">
        <v>171</v>
      </c>
      <c r="D22" s="14" t="s">
        <v>85</v>
      </c>
      <c r="E22" s="14" t="s">
        <v>49</v>
      </c>
      <c r="F22" s="15" t="s">
        <v>12</v>
      </c>
      <c r="G22" s="16">
        <v>106290</v>
      </c>
      <c r="H22" s="31">
        <v>0.12</v>
      </c>
      <c r="I22" s="16">
        <v>100</v>
      </c>
      <c r="J22" s="16">
        <f t="shared" si="0"/>
        <v>12754.8</v>
      </c>
      <c r="K22" s="53">
        <f t="shared" si="2"/>
        <v>0.17044945224815633</v>
      </c>
      <c r="L22" s="11" t="s">
        <v>55</v>
      </c>
    </row>
    <row r="23" spans="1:12" x14ac:dyDescent="0.25">
      <c r="A23" s="14" t="s">
        <v>22</v>
      </c>
      <c r="B23" s="14" t="s">
        <v>23</v>
      </c>
      <c r="C23" s="14" t="s">
        <v>70</v>
      </c>
      <c r="D23" s="14" t="s">
        <v>26</v>
      </c>
      <c r="E23" s="14" t="s">
        <v>48</v>
      </c>
      <c r="F23" s="15" t="s">
        <v>10</v>
      </c>
      <c r="G23" s="16">
        <v>57</v>
      </c>
      <c r="H23" s="17">
        <v>0.47514053918102983</v>
      </c>
      <c r="I23" s="16">
        <v>50</v>
      </c>
      <c r="J23" s="16">
        <f t="shared" si="0"/>
        <v>27.083010733318702</v>
      </c>
      <c r="K23" s="18">
        <f t="shared" si="2"/>
        <v>3.6192526301667693E-4</v>
      </c>
      <c r="L23" s="11"/>
    </row>
    <row r="24" spans="1:12" x14ac:dyDescent="0.25">
      <c r="A24" s="14" t="s">
        <v>22</v>
      </c>
      <c r="B24" s="14" t="s">
        <v>23</v>
      </c>
      <c r="C24" s="14" t="s">
        <v>69</v>
      </c>
      <c r="D24" s="14" t="s">
        <v>25</v>
      </c>
      <c r="E24" s="14" t="s">
        <v>48</v>
      </c>
      <c r="F24" s="15" t="s">
        <v>10</v>
      </c>
      <c r="G24" s="16">
        <v>12</v>
      </c>
      <c r="H24" s="17">
        <v>6.8027061097039008</v>
      </c>
      <c r="I24" s="16">
        <v>50</v>
      </c>
      <c r="J24" s="16">
        <f t="shared" si="0"/>
        <v>81.632473316446806</v>
      </c>
      <c r="K24" s="18">
        <f t="shared" si="2"/>
        <v>1.0908999249263488E-3</v>
      </c>
      <c r="L24" s="11"/>
    </row>
    <row r="25" spans="1:12" x14ac:dyDescent="0.25">
      <c r="A25" s="14" t="s">
        <v>22</v>
      </c>
      <c r="B25" s="14" t="s">
        <v>23</v>
      </c>
      <c r="C25" s="14" t="s">
        <v>68</v>
      </c>
      <c r="D25" s="14" t="s">
        <v>24</v>
      </c>
      <c r="E25" s="14" t="s">
        <v>48</v>
      </c>
      <c r="F25" s="15" t="s">
        <v>4</v>
      </c>
      <c r="G25" s="16">
        <v>16</v>
      </c>
      <c r="H25" s="17">
        <v>7.4159243802602504</v>
      </c>
      <c r="I25" s="16">
        <v>50</v>
      </c>
      <c r="J25" s="16">
        <f t="shared" si="0"/>
        <v>118.65479008416401</v>
      </c>
      <c r="K25" s="18">
        <f t="shared" si="2"/>
        <v>1.585649635938292E-3</v>
      </c>
      <c r="L25" s="11"/>
    </row>
    <row r="26" spans="1:12" x14ac:dyDescent="0.25">
      <c r="A26" s="14" t="s">
        <v>22</v>
      </c>
      <c r="B26" s="14" t="s">
        <v>23</v>
      </c>
      <c r="C26" s="14" t="s">
        <v>106</v>
      </c>
      <c r="D26" s="27" t="s">
        <v>107</v>
      </c>
      <c r="E26" s="14" t="s">
        <v>49</v>
      </c>
      <c r="F26" s="15" t="s">
        <v>10</v>
      </c>
      <c r="G26" s="16">
        <f>33.55+11.19</f>
        <v>44.739999999999995</v>
      </c>
      <c r="H26" s="17">
        <v>4.8499999999999996</v>
      </c>
      <c r="I26" s="16">
        <v>75</v>
      </c>
      <c r="J26" s="16">
        <f t="shared" si="0"/>
        <v>216.98899999999995</v>
      </c>
      <c r="K26" s="20">
        <f t="shared" si="2"/>
        <v>2.8997441115403756E-3</v>
      </c>
      <c r="L26" s="11"/>
    </row>
    <row r="27" spans="1:12" x14ac:dyDescent="0.25">
      <c r="A27" s="14" t="s">
        <v>22</v>
      </c>
      <c r="B27" s="14" t="s">
        <v>23</v>
      </c>
      <c r="C27" s="14" t="s">
        <v>108</v>
      </c>
      <c r="D27" s="27" t="s">
        <v>107</v>
      </c>
      <c r="E27" s="14" t="s">
        <v>49</v>
      </c>
      <c r="F27" s="15" t="s">
        <v>10</v>
      </c>
      <c r="G27" s="16">
        <v>40.78</v>
      </c>
      <c r="H27" s="17">
        <v>4.8499999999999996</v>
      </c>
      <c r="I27" s="16">
        <v>75</v>
      </c>
      <c r="J27" s="16">
        <f t="shared" si="0"/>
        <v>197.78299999999999</v>
      </c>
      <c r="K27" s="20">
        <f t="shared" si="2"/>
        <v>2.6430837029194579E-3</v>
      </c>
      <c r="L27" s="11"/>
    </row>
    <row r="28" spans="1:12" x14ac:dyDescent="0.25">
      <c r="A28" s="14" t="s">
        <v>22</v>
      </c>
      <c r="B28" s="14" t="s">
        <v>28</v>
      </c>
      <c r="C28" s="14" t="s">
        <v>72</v>
      </c>
      <c r="D28" s="14" t="s">
        <v>29</v>
      </c>
      <c r="E28" s="14" t="s">
        <v>48</v>
      </c>
      <c r="F28" s="15" t="s">
        <v>10</v>
      </c>
      <c r="G28" s="16">
        <v>74</v>
      </c>
      <c r="H28" s="17">
        <v>6.9771993873800673</v>
      </c>
      <c r="I28" s="16">
        <v>50</v>
      </c>
      <c r="J28" s="16">
        <f t="shared" si="0"/>
        <v>516.31275466612499</v>
      </c>
      <c r="K28" s="18">
        <f t="shared" si="2"/>
        <v>6.8997731223992319E-3</v>
      </c>
      <c r="L28" s="11"/>
    </row>
    <row r="29" spans="1:12" x14ac:dyDescent="0.25">
      <c r="A29" s="4" t="s">
        <v>22</v>
      </c>
      <c r="B29" s="4" t="s">
        <v>28</v>
      </c>
      <c r="C29" s="14" t="s">
        <v>151</v>
      </c>
      <c r="D29" s="14" t="s">
        <v>27</v>
      </c>
      <c r="E29" s="14" t="s">
        <v>48</v>
      </c>
      <c r="F29" s="15" t="s">
        <v>10</v>
      </c>
      <c r="G29" s="16">
        <v>309.08</v>
      </c>
      <c r="H29" s="31">
        <v>7.27</v>
      </c>
      <c r="I29" s="16">
        <v>50</v>
      </c>
      <c r="J29" s="16">
        <f t="shared" si="0"/>
        <v>2247.0115999999998</v>
      </c>
      <c r="K29" s="53">
        <f t="shared" si="2"/>
        <v>3.0028059743410582E-2</v>
      </c>
      <c r="L29" s="11" t="s">
        <v>55</v>
      </c>
    </row>
    <row r="30" spans="1:12" x14ac:dyDescent="0.25">
      <c r="A30" s="4" t="s">
        <v>22</v>
      </c>
      <c r="B30" s="4" t="s">
        <v>28</v>
      </c>
      <c r="C30" s="14" t="s">
        <v>71</v>
      </c>
      <c r="D30" s="14" t="s">
        <v>85</v>
      </c>
      <c r="E30" s="4" t="s">
        <v>48</v>
      </c>
      <c r="F30" s="4" t="s">
        <v>4</v>
      </c>
      <c r="G30" s="16">
        <f>Achtergrondberekeningen!B78</f>
        <v>23.416423222500054</v>
      </c>
      <c r="H30" s="17">
        <v>0.12</v>
      </c>
      <c r="I30" s="16">
        <v>100</v>
      </c>
      <c r="J30" s="16">
        <f t="shared" si="0"/>
        <v>2.8099707867000063</v>
      </c>
      <c r="K30" s="22">
        <f t="shared" si="2"/>
        <v>3.7551194956121383E-5</v>
      </c>
      <c r="L30" s="11"/>
    </row>
    <row r="31" spans="1:12" x14ac:dyDescent="0.25">
      <c r="A31" s="14" t="s">
        <v>22</v>
      </c>
      <c r="B31" s="14" t="s">
        <v>30</v>
      </c>
      <c r="C31" s="14" t="s">
        <v>74</v>
      </c>
      <c r="D31" s="14" t="s">
        <v>147</v>
      </c>
      <c r="E31" s="14" t="s">
        <v>48</v>
      </c>
      <c r="F31" s="15" t="s">
        <v>4</v>
      </c>
      <c r="G31" s="16">
        <v>150</v>
      </c>
      <c r="H31" s="17"/>
      <c r="I31" s="16">
        <v>50</v>
      </c>
      <c r="J31" s="16">
        <f t="shared" si="0"/>
        <v>0</v>
      </c>
      <c r="K31" s="18">
        <f t="shared" si="2"/>
        <v>0</v>
      </c>
      <c r="L31" s="11"/>
    </row>
    <row r="32" spans="1:12" x14ac:dyDescent="0.25">
      <c r="A32" s="14" t="s">
        <v>22</v>
      </c>
      <c r="B32" s="14" t="s">
        <v>30</v>
      </c>
      <c r="C32" s="14" t="s">
        <v>104</v>
      </c>
      <c r="D32" s="14" t="s">
        <v>31</v>
      </c>
      <c r="E32" s="14" t="s">
        <v>48</v>
      </c>
      <c r="F32" s="15" t="s">
        <v>4</v>
      </c>
      <c r="G32" s="16">
        <v>241.26</v>
      </c>
      <c r="H32" s="31">
        <v>18.139442295534938</v>
      </c>
      <c r="I32" s="16">
        <v>44</v>
      </c>
      <c r="J32" s="16">
        <f t="shared" si="0"/>
        <v>4973.0930093417719</v>
      </c>
      <c r="K32" s="53">
        <f t="shared" si="2"/>
        <v>6.645819451668708E-2</v>
      </c>
      <c r="L32" s="11" t="s">
        <v>55</v>
      </c>
    </row>
    <row r="33" spans="1:12" x14ac:dyDescent="0.25">
      <c r="A33" s="14" t="s">
        <v>22</v>
      </c>
      <c r="B33" s="14" t="s">
        <v>32</v>
      </c>
      <c r="C33" s="14" t="s">
        <v>78</v>
      </c>
      <c r="D33" s="14" t="s">
        <v>33</v>
      </c>
      <c r="E33" s="14" t="s">
        <v>47</v>
      </c>
      <c r="F33" s="15" t="s">
        <v>10</v>
      </c>
      <c r="G33" s="16">
        <v>55</v>
      </c>
      <c r="H33" s="17">
        <v>3.9950068999728181</v>
      </c>
      <c r="I33" s="16">
        <v>50</v>
      </c>
      <c r="J33" s="16">
        <f t="shared" si="0"/>
        <v>219.72537949850499</v>
      </c>
      <c r="K33" s="18">
        <f t="shared" si="2"/>
        <v>2.9363118653791868E-3</v>
      </c>
      <c r="L33" s="11"/>
    </row>
    <row r="34" spans="1:12" x14ac:dyDescent="0.25">
      <c r="A34" s="14" t="s">
        <v>22</v>
      </c>
      <c r="B34" s="14" t="s">
        <v>32</v>
      </c>
      <c r="C34" s="14" t="s">
        <v>152</v>
      </c>
      <c r="D34" s="14" t="s">
        <v>154</v>
      </c>
      <c r="E34" s="14" t="s">
        <v>48</v>
      </c>
      <c r="F34" s="15" t="s">
        <v>4</v>
      </c>
      <c r="G34" s="16">
        <v>68</v>
      </c>
      <c r="H34" s="31">
        <v>1.89</v>
      </c>
      <c r="I34" s="16">
        <v>50</v>
      </c>
      <c r="J34" s="16">
        <f t="shared" si="0"/>
        <v>128.51999999999998</v>
      </c>
      <c r="K34" s="53">
        <f t="shared" si="2"/>
        <v>1.7174838964886198E-3</v>
      </c>
      <c r="L34" s="11" t="s">
        <v>55</v>
      </c>
    </row>
    <row r="35" spans="1:12" x14ac:dyDescent="0.25">
      <c r="A35" s="14" t="s">
        <v>22</v>
      </c>
      <c r="B35" s="14" t="s">
        <v>32</v>
      </c>
      <c r="C35" s="14" t="s">
        <v>153</v>
      </c>
      <c r="D35" s="14" t="s">
        <v>154</v>
      </c>
      <c r="E35" s="14" t="s">
        <v>48</v>
      </c>
      <c r="F35" s="15" t="s">
        <v>4</v>
      </c>
      <c r="G35" s="16">
        <v>352.47</v>
      </c>
      <c r="H35" s="31">
        <v>1.89</v>
      </c>
      <c r="I35" s="16">
        <v>50</v>
      </c>
      <c r="J35" s="16">
        <f t="shared" si="0"/>
        <v>666.16830000000004</v>
      </c>
      <c r="K35" s="53">
        <f t="shared" si="2"/>
        <v>8.9023757205197642E-3</v>
      </c>
      <c r="L35" s="11" t="s">
        <v>55</v>
      </c>
    </row>
    <row r="36" spans="1:12" x14ac:dyDescent="0.25">
      <c r="A36" s="4" t="s">
        <v>35</v>
      </c>
      <c r="B36" s="4" t="s">
        <v>36</v>
      </c>
      <c r="C36" s="14" t="s">
        <v>131</v>
      </c>
      <c r="D36" s="14" t="s">
        <v>132</v>
      </c>
      <c r="E36" s="4" t="s">
        <v>48</v>
      </c>
      <c r="F36" s="4" t="s">
        <v>10</v>
      </c>
      <c r="G36" s="16">
        <v>1492.86</v>
      </c>
      <c r="H36" s="31">
        <f>Achtergrondberekeningen!B17</f>
        <v>5.8859999999999992</v>
      </c>
      <c r="I36" s="16">
        <v>135</v>
      </c>
      <c r="J36" s="16">
        <f t="shared" si="0"/>
        <v>8786.9739599999975</v>
      </c>
      <c r="K36" s="53">
        <f t="shared" si="2"/>
        <v>0.1174251966632807</v>
      </c>
      <c r="L36" s="11" t="s">
        <v>55</v>
      </c>
    </row>
    <row r="37" spans="1:12" x14ac:dyDescent="0.25">
      <c r="A37" s="14" t="s">
        <v>35</v>
      </c>
      <c r="B37" s="14" t="s">
        <v>36</v>
      </c>
      <c r="C37" s="14" t="s">
        <v>155</v>
      </c>
      <c r="D37" s="14" t="s">
        <v>37</v>
      </c>
      <c r="E37" s="14" t="s">
        <v>48</v>
      </c>
      <c r="F37" s="15" t="s">
        <v>10</v>
      </c>
      <c r="G37" s="16">
        <v>101.96</v>
      </c>
      <c r="H37" s="31">
        <v>23.33</v>
      </c>
      <c r="I37" s="16">
        <v>50</v>
      </c>
      <c r="J37" s="16">
        <f t="shared" si="0"/>
        <v>2378.7267999999995</v>
      </c>
      <c r="K37" s="53">
        <f t="shared" si="2"/>
        <v>3.1788242866059024E-2</v>
      </c>
      <c r="L37" s="11" t="s">
        <v>55</v>
      </c>
    </row>
    <row r="38" spans="1:12" x14ac:dyDescent="0.25">
      <c r="A38" s="14" t="s">
        <v>35</v>
      </c>
      <c r="B38" s="14" t="s">
        <v>36</v>
      </c>
      <c r="C38" s="14" t="s">
        <v>156</v>
      </c>
      <c r="D38" s="14" t="s">
        <v>37</v>
      </c>
      <c r="E38" s="14" t="s">
        <v>48</v>
      </c>
      <c r="F38" s="15" t="s">
        <v>10</v>
      </c>
      <c r="G38" s="16">
        <f>67.73*0.125</f>
        <v>8.4662500000000005</v>
      </c>
      <c r="H38" s="17">
        <v>23.33</v>
      </c>
      <c r="I38" s="16">
        <v>50</v>
      </c>
      <c r="J38" s="16">
        <f t="shared" si="0"/>
        <v>197.51761249999998</v>
      </c>
      <c r="K38" s="18">
        <f t="shared" si="2"/>
        <v>2.6395371828635958E-3</v>
      </c>
      <c r="L38" s="11"/>
    </row>
    <row r="39" spans="1:12" x14ac:dyDescent="0.25">
      <c r="A39" s="14" t="s">
        <v>35</v>
      </c>
      <c r="B39" s="14" t="s">
        <v>38</v>
      </c>
      <c r="C39" s="14" t="s">
        <v>75</v>
      </c>
      <c r="D39" s="14" t="s">
        <v>157</v>
      </c>
      <c r="E39" s="14" t="s">
        <v>47</v>
      </c>
      <c r="F39" s="15" t="s">
        <v>10</v>
      </c>
      <c r="G39" s="16">
        <f>483.84+99.66</f>
        <v>583.5</v>
      </c>
      <c r="H39" s="17">
        <v>0.76</v>
      </c>
      <c r="I39" s="16">
        <v>75</v>
      </c>
      <c r="J39" s="16">
        <f t="shared" si="0"/>
        <v>443.46</v>
      </c>
      <c r="K39" s="18">
        <f t="shared" si="2"/>
        <v>5.9262014374170825E-3</v>
      </c>
      <c r="L39" s="11"/>
    </row>
    <row r="40" spans="1:12" x14ac:dyDescent="0.25">
      <c r="A40" s="14" t="s">
        <v>35</v>
      </c>
      <c r="B40" s="14" t="s">
        <v>39</v>
      </c>
      <c r="C40" s="14" t="s">
        <v>86</v>
      </c>
      <c r="D40" s="14" t="s">
        <v>40</v>
      </c>
      <c r="E40" s="14" t="s">
        <v>48</v>
      </c>
      <c r="F40" s="15" t="s">
        <v>4</v>
      </c>
      <c r="G40" s="16">
        <f>Achtergrondberekeningen!B10</f>
        <v>892.5</v>
      </c>
      <c r="H40" s="31">
        <v>0.14000000000000001</v>
      </c>
      <c r="I40" s="25">
        <v>5</v>
      </c>
      <c r="J40" s="16">
        <f t="shared" si="0"/>
        <v>1249.5000000000002</v>
      </c>
      <c r="K40" s="53">
        <f t="shared" si="2"/>
        <v>1.6697760104750475E-2</v>
      </c>
      <c r="L40" s="11" t="s">
        <v>55</v>
      </c>
    </row>
    <row r="41" spans="1:12" x14ac:dyDescent="0.25">
      <c r="A41" s="14" t="s">
        <v>35</v>
      </c>
      <c r="B41" s="14" t="s">
        <v>39</v>
      </c>
      <c r="C41" s="14" t="s">
        <v>162</v>
      </c>
      <c r="D41" s="14" t="s">
        <v>241</v>
      </c>
      <c r="E41" s="14" t="s">
        <v>48</v>
      </c>
      <c r="F41" s="15" t="s">
        <v>10</v>
      </c>
      <c r="G41" s="16">
        <v>8885</v>
      </c>
      <c r="H41" s="31">
        <f>Achtergrondberekeningen!E49</f>
        <v>2.0116397066926348</v>
      </c>
      <c r="I41" s="16">
        <v>100</v>
      </c>
      <c r="J41" s="16">
        <f t="shared" si="0"/>
        <v>17873.418793964061</v>
      </c>
      <c r="K41" s="53">
        <f t="shared" si="2"/>
        <v>0.23885238837402994</v>
      </c>
      <c r="L41" s="11" t="s">
        <v>55</v>
      </c>
    </row>
    <row r="42" spans="1:12" x14ac:dyDescent="0.25">
      <c r="A42" s="14" t="s">
        <v>35</v>
      </c>
      <c r="B42" s="14" t="s">
        <v>41</v>
      </c>
      <c r="C42" s="14" t="s">
        <v>77</v>
      </c>
      <c r="D42" s="14" t="s">
        <v>42</v>
      </c>
      <c r="E42" s="14" t="s">
        <v>47</v>
      </c>
      <c r="F42" s="15" t="s">
        <v>4</v>
      </c>
      <c r="G42" s="16">
        <v>12</v>
      </c>
      <c r="H42" s="17">
        <v>0.69112449024409583</v>
      </c>
      <c r="I42" s="24">
        <v>50</v>
      </c>
      <c r="J42" s="16">
        <f t="shared" si="0"/>
        <v>8.29349388292915</v>
      </c>
      <c r="K42" s="18">
        <f t="shared" si="2"/>
        <v>1.10830549249593E-4</v>
      </c>
      <c r="L42" s="11"/>
    </row>
    <row r="43" spans="1:12" s="95" customFormat="1" x14ac:dyDescent="0.25">
      <c r="A43" s="14" t="s">
        <v>35</v>
      </c>
      <c r="B43" s="14" t="s">
        <v>41</v>
      </c>
      <c r="C43" s="14" t="s">
        <v>76</v>
      </c>
      <c r="D43" s="14" t="s">
        <v>43</v>
      </c>
      <c r="E43" s="14" t="s">
        <v>48</v>
      </c>
      <c r="F43" s="15" t="s">
        <v>4</v>
      </c>
      <c r="G43" s="16">
        <v>23</v>
      </c>
      <c r="H43" s="17">
        <v>5.6388060879556523</v>
      </c>
      <c r="I43" s="24">
        <v>50</v>
      </c>
      <c r="J43" s="16">
        <f t="shared" si="0"/>
        <v>129.69254002298001</v>
      </c>
      <c r="K43" s="18">
        <f t="shared" si="2"/>
        <v>1.7331531978227047E-3</v>
      </c>
      <c r="L43" s="11"/>
    </row>
    <row r="44" spans="1:12" x14ac:dyDescent="0.25">
      <c r="L44"/>
    </row>
    <row r="45" spans="1:12" x14ac:dyDescent="0.25">
      <c r="A45" s="7" t="s">
        <v>81</v>
      </c>
      <c r="B45" s="7" t="s">
        <v>44</v>
      </c>
      <c r="C45" s="7"/>
      <c r="D45" s="7" t="s">
        <v>44</v>
      </c>
      <c r="E45" s="7" t="s">
        <v>44</v>
      </c>
      <c r="F45" s="8" t="s">
        <v>44</v>
      </c>
      <c r="G45" s="9" t="s">
        <v>44</v>
      </c>
      <c r="H45" s="9" t="s">
        <v>44</v>
      </c>
      <c r="I45" s="9"/>
      <c r="J45" s="9">
        <f>SUM(J6:J43)</f>
        <v>74830.395943017546</v>
      </c>
      <c r="K45" s="54">
        <f>SUM(K6:K43)</f>
        <v>1</v>
      </c>
      <c r="L45"/>
    </row>
    <row r="46" spans="1:12" x14ac:dyDescent="0.25">
      <c r="J46" s="9">
        <f>SUMIF(L12:L41,"x",J12:J41)</f>
        <v>69753.146205052792</v>
      </c>
      <c r="L46" s="12">
        <f>SUMIF(L6:L44,"x",$K$6:$K$44)</f>
        <v>0.93214990146743304</v>
      </c>
    </row>
  </sheetData>
  <autoFilter ref="A5:L43" xr:uid="{5987299A-8B4A-41C2-8686-53A1F77773F3}">
    <sortState xmlns:xlrd2="http://schemas.microsoft.com/office/spreadsheetml/2017/richdata2" ref="A6:L43">
      <sortCondition ref="B5:B43"/>
    </sortState>
  </autoFilter>
  <hyperlinks>
    <hyperlink ref="D26" r:id="rId1" xr:uid="{2E4523EA-BC63-40A3-B8D2-E0BA8FB6505B}"/>
    <hyperlink ref="D27" r:id="rId2" xr:uid="{6264F21C-8CF1-4725-A94C-D7DA06769E6B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Invulformulier</vt:lpstr>
      <vt:lpstr>Referentieberekening</vt:lpstr>
      <vt:lpstr>Achtergrondberekeningen</vt:lpstr>
      <vt:lpstr>MKI Pantserdekvloer</vt:lpstr>
      <vt:lpstr>Volledige referentie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Mentink, Bas</dc:creator>
  <cp:lastModifiedBy>Kok, Eva de</cp:lastModifiedBy>
  <dcterms:created xsi:type="dcterms:W3CDTF">2023-01-11T18:55:04Z</dcterms:created>
  <dcterms:modified xsi:type="dcterms:W3CDTF">2023-02-03T12:58:43Z</dcterms:modified>
</cp:coreProperties>
</file>