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hrnl.sharepoint.com/sites/FIT-AanbestedingVending/Shared Documents/General/05 Nota van Inlichtingen/Bijlagen 1e Nota van Inlichtingen/"/>
    </mc:Choice>
  </mc:AlternateContent>
  <xr:revisionPtr revIDLastSave="574" documentId="8_{75E11BB4-1309-4B8F-9856-587BF6595285}" xr6:coauthVersionLast="47" xr6:coauthVersionMax="47" xr10:uidLastSave="{8DA251F0-28C8-479D-874D-4B32257D9B3F}"/>
  <workbookProtection workbookAlgorithmName="SHA-512" workbookHashValue="9mHhwl152QWTuSul+eU+R+jm9+orEqFUNmlcdebbk5DgCyx3hGy/uwl+o4/aF7+Fzf1FS3jrDDgfq2hBOmp/Lw==" workbookSaltValue="wT/pXmEsXzyLJp0dTCrlBg==" workbookSpinCount="100000" lockStructure="1"/>
  <bookViews>
    <workbookView xWindow="-38520" yWindow="-30" windowWidth="38640" windowHeight="21120" tabRatio="746" activeTab="2" xr2:uid="{00000000-000D-0000-FFFF-FFFF00000000}"/>
  </bookViews>
  <sheets>
    <sheet name="Overzicht beoordelingsmatrix " sheetId="2" r:id="rId1"/>
    <sheet name="Formaliteiten" sheetId="3" r:id="rId2"/>
    <sheet name="Schema puntentoekenning" sheetId="16" r:id="rId3"/>
    <sheet name="1. Duurzaamheid" sheetId="17" r:id="rId4"/>
    <sheet name="2. Dienstverlening" sheetId="13" r:id="rId5"/>
    <sheet name="3. Smaaktest" sheetId="4" r:id="rId6"/>
    <sheet name="Prijs" sheetId="10" r:id="rId7"/>
    <sheet name="Punten duurzaamheid" sheetId="15" state="hidden" r:id="rId8"/>
    <sheet name="Punten dienstverlening 2.1-2.4" sheetId="18" state="hidden" r:id="rId9"/>
    <sheet name="Punten dienstverlening 2.5" sheetId="19" state="hidden" r:id="rId10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" l="1"/>
  <c r="E8" i="2"/>
  <c r="F8" i="2"/>
  <c r="G8" i="2"/>
  <c r="C8" i="2"/>
  <c r="C10" i="2" s="1"/>
  <c r="D7" i="2"/>
  <c r="E7" i="2"/>
  <c r="F7" i="2"/>
  <c r="G7" i="2"/>
  <c r="C9" i="2"/>
  <c r="C7" i="2"/>
  <c r="G4" i="13"/>
  <c r="D4" i="13"/>
  <c r="E4" i="13"/>
  <c r="F4" i="13"/>
  <c r="C4" i="13"/>
  <c r="G60" i="13"/>
  <c r="F60" i="13"/>
  <c r="E60" i="13"/>
  <c r="D60" i="13"/>
  <c r="C60" i="13"/>
  <c r="G48" i="13"/>
  <c r="F48" i="13"/>
  <c r="E48" i="13"/>
  <c r="D48" i="13"/>
  <c r="C48" i="13"/>
  <c r="G36" i="13"/>
  <c r="F36" i="13"/>
  <c r="E36" i="13"/>
  <c r="D36" i="13"/>
  <c r="C36" i="13"/>
  <c r="G23" i="13"/>
  <c r="F23" i="13"/>
  <c r="E23" i="13"/>
  <c r="D23" i="13"/>
  <c r="C23" i="13"/>
  <c r="G11" i="13"/>
  <c r="F11" i="13"/>
  <c r="E11" i="13"/>
  <c r="D11" i="13"/>
  <c r="C11" i="13"/>
  <c r="G66" i="13"/>
  <c r="F66" i="13"/>
  <c r="E66" i="13"/>
  <c r="C2" i="19"/>
  <c r="C3" i="19"/>
  <c r="C4" i="19"/>
  <c r="C5" i="19"/>
  <c r="C6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47" i="19"/>
  <c r="C48" i="19"/>
  <c r="C49" i="19"/>
  <c r="C50" i="19"/>
  <c r="C51" i="19"/>
  <c r="C52" i="19"/>
  <c r="C53" i="19"/>
  <c r="C54" i="19"/>
  <c r="C55" i="19"/>
  <c r="C56" i="19"/>
  <c r="C57" i="19"/>
  <c r="C58" i="19"/>
  <c r="C59" i="19"/>
  <c r="C60" i="19"/>
  <c r="C61" i="19"/>
  <c r="C62" i="19"/>
  <c r="C1" i="19"/>
  <c r="C42" i="13"/>
  <c r="F29" i="13"/>
  <c r="C5" i="18"/>
  <c r="C2" i="18"/>
  <c r="C3" i="18"/>
  <c r="C4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C60" i="18"/>
  <c r="C61" i="18"/>
  <c r="C62" i="18"/>
  <c r="C1" i="18"/>
  <c r="G65" i="13"/>
  <c r="F65" i="13"/>
  <c r="E65" i="13"/>
  <c r="D65" i="13"/>
  <c r="D66" i="13" s="1"/>
  <c r="C65" i="13"/>
  <c r="C66" i="13" s="1"/>
  <c r="G53" i="13"/>
  <c r="F53" i="13"/>
  <c r="E53" i="13"/>
  <c r="D53" i="13"/>
  <c r="D54" i="13" s="1"/>
  <c r="C53" i="13"/>
  <c r="C54" i="13" s="1"/>
  <c r="G41" i="13"/>
  <c r="G42" i="13" s="1"/>
  <c r="F41" i="13"/>
  <c r="F42" i="13" s="1"/>
  <c r="E41" i="13"/>
  <c r="E42" i="13" s="1"/>
  <c r="D41" i="13"/>
  <c r="D42" i="13" s="1"/>
  <c r="C41" i="13"/>
  <c r="G28" i="13"/>
  <c r="G29" i="13" s="1"/>
  <c r="F28" i="13"/>
  <c r="E28" i="13"/>
  <c r="E29" i="13" s="1"/>
  <c r="D28" i="13"/>
  <c r="D29" i="13" s="1"/>
  <c r="C28" i="13"/>
  <c r="C29" i="13" s="1"/>
  <c r="G16" i="13"/>
  <c r="G17" i="13" s="1"/>
  <c r="F16" i="13"/>
  <c r="F17" i="13" s="1"/>
  <c r="E16" i="13"/>
  <c r="E17" i="13" s="1"/>
  <c r="D16" i="13"/>
  <c r="D17" i="13" s="1"/>
  <c r="C16" i="13"/>
  <c r="C17" i="13" s="1"/>
  <c r="D9" i="2"/>
  <c r="B2" i="13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G25" i="17"/>
  <c r="F25" i="17"/>
  <c r="E25" i="17"/>
  <c r="D25" i="17"/>
  <c r="G24" i="17"/>
  <c r="F24" i="17"/>
  <c r="E24" i="17"/>
  <c r="D24" i="17"/>
  <c r="G23" i="17"/>
  <c r="F23" i="17"/>
  <c r="E23" i="17"/>
  <c r="D23" i="17"/>
  <c r="G22" i="17"/>
  <c r="F22" i="17"/>
  <c r="E22" i="17"/>
  <c r="D22" i="17"/>
  <c r="G21" i="17"/>
  <c r="F21" i="17"/>
  <c r="E21" i="17"/>
  <c r="D21" i="17"/>
  <c r="G8" i="17"/>
  <c r="F8" i="17"/>
  <c r="E8" i="17"/>
  <c r="D8" i="17"/>
  <c r="C8" i="17"/>
  <c r="G3" i="17"/>
  <c r="F3" i="17"/>
  <c r="E3" i="17"/>
  <c r="D3" i="17"/>
  <c r="C3" i="17"/>
  <c r="B2" i="17"/>
  <c r="C2" i="15"/>
  <c r="C3" i="15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4" i="15"/>
  <c r="C55" i="15"/>
  <c r="C56" i="15"/>
  <c r="C57" i="15"/>
  <c r="C58" i="15"/>
  <c r="C59" i="15"/>
  <c r="C60" i="15"/>
  <c r="C61" i="15"/>
  <c r="C62" i="15"/>
  <c r="C1" i="15"/>
  <c r="E9" i="17" s="1"/>
  <c r="D214" i="13"/>
  <c r="D213" i="13"/>
  <c r="D212" i="13"/>
  <c r="D211" i="13"/>
  <c r="D210" i="13"/>
  <c r="D209" i="13"/>
  <c r="D208" i="13"/>
  <c r="D207" i="13"/>
  <c r="D206" i="13"/>
  <c r="D205" i="13"/>
  <c r="D204" i="13"/>
  <c r="D203" i="13"/>
  <c r="D202" i="13"/>
  <c r="D201" i="13"/>
  <c r="D200" i="13"/>
  <c r="D199" i="13"/>
  <c r="D198" i="13"/>
  <c r="D197" i="13"/>
  <c r="D196" i="13"/>
  <c r="D195" i="13"/>
  <c r="D194" i="13"/>
  <c r="D193" i="13"/>
  <c r="D192" i="13"/>
  <c r="D191" i="13"/>
  <c r="D190" i="13"/>
  <c r="D189" i="13"/>
  <c r="D188" i="13"/>
  <c r="D187" i="13"/>
  <c r="D186" i="13"/>
  <c r="D185" i="13"/>
  <c r="D184" i="13"/>
  <c r="D183" i="13"/>
  <c r="D182" i="13"/>
  <c r="D181" i="13"/>
  <c r="D180" i="13"/>
  <c r="D179" i="13"/>
  <c r="D178" i="13"/>
  <c r="D177" i="13"/>
  <c r="D176" i="13"/>
  <c r="D175" i="13"/>
  <c r="D174" i="13"/>
  <c r="D173" i="13"/>
  <c r="D172" i="13"/>
  <c r="D171" i="13"/>
  <c r="D170" i="13"/>
  <c r="D169" i="13"/>
  <c r="D168" i="13"/>
  <c r="D167" i="13"/>
  <c r="D166" i="13"/>
  <c r="D215" i="13"/>
  <c r="D165" i="13"/>
  <c r="D164" i="13"/>
  <c r="D163" i="13"/>
  <c r="D162" i="13"/>
  <c r="D161" i="13"/>
  <c r="D160" i="13"/>
  <c r="D159" i="13"/>
  <c r="D158" i="13"/>
  <c r="D157" i="13"/>
  <c r="D156" i="13"/>
  <c r="D155" i="13"/>
  <c r="D154" i="13"/>
  <c r="G54" i="13" l="1"/>
  <c r="E54" i="13"/>
  <c r="F54" i="13"/>
  <c r="D9" i="17"/>
  <c r="F9" i="17"/>
  <c r="G9" i="17"/>
  <c r="C9" i="17"/>
  <c r="G5" i="2" l="1"/>
  <c r="F5" i="2"/>
  <c r="E5" i="2"/>
  <c r="D5" i="2"/>
  <c r="C5" i="2"/>
  <c r="G15" i="3" a="1"/>
  <c r="G15" i="3" s="1"/>
  <c r="F15" i="3" a="1"/>
  <c r="F15" i="3" s="1"/>
  <c r="E15" i="3" a="1"/>
  <c r="E15" i="3" s="1"/>
  <c r="D15" i="3" a="1"/>
  <c r="D15" i="3" s="1"/>
  <c r="C15" i="3" a="1"/>
  <c r="C15" i="3" s="1"/>
  <c r="C42" i="4"/>
  <c r="C34" i="4"/>
  <c r="C26" i="4"/>
  <c r="C18" i="4"/>
  <c r="D5" i="10"/>
  <c r="G9" i="2" l="1"/>
  <c r="F41" i="4"/>
  <c r="G41" i="4" s="1"/>
  <c r="G40" i="4"/>
  <c r="F40" i="4"/>
  <c r="F39" i="4"/>
  <c r="G39" i="4" s="1"/>
  <c r="G38" i="4"/>
  <c r="G42" i="4" s="1"/>
  <c r="F38" i="4"/>
  <c r="F9" i="2"/>
  <c r="B2" i="4"/>
  <c r="C10" i="4"/>
  <c r="F33" i="4"/>
  <c r="G33" i="4" s="1"/>
  <c r="F32" i="4"/>
  <c r="G32" i="4" s="1"/>
  <c r="F31" i="4"/>
  <c r="G31" i="4" s="1"/>
  <c r="F30" i="4"/>
  <c r="G30" i="4" s="1"/>
  <c r="F25" i="4"/>
  <c r="G25" i="4" s="1"/>
  <c r="F24" i="4"/>
  <c r="G24" i="4" s="1"/>
  <c r="F23" i="4"/>
  <c r="G23" i="4" s="1"/>
  <c r="F22" i="4"/>
  <c r="G22" i="4" s="1"/>
  <c r="F17" i="4"/>
  <c r="G17" i="4" s="1"/>
  <c r="F16" i="4"/>
  <c r="G16" i="4" s="1"/>
  <c r="F15" i="4"/>
  <c r="G15" i="4" s="1"/>
  <c r="F14" i="4"/>
  <c r="G14" i="4" s="1"/>
  <c r="F7" i="4"/>
  <c r="G7" i="4" s="1"/>
  <c r="F8" i="4"/>
  <c r="G8" i="4" s="1"/>
  <c r="F9" i="4"/>
  <c r="G9" i="4" s="1"/>
  <c r="F6" i="4"/>
  <c r="G6" i="4" l="1"/>
  <c r="G26" i="4"/>
  <c r="E9" i="2" s="1"/>
  <c r="G18" i="4"/>
  <c r="G34" i="4"/>
  <c r="G10" i="4"/>
  <c r="E5" i="10" l="1"/>
  <c r="E7" i="10" s="1"/>
  <c r="F5" i="10"/>
  <c r="F7" i="10" s="1"/>
  <c r="G5" i="10"/>
  <c r="G7" i="10" s="1"/>
  <c r="H5" i="10"/>
  <c r="H7" i="10" s="1"/>
  <c r="D7" i="10"/>
  <c r="F12" i="2" l="1"/>
  <c r="H3" i="10"/>
  <c r="G3" i="10"/>
  <c r="F3" i="10"/>
  <c r="G158" i="13"/>
  <c r="F158" i="13"/>
  <c r="E158" i="13"/>
  <c r="G157" i="13"/>
  <c r="F157" i="13"/>
  <c r="E157" i="13"/>
  <c r="G156" i="13"/>
  <c r="F156" i="13"/>
  <c r="E156" i="13"/>
  <c r="G155" i="13"/>
  <c r="F155" i="13"/>
  <c r="E155" i="13"/>
  <c r="G154" i="13"/>
  <c r="F154" i="13"/>
  <c r="E154" i="13"/>
  <c r="G3" i="13"/>
  <c r="F3" i="13"/>
  <c r="E3" i="13"/>
  <c r="D3" i="13"/>
  <c r="C3" i="13"/>
  <c r="G2" i="3"/>
  <c r="F2" i="3"/>
  <c r="E2" i="3"/>
  <c r="D12" i="2" l="1"/>
  <c r="E12" i="2"/>
  <c r="G12" i="2"/>
  <c r="C12" i="2"/>
  <c r="E10" i="2"/>
  <c r="F10" i="2"/>
  <c r="G10" i="2"/>
  <c r="D10" i="2" l="1"/>
  <c r="C2" i="3" l="1"/>
  <c r="E3" i="10" l="1"/>
  <c r="D3" i="10"/>
  <c r="B4" i="4" l="1"/>
  <c r="D2" i="3" l="1"/>
  <c r="E14" i="2"/>
  <c r="G14" i="2"/>
  <c r="D14" i="2"/>
  <c r="C14" i="2"/>
  <c r="F14" i="2"/>
  <c r="C15" i="2" l="1"/>
  <c r="G15" i="2"/>
  <c r="F15" i="2"/>
  <c r="E15" i="2"/>
  <c r="D1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<sst xmlns="http://schemas.openxmlformats.org/spreadsheetml/2006/main" count="272" uniqueCount="74">
  <si>
    <t>Formaliteiten</t>
  </si>
  <si>
    <t>Volledigheid inschrijving</t>
  </si>
  <si>
    <t>Subgunningscriteruim Kwaliteit</t>
  </si>
  <si>
    <t>Totaal punten Kwaliteit</t>
  </si>
  <si>
    <t>Subgunningscriterium Prijs</t>
  </si>
  <si>
    <t>Totaal punten Prijs</t>
  </si>
  <si>
    <t>Totaal punten</t>
  </si>
  <si>
    <t>Totaal punten Kwaliteit + Prijs</t>
  </si>
  <si>
    <t>Ranking</t>
  </si>
  <si>
    <t>Formele eisen</t>
  </si>
  <si>
    <t>Ja (=2)/ Nee (=1)</t>
  </si>
  <si>
    <t>Ja/Nee</t>
  </si>
  <si>
    <t>Conform format</t>
  </si>
  <si>
    <t>Uniform Europees Aanbestedingsdocument (UEA)</t>
  </si>
  <si>
    <t>Inhoudelijke controle</t>
  </si>
  <si>
    <t>Totaal</t>
  </si>
  <si>
    <t>Inschrijfvorm</t>
  </si>
  <si>
    <t>Opmerkingen:</t>
  </si>
  <si>
    <t>Zelfstandig</t>
  </si>
  <si>
    <t>Samenwerkingsverband</t>
  </si>
  <si>
    <t>Derden</t>
  </si>
  <si>
    <t>Consensus</t>
  </si>
  <si>
    <t>Beoordeling</t>
  </si>
  <si>
    <t>Maximaal te behalen punten:</t>
  </si>
  <si>
    <t>Prijs</t>
  </si>
  <si>
    <t>Punten</t>
  </si>
  <si>
    <t>Inschrijving op tijd ingediend</t>
  </si>
  <si>
    <t>Referentiedocument</t>
  </si>
  <si>
    <t>UEA correct ingevuld (geen uitsluitingsgronden van toepassing, akkoord met eisen en rechtsgeldige ondertekening)</t>
  </si>
  <si>
    <t>Referenties correct</t>
  </si>
  <si>
    <t>Geen overschrijding aantal pagina's uitwerking casussen</t>
  </si>
  <si>
    <t>Ondertekenaar:</t>
  </si>
  <si>
    <t>Inschrijver 1</t>
  </si>
  <si>
    <t>Inschrijver 2</t>
  </si>
  <si>
    <t>Inschrijver 3</t>
  </si>
  <si>
    <t>Inschrijver 4</t>
  </si>
  <si>
    <t>Inschrijver 5</t>
  </si>
  <si>
    <t>Uitwerking Wensen</t>
  </si>
  <si>
    <t>Maximaal te behalen punten</t>
  </si>
  <si>
    <r>
      <rPr>
        <b/>
        <sz val="9"/>
        <color rgb="FF333662"/>
        <rFont val="Tahoma"/>
        <family val="2"/>
      </rPr>
      <t>Beoordelingsmatrix Vending</t>
    </r>
    <r>
      <rPr>
        <sz val="9"/>
        <color rgb="FF333662"/>
        <rFont val="Tahoma"/>
        <family val="2"/>
      </rPr>
      <t xml:space="preserve">
Hogeschool Rotterdam</t>
    </r>
    <r>
      <rPr>
        <i/>
        <sz val="9"/>
        <color rgb="FF333662"/>
        <rFont val="Tahoma"/>
        <family val="2"/>
      </rPr>
      <t xml:space="preserve">
2022/103/FIT-SERVICES</t>
    </r>
  </si>
  <si>
    <t>1. Duurzaamheid</t>
  </si>
  <si>
    <t>3. Smaaktest</t>
  </si>
  <si>
    <t>2. Dienstverlening en implementatie</t>
  </si>
  <si>
    <t>Prijzenblad</t>
  </si>
  <si>
    <t>Bedragen Prijzenblad conform voorwaarden</t>
  </si>
  <si>
    <t>Aantal testers</t>
  </si>
  <si>
    <t xml:space="preserve">Koffie </t>
  </si>
  <si>
    <t>Espresso</t>
  </si>
  <si>
    <t>Cappuccino</t>
  </si>
  <si>
    <t>Totaal score individueel</t>
  </si>
  <si>
    <t>Max score</t>
  </si>
  <si>
    <t>Consumptie</t>
  </si>
  <si>
    <t>Beoordelaar 1</t>
  </si>
  <si>
    <t>Beoordelaar 2</t>
  </si>
  <si>
    <t>Beoordelaar 3</t>
  </si>
  <si>
    <t>Beoordelaar 4</t>
  </si>
  <si>
    <t>Inschrijfprijs</t>
  </si>
  <si>
    <t>Behaalde score</t>
  </si>
  <si>
    <t>Gemiddelde</t>
  </si>
  <si>
    <t>Schema van puntentoekenning</t>
  </si>
  <si>
    <t>Toelichting</t>
  </si>
  <si>
    <r>
      <t xml:space="preserve">Nihil score. De Inschrijver geeft naar het oordeel van de beoordelaar </t>
    </r>
    <r>
      <rPr>
        <b/>
        <sz val="8"/>
        <rFont val="Arial"/>
        <family val="2"/>
      </rPr>
      <t>geen antwoord</t>
    </r>
    <r>
      <rPr>
        <sz val="8"/>
        <rFont val="Arial"/>
        <family val="2"/>
      </rPr>
      <t xml:space="preserve"> op de wens of heeft de wens geheel overgeslagen.</t>
    </r>
  </si>
  <si>
    <r>
      <t xml:space="preserve">Naar het oordeel van de beoordelaar gaat de Inschrijver </t>
    </r>
    <r>
      <rPr>
        <b/>
        <sz val="8"/>
        <rFont val="Arial"/>
        <family val="2"/>
      </rPr>
      <t>onvoldoende inhoudelijk-relevant</t>
    </r>
    <r>
      <rPr>
        <sz val="8"/>
        <rFont val="Arial"/>
        <family val="2"/>
      </rPr>
      <t xml:space="preserve"> in op de gevraagde elementen en aspecten. Inschrijver houdt onvoldoende rekening met de gestelde uitgangspunten van deze aanbesteding. Aansluiting op de wens(en) van de aanbestedende dienst is onvoldoende.</t>
    </r>
  </si>
  <si>
    <r>
      <t xml:space="preserve">Naar het oordeel van de beoordelaar gaat de Inschrijver </t>
    </r>
    <r>
      <rPr>
        <b/>
        <sz val="8"/>
        <rFont val="Arial"/>
        <family val="2"/>
      </rPr>
      <t>voldoende maar te beperkt inhoudelijk-relevant</t>
    </r>
    <r>
      <rPr>
        <sz val="8"/>
        <rFont val="Arial"/>
        <family val="2"/>
      </rPr>
      <t xml:space="preserve"> in op de gevraagde elementen en aspecten. Inschrijver houdt voldoende, maar te beperkt rekening met de gestelde uitgangspunten van deze aanbesteding. Aansluiting op de wens(en) van de aanbestedende dienst is gedeeltelijk maar voldoende.</t>
    </r>
  </si>
  <si>
    <r>
      <t xml:space="preserve">Naar het oordeel van de beoordelaar gaat de Inschrijver </t>
    </r>
    <r>
      <rPr>
        <b/>
        <sz val="8"/>
        <rFont val="Arial"/>
        <family val="2"/>
      </rPr>
      <t xml:space="preserve">goed inhoudelijk-relevant </t>
    </r>
    <r>
      <rPr>
        <sz val="8"/>
        <rFont val="Arial"/>
        <family val="2"/>
      </rPr>
      <t>in op de gevraagde elementen en aspecten. Inschrijver houdt goed rekening met de gestelde uitgangspunten van deze aanbesteding. Aansluiting op de wens(en) van de aanbestedende dienst is goed.</t>
    </r>
  </si>
  <si>
    <r>
      <t xml:space="preserve">Naar het oordeel van de beoordelaar gaat de Inschrijver </t>
    </r>
    <r>
      <rPr>
        <b/>
        <sz val="8"/>
        <rFont val="Arial"/>
        <family val="2"/>
      </rPr>
      <t>zeer goed inhoudelijk-relevant</t>
    </r>
    <r>
      <rPr>
        <sz val="8"/>
        <rFont val="Arial"/>
        <family val="2"/>
      </rPr>
      <t xml:space="preserve"> in op de gevraagde elementen en aspecten. Inschrijver houdt volledig rekening met de gestelde uitgangspunten van deze aanbesteding. Aansluiting op de wens(en) van de aanbestedende dienst is zeer goed.</t>
    </r>
  </si>
  <si>
    <t xml:space="preserve">Nihil score / Onvoldoende inhoudelijk-relevant  / Voldoende maar te beperkt inhoudelijk-relevant  / Goed inhoudelijk-relevant  / Zeer goed inhoudelijk-relevant </t>
  </si>
  <si>
    <t>Thee</t>
  </si>
  <si>
    <t>2.1 Automaten</t>
  </si>
  <si>
    <t>2.2 Assortiment</t>
  </si>
  <si>
    <t>2.3 Onderhoud</t>
  </si>
  <si>
    <t>2.4 Continuïteit</t>
  </si>
  <si>
    <t>2.5 Implementatie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</si>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</sst>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[$€]\ * #,##0.00_-;_-[$€]\ * #,##0.00\-;_-[$€]\ * &quot;-&quot;??_-;_-@_-"/>
    <numFmt numFmtId="165" formatCode="&quot;€&quot;\ #,##0.00"/>
    <numFmt numFmtId="166" formatCode="0.0"/>
  </numFmts>
  <fonts count="14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rgb="FF333662"/>
      <name val="Tahoma"/>
      <family val="2"/>
    </font>
    <font>
      <b/>
      <sz val="9"/>
      <color rgb="FF333662"/>
      <name val="Tahoma"/>
      <family val="2"/>
    </font>
    <font>
      <i/>
      <sz val="9"/>
      <color rgb="FF333662"/>
      <name val="Tahoma"/>
      <family val="2"/>
    </font>
    <font>
      <b/>
      <sz val="9"/>
      <color theme="0"/>
      <name val="Tahoma"/>
      <family val="2"/>
    </font>
    <font>
      <sz val="9"/>
      <name val="Arial"/>
      <family val="2"/>
    </font>
    <font>
      <sz val="9"/>
      <color theme="0"/>
      <name val="Tahoma"/>
      <family val="2"/>
    </font>
    <font>
      <sz val="9"/>
      <name val="Tahoma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3336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DCE4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8" fillId="4" borderId="7" xfId="0" applyFont="1" applyFill="1" applyBorder="1"/>
    <xf numFmtId="0" fontId="3" fillId="2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5" borderId="7" xfId="0" applyFont="1" applyFill="1" applyBorder="1"/>
    <xf numFmtId="0" fontId="6" fillId="5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" fontId="3" fillId="6" borderId="1" xfId="0" applyNumberFormat="1" applyFont="1" applyFill="1" applyBorder="1" applyAlignment="1">
      <alignment horizontal="center"/>
    </xf>
    <xf numFmtId="1" fontId="3" fillId="6" borderId="8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1" fontId="3" fillId="0" borderId="12" xfId="0" applyNumberFormat="1" applyFont="1" applyFill="1" applyBorder="1" applyAlignment="1">
      <alignment horizontal="center" vertical="center" wrapText="1"/>
    </xf>
    <xf numFmtId="1" fontId="8" fillId="6" borderId="1" xfId="0" applyNumberFormat="1" applyFont="1" applyFill="1" applyBorder="1" applyAlignment="1">
      <alignment horizontal="center"/>
    </xf>
    <xf numFmtId="1" fontId="8" fillId="6" borderId="8" xfId="0" applyNumberFormat="1" applyFont="1" applyFill="1" applyBorder="1" applyAlignment="1">
      <alignment horizontal="center"/>
    </xf>
    <xf numFmtId="0" fontId="6" fillId="6" borderId="7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" fontId="6" fillId="6" borderId="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3" fillId="0" borderId="1" xfId="3" applyNumberFormat="1" applyFont="1" applyBorder="1" applyAlignment="1">
      <alignment horizontal="center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8" borderId="1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9" fillId="0" borderId="18" xfId="0" applyFont="1" applyBorder="1"/>
    <xf numFmtId="0" fontId="9" fillId="0" borderId="0" xfId="0" applyFont="1" applyBorder="1"/>
    <xf numFmtId="0" fontId="9" fillId="0" borderId="16" xfId="0" applyFont="1" applyBorder="1"/>
    <xf numFmtId="1" fontId="3" fillId="0" borderId="1" xfId="0" applyNumberFormat="1" applyFont="1" applyBorder="1" applyAlignment="1">
      <alignment horizontal="center"/>
    </xf>
    <xf numFmtId="0" fontId="6" fillId="5" borderId="13" xfId="0" applyFont="1" applyFill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/>
    </xf>
    <xf numFmtId="0" fontId="6" fillId="3" borderId="19" xfId="0" applyFont="1" applyFill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166" fontId="6" fillId="6" borderId="1" xfId="0" applyNumberFormat="1" applyFont="1" applyFill="1" applyBorder="1" applyAlignment="1">
      <alignment horizontal="center" vertical="center"/>
    </xf>
    <xf numFmtId="166" fontId="1" fillId="0" borderId="0" xfId="0" applyNumberFormat="1" applyFont="1"/>
    <xf numFmtId="166" fontId="0" fillId="0" borderId="0" xfId="0" applyNumberFormat="1"/>
    <xf numFmtId="9" fontId="0" fillId="0" borderId="0" xfId="0" applyNumberFormat="1"/>
    <xf numFmtId="0" fontId="11" fillId="10" borderId="22" xfId="0" applyFont="1" applyFill="1" applyBorder="1" applyAlignment="1">
      <alignment vertical="center" wrapText="1"/>
    </xf>
    <xf numFmtId="0" fontId="11" fillId="10" borderId="23" xfId="0" applyFont="1" applyFill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22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1" fillId="10" borderId="20" xfId="0" applyFont="1" applyFill="1" applyBorder="1" applyAlignment="1">
      <alignment horizontal="center" vertical="center" wrapText="1"/>
    </xf>
    <xf numFmtId="0" fontId="11" fillId="10" borderId="2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left" vertical="center"/>
    </xf>
    <xf numFmtId="0" fontId="6" fillId="6" borderId="14" xfId="0" applyFont="1" applyFill="1" applyBorder="1" applyAlignment="1">
      <alignment horizontal="left" vertical="center"/>
    </xf>
  </cellXfs>
  <cellStyles count="4">
    <cellStyle name="Euro" xfId="1" xr:uid="{00000000-0005-0000-0000-000000000000}"/>
    <cellStyle name="Komma" xfId="3" builtinId="3"/>
    <cellStyle name="Standaard" xfId="0" builtinId="0"/>
    <cellStyle name="Standaard 2" xfId="2" xr:uid="{00000000-0005-0000-0000-000002000000}"/>
  </cellStyles>
  <dxfs count="0"/>
  <tableStyles count="0" defaultTableStyle="TableStyleMedium9" defaultPivotStyle="PivotStyleLight16"/>
  <colors>
    <mruColors>
      <color rgb="FF333662"/>
      <color rgb="FF00A77D"/>
      <color rgb="FF2C2F52"/>
      <color rgb="FF242644"/>
      <color rgb="FF00C491"/>
      <color rgb="FF00CC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workbookViewId="0">
      <selection activeCell="D12" sqref="D12"/>
    </sheetView>
  </sheetViews>
  <sheetFormatPr defaultColWidth="0" defaultRowHeight="12.5" zeroHeight="1" x14ac:dyDescent="0.25"/>
  <cols>
    <col min="1" max="1" width="3" customWidth="1"/>
    <col min="2" max="2" width="28.54296875" customWidth="1"/>
    <col min="3" max="7" width="30.81640625" customWidth="1"/>
    <col min="8" max="8" width="8.7265625" customWidth="1"/>
    <col min="9" max="16384" width="8.7265625" hidden="1"/>
  </cols>
  <sheetData>
    <row r="1" spans="2:7" ht="51" customHeight="1" thickBot="1" x14ac:dyDescent="0.3">
      <c r="B1" s="78"/>
      <c r="C1" s="78"/>
      <c r="D1" s="78"/>
    </row>
    <row r="2" spans="2:7" ht="47.25" customHeight="1" x14ac:dyDescent="0.25">
      <c r="B2" s="79" t="s">
        <v>39</v>
      </c>
      <c r="C2" s="80"/>
      <c r="D2" s="80"/>
      <c r="E2" s="80"/>
      <c r="F2" s="80"/>
      <c r="G2" s="81"/>
    </row>
    <row r="3" spans="2:7" ht="25" customHeight="1" x14ac:dyDescent="0.25">
      <c r="B3" s="15"/>
      <c r="C3" s="19" t="s">
        <v>32</v>
      </c>
      <c r="D3" s="19" t="s">
        <v>33</v>
      </c>
      <c r="E3" s="19" t="s">
        <v>34</v>
      </c>
      <c r="F3" s="19" t="s">
        <v>35</v>
      </c>
      <c r="G3" s="20" t="s">
        <v>36</v>
      </c>
    </row>
    <row r="4" spans="2:7" ht="25" customHeight="1" x14ac:dyDescent="0.25">
      <c r="B4" s="75" t="s">
        <v>0</v>
      </c>
      <c r="C4" s="76"/>
      <c r="D4" s="76"/>
      <c r="E4" s="76"/>
      <c r="F4" s="76"/>
      <c r="G4" s="77"/>
    </row>
    <row r="5" spans="2:7" ht="20.25" customHeight="1" x14ac:dyDescent="0.25">
      <c r="B5" s="16" t="s">
        <v>1</v>
      </c>
      <c r="C5" s="5" t="str">
        <f>IF(Formaliteiten!C15=14,"OK","Uitgesloten")</f>
        <v>OK</v>
      </c>
      <c r="D5" s="5" t="str">
        <f>IF(Formaliteiten!D15=14,"OK","Uitgesloten")</f>
        <v>OK</v>
      </c>
      <c r="E5" s="5" t="str">
        <f>IF(Formaliteiten!E15=14,"OK","Uitgesloten")</f>
        <v>OK</v>
      </c>
      <c r="F5" s="5" t="str">
        <f>IF(Formaliteiten!F15=14,"OK","Uitgesloten")</f>
        <v>OK</v>
      </c>
      <c r="G5" s="5" t="str">
        <f>IF(Formaliteiten!G15=14,"OK","Uitgesloten")</f>
        <v>OK</v>
      </c>
    </row>
    <row r="6" spans="2:7" ht="25" customHeight="1" x14ac:dyDescent="0.25">
      <c r="B6" s="75" t="s">
        <v>2</v>
      </c>
      <c r="C6" s="76"/>
      <c r="D6" s="76"/>
      <c r="E6" s="76"/>
      <c r="F6" s="76"/>
      <c r="G6" s="77"/>
    </row>
    <row r="7" spans="2:7" ht="20.149999999999999" customHeight="1" x14ac:dyDescent="0.25">
      <c r="B7" s="16" t="s">
        <v>40</v>
      </c>
      <c r="C7" s="34">
        <f>'1. Duurzaamheid'!C9</f>
        <v>0</v>
      </c>
      <c r="D7" s="34">
        <f>'1. Duurzaamheid'!D9</f>
        <v>0</v>
      </c>
      <c r="E7" s="34">
        <f>'1. Duurzaamheid'!E9</f>
        <v>0</v>
      </c>
      <c r="F7" s="34">
        <f>'1. Duurzaamheid'!F9</f>
        <v>0</v>
      </c>
      <c r="G7" s="34">
        <f>'1. Duurzaamheid'!G9</f>
        <v>0</v>
      </c>
    </row>
    <row r="8" spans="2:7" ht="20" customHeight="1" x14ac:dyDescent="0.25">
      <c r="B8" s="16" t="s">
        <v>42</v>
      </c>
      <c r="C8" s="61">
        <f>'2. Dienstverlening'!C4</f>
        <v>0</v>
      </c>
      <c r="D8" s="61">
        <f>'2. Dienstverlening'!D4</f>
        <v>0</v>
      </c>
      <c r="E8" s="61">
        <f>'2. Dienstverlening'!E4</f>
        <v>0</v>
      </c>
      <c r="F8" s="61">
        <f>'2. Dienstverlening'!F4</f>
        <v>0</v>
      </c>
      <c r="G8" s="61">
        <f>'2. Dienstverlening'!G4</f>
        <v>0</v>
      </c>
    </row>
    <row r="9" spans="2:7" ht="20.149999999999999" customHeight="1" x14ac:dyDescent="0.25">
      <c r="B9" s="16" t="s">
        <v>41</v>
      </c>
      <c r="C9" s="61">
        <f>'3. Smaaktest'!G10</f>
        <v>279.0625</v>
      </c>
      <c r="D9" s="61">
        <f>'3. Smaaktest'!G18</f>
        <v>232.625</v>
      </c>
      <c r="E9" s="61">
        <f>'3. Smaaktest'!G26</f>
        <v>201.875</v>
      </c>
      <c r="F9" s="61">
        <f>'3. Smaaktest'!G34</f>
        <v>214.375</v>
      </c>
      <c r="G9" s="63">
        <f>'3. Smaaktest'!G42</f>
        <v>194.25</v>
      </c>
    </row>
    <row r="10" spans="2:7" ht="25" customHeight="1" x14ac:dyDescent="0.25">
      <c r="B10" s="17" t="s">
        <v>3</v>
      </c>
      <c r="C10" s="35">
        <f>C7+C8+C9</f>
        <v>279.0625</v>
      </c>
      <c r="D10" s="35">
        <f t="shared" ref="D10:E10" si="0">D7+D8+D9</f>
        <v>232.625</v>
      </c>
      <c r="E10" s="35">
        <f t="shared" si="0"/>
        <v>201.875</v>
      </c>
      <c r="F10" s="35">
        <f t="shared" ref="F10" si="1">F7+F8+F9</f>
        <v>214.375</v>
      </c>
      <c r="G10" s="36">
        <f>G7+G8+G9</f>
        <v>194.25</v>
      </c>
    </row>
    <row r="11" spans="2:7" s="1" customFormat="1" ht="25" customHeight="1" x14ac:dyDescent="0.25">
      <c r="B11" s="75" t="s">
        <v>4</v>
      </c>
      <c r="C11" s="76"/>
      <c r="D11" s="76"/>
      <c r="E11" s="76"/>
      <c r="F11" s="76"/>
      <c r="G11" s="77"/>
    </row>
    <row r="12" spans="2:7" ht="20.149999999999999" customHeight="1" x14ac:dyDescent="0.25">
      <c r="B12" s="17" t="s">
        <v>5</v>
      </c>
      <c r="C12" s="35">
        <f>Prijs!D7</f>
        <v>300</v>
      </c>
      <c r="D12" s="35">
        <f>Prijs!E7</f>
        <v>300</v>
      </c>
      <c r="E12" s="35">
        <f>Prijs!F7</f>
        <v>300</v>
      </c>
      <c r="F12" s="35">
        <f>Prijs!G7</f>
        <v>300</v>
      </c>
      <c r="G12" s="36">
        <f>Prijs!H7</f>
        <v>300</v>
      </c>
    </row>
    <row r="13" spans="2:7" ht="25" customHeight="1" x14ac:dyDescent="0.25">
      <c r="B13" s="75" t="s">
        <v>6</v>
      </c>
      <c r="C13" s="76"/>
      <c r="D13" s="76"/>
      <c r="E13" s="76"/>
      <c r="F13" s="76"/>
      <c r="G13" s="77"/>
    </row>
    <row r="14" spans="2:7" ht="20.149999999999999" customHeight="1" x14ac:dyDescent="0.25">
      <c r="B14" s="17" t="s">
        <v>7</v>
      </c>
      <c r="C14" s="39">
        <f>C10+C12</f>
        <v>579.0625</v>
      </c>
      <c r="D14" s="39">
        <f>D10+D12</f>
        <v>532.625</v>
      </c>
      <c r="E14" s="39">
        <f>E10+E12</f>
        <v>501.875</v>
      </c>
      <c r="F14" s="39">
        <f>F10+F12</f>
        <v>514.375</v>
      </c>
      <c r="G14" s="40">
        <f>G10+G12</f>
        <v>494.25</v>
      </c>
    </row>
    <row r="15" spans="2:7" ht="20.149999999999999" customHeight="1" thickBot="1" x14ac:dyDescent="0.3">
      <c r="B15" s="18" t="s">
        <v>8</v>
      </c>
      <c r="C15" s="26">
        <f>_xlfn.RANK.EQ(C14,$C$14:$D$14:$E$14:$F$14:$G$14,0)</f>
        <v>1</v>
      </c>
      <c r="D15" s="26">
        <f>_xlfn.RANK.EQ(D14,$C$14:$D$14:$E$14:$F$14:$G$14,0)</f>
        <v>2</v>
      </c>
      <c r="E15" s="26">
        <f>_xlfn.RANK.EQ(E14,$C$14:$D$14:$E$14:$F$14:$G$14,0)</f>
        <v>4</v>
      </c>
      <c r="F15" s="26">
        <f>_xlfn.RANK.EQ(F14,$C$14:$D$14:$E$14:$F$14:$G$14,0)</f>
        <v>3</v>
      </c>
      <c r="G15" s="26">
        <f>_xlfn.RANK.EQ(G14,$C$14:$D$14:$E$14:$F$14:$G$14,0)</f>
        <v>5</v>
      </c>
    </row>
    <row r="16" spans="2:7" x14ac:dyDescent="0.25">
      <c r="B16" s="6"/>
      <c r="C16" s="6"/>
      <c r="D16" s="6"/>
      <c r="E16" s="6"/>
      <c r="F16" s="6"/>
      <c r="G16" s="6"/>
    </row>
    <row r="17" x14ac:dyDescent="0.25"/>
    <row r="18" x14ac:dyDescent="0.25"/>
  </sheetData>
  <sheetProtection algorithmName="SHA-512" hashValue="gzWZugIgutQnSB91BMMz5ejU4ZN5BP6E2E00wKrvZ1YVIEuE9OAYVRhx6uJid6t+Aj3we3sJFhpZEEttPjrJ+g==" saltValue="deqHSgNRnjoc0eKsuTrNtQ==" spinCount="100000" sheet="1" objects="1" scenarios="1"/>
  <mergeCells count="6">
    <mergeCell ref="B13:G13"/>
    <mergeCell ref="B1:D1"/>
    <mergeCell ref="B2:G2"/>
    <mergeCell ref="B4:G4"/>
    <mergeCell ref="B6:G6"/>
    <mergeCell ref="B11:G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6023-63CA-4BCB-BD85-80531727D998}">
  <dimension ref="A1:C62"/>
  <sheetViews>
    <sheetView workbookViewId="0">
      <selection activeCell="C1" sqref="C1:C62"/>
    </sheetView>
  </sheetViews>
  <sheetFormatPr defaultRowHeight="12.5" x14ac:dyDescent="0.25"/>
  <cols>
    <col min="3" max="3" width="8.7265625" style="68"/>
  </cols>
  <sheetData>
    <row r="1" spans="1:3" x14ac:dyDescent="0.25">
      <c r="A1" s="67">
        <v>0</v>
      </c>
      <c r="B1" s="69">
        <v>0</v>
      </c>
      <c r="C1" s="68">
        <f>B1*'2. Dienstverlening'!$C$68</f>
        <v>0</v>
      </c>
    </row>
    <row r="2" spans="1:3" x14ac:dyDescent="0.25">
      <c r="A2" s="67">
        <v>4</v>
      </c>
      <c r="B2" s="69">
        <v>0.4</v>
      </c>
      <c r="C2" s="68">
        <f>B2*'2. Dienstverlening'!$C$68</f>
        <v>40</v>
      </c>
    </row>
    <row r="3" spans="1:3" x14ac:dyDescent="0.25">
      <c r="A3" s="68">
        <v>4.0999999999999996</v>
      </c>
      <c r="B3" s="69">
        <v>0.41</v>
      </c>
      <c r="C3" s="68">
        <f>B3*'2. Dienstverlening'!$C$68</f>
        <v>41</v>
      </c>
    </row>
    <row r="4" spans="1:3" x14ac:dyDescent="0.25">
      <c r="A4" s="68">
        <v>4.2</v>
      </c>
      <c r="B4" s="69">
        <v>0.42</v>
      </c>
      <c r="C4" s="68">
        <f>B4*'2. Dienstverlening'!$C$68</f>
        <v>42</v>
      </c>
    </row>
    <row r="5" spans="1:3" x14ac:dyDescent="0.25">
      <c r="A5" s="68">
        <v>4.3</v>
      </c>
      <c r="B5" s="69">
        <v>0.43</v>
      </c>
      <c r="C5" s="68">
        <f>B5*'2. Dienstverlening'!$C$68</f>
        <v>43</v>
      </c>
    </row>
    <row r="6" spans="1:3" x14ac:dyDescent="0.25">
      <c r="A6" s="68">
        <v>4.4000000000000004</v>
      </c>
      <c r="B6" s="69">
        <v>0.44</v>
      </c>
      <c r="C6" s="68">
        <f>B6*'2. Dienstverlening'!$C$68</f>
        <v>44</v>
      </c>
    </row>
    <row r="7" spans="1:3" x14ac:dyDescent="0.25">
      <c r="A7" s="68">
        <v>4.5</v>
      </c>
      <c r="B7" s="69">
        <v>0.45</v>
      </c>
      <c r="C7" s="68">
        <f>B7*'2. Dienstverlening'!$C$68</f>
        <v>45</v>
      </c>
    </row>
    <row r="8" spans="1:3" x14ac:dyDescent="0.25">
      <c r="A8" s="68">
        <v>4.5999999999999996</v>
      </c>
      <c r="B8" s="69">
        <v>0.46</v>
      </c>
      <c r="C8" s="68">
        <f>B8*'2. Dienstverlening'!$C$68</f>
        <v>46</v>
      </c>
    </row>
    <row r="9" spans="1:3" x14ac:dyDescent="0.25">
      <c r="A9" s="68">
        <v>4.7</v>
      </c>
      <c r="B9" s="69">
        <v>0.47</v>
      </c>
      <c r="C9" s="68">
        <f>B9*'2. Dienstverlening'!$C$68</f>
        <v>47</v>
      </c>
    </row>
    <row r="10" spans="1:3" x14ac:dyDescent="0.25">
      <c r="A10" s="68">
        <v>4.8</v>
      </c>
      <c r="B10" s="69">
        <v>0.48</v>
      </c>
      <c r="C10" s="68">
        <f>B10*'2. Dienstverlening'!$C$68</f>
        <v>48</v>
      </c>
    </row>
    <row r="11" spans="1:3" x14ac:dyDescent="0.25">
      <c r="A11" s="68">
        <v>4.9000000000000004</v>
      </c>
      <c r="B11" s="69">
        <v>0.49</v>
      </c>
      <c r="C11" s="68">
        <f>B11*'2. Dienstverlening'!$C$68</f>
        <v>49</v>
      </c>
    </row>
    <row r="12" spans="1:3" x14ac:dyDescent="0.25">
      <c r="A12" s="68">
        <v>5</v>
      </c>
      <c r="B12" s="69">
        <v>0.5</v>
      </c>
      <c r="C12" s="68">
        <f>B12*'2. Dienstverlening'!$C$68</f>
        <v>50</v>
      </c>
    </row>
    <row r="13" spans="1:3" x14ac:dyDescent="0.25">
      <c r="A13" s="68">
        <v>5.0999999999999996</v>
      </c>
      <c r="B13" s="69">
        <v>0.50999999999999901</v>
      </c>
      <c r="C13" s="68">
        <f>B13*'2. Dienstverlening'!$C$68</f>
        <v>50.999999999999901</v>
      </c>
    </row>
    <row r="14" spans="1:3" x14ac:dyDescent="0.25">
      <c r="A14" s="68">
        <v>5.2</v>
      </c>
      <c r="B14" s="69">
        <v>0.51999999999999902</v>
      </c>
      <c r="C14" s="68">
        <f>B14*'2. Dienstverlening'!$C$68</f>
        <v>51.999999999999901</v>
      </c>
    </row>
    <row r="15" spans="1:3" x14ac:dyDescent="0.25">
      <c r="A15" s="68">
        <v>5.3</v>
      </c>
      <c r="B15" s="69">
        <v>0.52999999999999903</v>
      </c>
      <c r="C15" s="68">
        <f>B15*'2. Dienstverlening'!$C$68</f>
        <v>52.999999999999901</v>
      </c>
    </row>
    <row r="16" spans="1:3" x14ac:dyDescent="0.25">
      <c r="A16" s="68">
        <v>5.4</v>
      </c>
      <c r="B16" s="69">
        <v>0.53999999999999904</v>
      </c>
      <c r="C16" s="68">
        <f>B16*'2. Dienstverlening'!$C$68</f>
        <v>53.999999999999901</v>
      </c>
    </row>
    <row r="17" spans="1:3" x14ac:dyDescent="0.25">
      <c r="A17" s="68">
        <v>5.5</v>
      </c>
      <c r="B17" s="69">
        <v>0.54999999999999905</v>
      </c>
      <c r="C17" s="68">
        <f>B17*'2. Dienstverlening'!$C$68</f>
        <v>54.999999999999908</v>
      </c>
    </row>
    <row r="18" spans="1:3" x14ac:dyDescent="0.25">
      <c r="A18" s="68">
        <v>5.6</v>
      </c>
      <c r="B18" s="69">
        <v>0.55999999999999905</v>
      </c>
      <c r="C18" s="68">
        <f>B18*'2. Dienstverlening'!$C$68</f>
        <v>55.999999999999908</v>
      </c>
    </row>
    <row r="19" spans="1:3" x14ac:dyDescent="0.25">
      <c r="A19" s="68">
        <v>5.7</v>
      </c>
      <c r="B19" s="69">
        <v>0.56999999999999895</v>
      </c>
      <c r="C19" s="68">
        <f>B19*'2. Dienstverlening'!$C$68</f>
        <v>56.999999999999893</v>
      </c>
    </row>
    <row r="20" spans="1:3" x14ac:dyDescent="0.25">
      <c r="A20" s="68">
        <v>5.8</v>
      </c>
      <c r="B20" s="69">
        <v>0.57999999999999896</v>
      </c>
      <c r="C20" s="68">
        <f>B20*'2. Dienstverlening'!$C$68</f>
        <v>57.999999999999893</v>
      </c>
    </row>
    <row r="21" spans="1:3" x14ac:dyDescent="0.25">
      <c r="A21" s="68">
        <v>5.9</v>
      </c>
      <c r="B21" s="69">
        <v>0.58999999999999897</v>
      </c>
      <c r="C21" s="68">
        <f>B21*'2. Dienstverlening'!$C$68</f>
        <v>58.999999999999901</v>
      </c>
    </row>
    <row r="22" spans="1:3" x14ac:dyDescent="0.25">
      <c r="A22" s="68">
        <v>6</v>
      </c>
      <c r="B22" s="69">
        <v>0.59999999999999898</v>
      </c>
      <c r="C22" s="68">
        <f>B22*'2. Dienstverlening'!$C$68</f>
        <v>59.999999999999901</v>
      </c>
    </row>
    <row r="23" spans="1:3" x14ac:dyDescent="0.25">
      <c r="A23" s="67">
        <v>6.1</v>
      </c>
      <c r="B23" s="69">
        <v>0.60999999999999899</v>
      </c>
      <c r="C23" s="68">
        <f>B23*'2. Dienstverlening'!$C$68</f>
        <v>60.999999999999901</v>
      </c>
    </row>
    <row r="24" spans="1:3" x14ac:dyDescent="0.25">
      <c r="A24" s="67">
        <v>6.2</v>
      </c>
      <c r="B24" s="69">
        <v>0.619999999999999</v>
      </c>
      <c r="C24" s="68">
        <f>B24*'2. Dienstverlening'!$C$68</f>
        <v>61.999999999999901</v>
      </c>
    </row>
    <row r="25" spans="1:3" x14ac:dyDescent="0.25">
      <c r="A25" s="67">
        <v>6.3</v>
      </c>
      <c r="B25" s="69">
        <v>0.62999999999999901</v>
      </c>
      <c r="C25" s="68">
        <f>B25*'2. Dienstverlening'!$C$68</f>
        <v>62.999999999999901</v>
      </c>
    </row>
    <row r="26" spans="1:3" x14ac:dyDescent="0.25">
      <c r="A26" s="67">
        <v>6.4</v>
      </c>
      <c r="B26" s="69">
        <v>0.63999999999999901</v>
      </c>
      <c r="C26" s="68">
        <f>B26*'2. Dienstverlening'!$C$68</f>
        <v>63.999999999999901</v>
      </c>
    </row>
    <row r="27" spans="1:3" x14ac:dyDescent="0.25">
      <c r="A27" s="67">
        <v>6.5</v>
      </c>
      <c r="B27" s="69">
        <v>0.64999999999999902</v>
      </c>
      <c r="C27" s="68">
        <f>B27*'2. Dienstverlening'!$C$68</f>
        <v>64.999999999999901</v>
      </c>
    </row>
    <row r="28" spans="1:3" x14ac:dyDescent="0.25">
      <c r="A28" s="67">
        <v>6.6</v>
      </c>
      <c r="B28" s="69">
        <v>0.65999999999999903</v>
      </c>
      <c r="C28" s="68">
        <f>B28*'2. Dienstverlening'!$C$68</f>
        <v>65.999999999999901</v>
      </c>
    </row>
    <row r="29" spans="1:3" x14ac:dyDescent="0.25">
      <c r="A29" s="67">
        <v>6.7</v>
      </c>
      <c r="B29" s="69">
        <v>0.66999999999999904</v>
      </c>
      <c r="C29" s="68">
        <f>B29*'2. Dienstverlening'!$C$68</f>
        <v>66.999999999999901</v>
      </c>
    </row>
    <row r="30" spans="1:3" x14ac:dyDescent="0.25">
      <c r="A30" s="67">
        <v>6.8</v>
      </c>
      <c r="B30" s="69">
        <v>0.67999999999999905</v>
      </c>
      <c r="C30" s="68">
        <f>B30*'2. Dienstverlening'!$C$68</f>
        <v>67.999999999999901</v>
      </c>
    </row>
    <row r="31" spans="1:3" x14ac:dyDescent="0.25">
      <c r="A31" s="67">
        <v>6.9</v>
      </c>
      <c r="B31" s="69">
        <v>0.68999999999999895</v>
      </c>
      <c r="C31" s="68">
        <f>B31*'2. Dienstverlening'!$C$68</f>
        <v>68.999999999999901</v>
      </c>
    </row>
    <row r="32" spans="1:3" x14ac:dyDescent="0.25">
      <c r="A32" s="67">
        <v>7</v>
      </c>
      <c r="B32" s="69">
        <v>0.69999999999999896</v>
      </c>
      <c r="C32" s="68">
        <f>B32*'2. Dienstverlening'!$C$68</f>
        <v>69.999999999999901</v>
      </c>
    </row>
    <row r="33" spans="1:3" x14ac:dyDescent="0.25">
      <c r="A33" s="67">
        <v>7.1</v>
      </c>
      <c r="B33" s="69">
        <v>0.70999999999999897</v>
      </c>
      <c r="C33" s="68">
        <f>B33*'2. Dienstverlening'!$C$68</f>
        <v>70.999999999999901</v>
      </c>
    </row>
    <row r="34" spans="1:3" x14ac:dyDescent="0.25">
      <c r="A34" s="67">
        <v>7.2</v>
      </c>
      <c r="B34" s="69">
        <v>0.71999999999999897</v>
      </c>
      <c r="C34" s="68">
        <f>B34*'2. Dienstverlening'!$C$68</f>
        <v>71.999999999999901</v>
      </c>
    </row>
    <row r="35" spans="1:3" x14ac:dyDescent="0.25">
      <c r="A35" s="67">
        <v>7.3</v>
      </c>
      <c r="B35" s="69">
        <v>0.72999999999999798</v>
      </c>
      <c r="C35" s="68">
        <f>B35*'2. Dienstverlening'!$C$68</f>
        <v>72.999999999999801</v>
      </c>
    </row>
    <row r="36" spans="1:3" x14ac:dyDescent="0.25">
      <c r="A36" s="67">
        <v>7.4</v>
      </c>
      <c r="B36" s="69">
        <v>0.73999999999999799</v>
      </c>
      <c r="C36" s="68">
        <f>B36*'2. Dienstverlening'!$C$68</f>
        <v>73.999999999999801</v>
      </c>
    </row>
    <row r="37" spans="1:3" x14ac:dyDescent="0.25">
      <c r="A37" s="67">
        <v>7.5</v>
      </c>
      <c r="B37" s="69">
        <v>0.749999999999998</v>
      </c>
      <c r="C37" s="68">
        <f>B37*'2. Dienstverlening'!$C$68</f>
        <v>74.999999999999801</v>
      </c>
    </row>
    <row r="38" spans="1:3" x14ac:dyDescent="0.25">
      <c r="A38" s="67">
        <v>7.6</v>
      </c>
      <c r="B38" s="69">
        <v>0.75999999999999801</v>
      </c>
      <c r="C38" s="68">
        <f>B38*'2. Dienstverlening'!$C$68</f>
        <v>75.999999999999801</v>
      </c>
    </row>
    <row r="39" spans="1:3" x14ac:dyDescent="0.25">
      <c r="A39" s="67">
        <v>7.7</v>
      </c>
      <c r="B39" s="69">
        <v>0.76999999999999802</v>
      </c>
      <c r="C39" s="68">
        <f>B39*'2. Dienstverlening'!$C$68</f>
        <v>76.999999999999801</v>
      </c>
    </row>
    <row r="40" spans="1:3" x14ac:dyDescent="0.25">
      <c r="A40" s="67">
        <v>7.8</v>
      </c>
      <c r="B40" s="69">
        <v>0.77999999999999803</v>
      </c>
      <c r="C40" s="68">
        <f>B40*'2. Dienstverlening'!$C$68</f>
        <v>77.999999999999801</v>
      </c>
    </row>
    <row r="41" spans="1:3" x14ac:dyDescent="0.25">
      <c r="A41" s="67">
        <v>7.9</v>
      </c>
      <c r="B41" s="69">
        <v>0.78999999999999804</v>
      </c>
      <c r="C41" s="68">
        <f>B41*'2. Dienstverlening'!$C$68</f>
        <v>78.999999999999801</v>
      </c>
    </row>
    <row r="42" spans="1:3" x14ac:dyDescent="0.25">
      <c r="A42" s="67">
        <v>8</v>
      </c>
      <c r="B42" s="69">
        <v>0.79999999999999805</v>
      </c>
      <c r="C42" s="68">
        <f>B42*'2. Dienstverlening'!$C$68</f>
        <v>79.999999999999801</v>
      </c>
    </row>
    <row r="43" spans="1:3" x14ac:dyDescent="0.25">
      <c r="A43" s="67">
        <v>8.1</v>
      </c>
      <c r="B43" s="69">
        <v>0.80999999999999805</v>
      </c>
      <c r="C43" s="68">
        <f>B43*'2. Dienstverlening'!$C$68</f>
        <v>80.999999999999801</v>
      </c>
    </row>
    <row r="44" spans="1:3" x14ac:dyDescent="0.25">
      <c r="A44" s="67">
        <v>8.1999999999999993</v>
      </c>
      <c r="B44" s="69">
        <v>0.81999999999999795</v>
      </c>
      <c r="C44" s="68">
        <f>B44*'2. Dienstverlening'!$C$68</f>
        <v>81.999999999999801</v>
      </c>
    </row>
    <row r="45" spans="1:3" x14ac:dyDescent="0.25">
      <c r="A45" s="67">
        <v>8.3000000000000007</v>
      </c>
      <c r="B45" s="69">
        <v>0.82999999999999796</v>
      </c>
      <c r="C45" s="68">
        <f>B45*'2. Dienstverlening'!$C$68</f>
        <v>82.999999999999801</v>
      </c>
    </row>
    <row r="46" spans="1:3" x14ac:dyDescent="0.25">
      <c r="A46" s="67">
        <v>8.4</v>
      </c>
      <c r="B46" s="69">
        <v>0.83999999999999797</v>
      </c>
      <c r="C46" s="68">
        <f>B46*'2. Dienstverlening'!$C$68</f>
        <v>83.999999999999801</v>
      </c>
    </row>
    <row r="47" spans="1:3" x14ac:dyDescent="0.25">
      <c r="A47" s="67">
        <v>8.5</v>
      </c>
      <c r="B47" s="69">
        <v>0.84999999999999798</v>
      </c>
      <c r="C47" s="68">
        <f>B47*'2. Dienstverlening'!$C$68</f>
        <v>84.999999999999801</v>
      </c>
    </row>
    <row r="48" spans="1:3" x14ac:dyDescent="0.25">
      <c r="A48" s="67">
        <v>8.6</v>
      </c>
      <c r="B48" s="69">
        <v>0.85999999999999799</v>
      </c>
      <c r="C48" s="68">
        <f>B48*'2. Dienstverlening'!$C$68</f>
        <v>85.999999999999801</v>
      </c>
    </row>
    <row r="49" spans="1:3" x14ac:dyDescent="0.25">
      <c r="A49" s="67">
        <v>8.6999999999999993</v>
      </c>
      <c r="B49" s="69">
        <v>0.869999999999998</v>
      </c>
      <c r="C49" s="68">
        <f>B49*'2. Dienstverlening'!$C$68</f>
        <v>86.999999999999801</v>
      </c>
    </row>
    <row r="50" spans="1:3" x14ac:dyDescent="0.25">
      <c r="A50" s="67">
        <v>8.8000000000000007</v>
      </c>
      <c r="B50" s="69">
        <v>0.87999999999999801</v>
      </c>
      <c r="C50" s="68">
        <f>B50*'2. Dienstverlening'!$C$68</f>
        <v>87.999999999999801</v>
      </c>
    </row>
    <row r="51" spans="1:3" x14ac:dyDescent="0.25">
      <c r="A51" s="67">
        <v>8.9</v>
      </c>
      <c r="B51" s="69">
        <v>0.88999999999999801</v>
      </c>
      <c r="C51" s="68">
        <f>B51*'2. Dienstverlening'!$C$68</f>
        <v>88.999999999999801</v>
      </c>
    </row>
    <row r="52" spans="1:3" x14ac:dyDescent="0.25">
      <c r="A52" s="67">
        <v>9</v>
      </c>
      <c r="B52" s="69">
        <v>0.89999999999999802</v>
      </c>
      <c r="C52" s="68">
        <f>B52*'2. Dienstverlening'!$C$68</f>
        <v>89.999999999999801</v>
      </c>
    </row>
    <row r="53" spans="1:3" x14ac:dyDescent="0.25">
      <c r="A53" s="67">
        <v>9.1</v>
      </c>
      <c r="B53" s="69">
        <v>0.90999999999999803</v>
      </c>
      <c r="C53" s="68">
        <f>B53*'2. Dienstverlening'!$C$68</f>
        <v>90.999999999999801</v>
      </c>
    </row>
    <row r="54" spans="1:3" x14ac:dyDescent="0.25">
      <c r="A54" s="67">
        <v>9.1999999999999993</v>
      </c>
      <c r="B54" s="69">
        <v>0.91999999999999804</v>
      </c>
      <c r="C54" s="68">
        <f>B54*'2. Dienstverlening'!$C$68</f>
        <v>91.999999999999801</v>
      </c>
    </row>
    <row r="55" spans="1:3" x14ac:dyDescent="0.25">
      <c r="A55" s="67">
        <v>9.3000000000000007</v>
      </c>
      <c r="B55" s="69">
        <v>0.92999999999999805</v>
      </c>
      <c r="C55" s="68">
        <f>B55*'2. Dienstverlening'!$C$68</f>
        <v>92.999999999999801</v>
      </c>
    </row>
    <row r="56" spans="1:3" x14ac:dyDescent="0.25">
      <c r="A56" s="67">
        <v>9.4</v>
      </c>
      <c r="B56" s="69">
        <v>0.93999999999999695</v>
      </c>
      <c r="C56" s="68">
        <f>B56*'2. Dienstverlening'!$C$68</f>
        <v>93.999999999999702</v>
      </c>
    </row>
    <row r="57" spans="1:3" x14ac:dyDescent="0.25">
      <c r="A57" s="67">
        <v>9.5</v>
      </c>
      <c r="B57" s="69">
        <v>0.94999999999999696</v>
      </c>
      <c r="C57" s="68">
        <f>B57*'2. Dienstverlening'!$C$68</f>
        <v>94.999999999999702</v>
      </c>
    </row>
    <row r="58" spans="1:3" x14ac:dyDescent="0.25">
      <c r="A58" s="67">
        <v>9.6</v>
      </c>
      <c r="B58" s="69">
        <v>0.95999999999999697</v>
      </c>
      <c r="C58" s="68">
        <f>B58*'2. Dienstverlening'!$C$68</f>
        <v>95.999999999999702</v>
      </c>
    </row>
    <row r="59" spans="1:3" x14ac:dyDescent="0.25">
      <c r="A59" s="67">
        <v>9.6999999999999993</v>
      </c>
      <c r="B59" s="69">
        <v>0.96999999999999698</v>
      </c>
      <c r="C59" s="68">
        <f>B59*'2. Dienstverlening'!$C$68</f>
        <v>96.999999999999702</v>
      </c>
    </row>
    <row r="60" spans="1:3" x14ac:dyDescent="0.25">
      <c r="A60" s="67">
        <v>9.8000000000000007</v>
      </c>
      <c r="B60" s="69">
        <v>0.97999999999999698</v>
      </c>
      <c r="C60" s="68">
        <f>B60*'2. Dienstverlening'!$C$68</f>
        <v>97.999999999999702</v>
      </c>
    </row>
    <row r="61" spans="1:3" x14ac:dyDescent="0.25">
      <c r="A61" s="67">
        <v>9.9</v>
      </c>
      <c r="B61" s="69">
        <v>0.98999999999999699</v>
      </c>
      <c r="C61" s="68">
        <f>B61*'2. Dienstverlening'!$C$68</f>
        <v>98.999999999999702</v>
      </c>
    </row>
    <row r="62" spans="1:3" x14ac:dyDescent="0.25">
      <c r="A62" s="67">
        <v>10</v>
      </c>
      <c r="B62" s="69">
        <v>0.999999999999997</v>
      </c>
      <c r="C62" s="68">
        <f>B62*'2. Dienstverlening'!$C$68</f>
        <v>99.999999999999702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zoomScale="80" zoomScaleNormal="80" workbookViewId="0">
      <selection activeCell="C17" sqref="C17"/>
    </sheetView>
  </sheetViews>
  <sheetFormatPr defaultColWidth="0" defaultRowHeight="12.5" zeroHeight="1" x14ac:dyDescent="0.25"/>
  <cols>
    <col min="1" max="1" width="6.453125" customWidth="1"/>
    <col min="2" max="2" width="37.453125" customWidth="1"/>
    <col min="3" max="3" width="60.54296875" customWidth="1"/>
    <col min="4" max="7" width="60.81640625" customWidth="1"/>
    <col min="8" max="8" width="8.7265625" customWidth="1"/>
    <col min="9" max="16384" width="8.7265625" hidden="1"/>
  </cols>
  <sheetData>
    <row r="1" spans="2:7" ht="51" customHeight="1" thickBot="1" x14ac:dyDescent="0.3">
      <c r="B1" s="82"/>
      <c r="C1" s="82"/>
      <c r="D1" s="82"/>
    </row>
    <row r="2" spans="2:7" ht="25" customHeight="1" thickTop="1" x14ac:dyDescent="0.25">
      <c r="B2" s="21" t="s">
        <v>9</v>
      </c>
      <c r="C2" s="19" t="str">
        <f>'Overzicht beoordelingsmatrix '!C3</f>
        <v>Inschrijver 1</v>
      </c>
      <c r="D2" s="19" t="str">
        <f>'Overzicht beoordelingsmatrix '!D3</f>
        <v>Inschrijver 2</v>
      </c>
      <c r="E2" s="19" t="str">
        <f>'Overzicht beoordelingsmatrix '!E3</f>
        <v>Inschrijver 3</v>
      </c>
      <c r="F2" s="19" t="str">
        <f>'Overzicht beoordelingsmatrix '!F3</f>
        <v>Inschrijver 4</v>
      </c>
      <c r="G2" s="19" t="str">
        <f>'Overzicht beoordelingsmatrix '!G3</f>
        <v>Inschrijver 5</v>
      </c>
    </row>
    <row r="3" spans="2:7" ht="25" customHeight="1" x14ac:dyDescent="0.25">
      <c r="B3" s="22" t="s">
        <v>1</v>
      </c>
      <c r="C3" s="23" t="s">
        <v>10</v>
      </c>
      <c r="D3" s="23" t="s">
        <v>10</v>
      </c>
      <c r="E3" s="23" t="s">
        <v>10</v>
      </c>
      <c r="F3" s="23" t="s">
        <v>10</v>
      </c>
      <c r="G3" s="23" t="s">
        <v>10</v>
      </c>
    </row>
    <row r="4" spans="2:7" ht="20.149999999999999" customHeight="1" x14ac:dyDescent="0.25">
      <c r="B4" s="24" t="s">
        <v>26</v>
      </c>
      <c r="C4" s="5">
        <v>2</v>
      </c>
      <c r="D4" s="5">
        <v>2</v>
      </c>
      <c r="E4" s="5">
        <v>2</v>
      </c>
      <c r="F4" s="5">
        <v>2</v>
      </c>
      <c r="G4" s="5">
        <v>2</v>
      </c>
    </row>
    <row r="5" spans="2:7" ht="25" customHeight="1" x14ac:dyDescent="0.25">
      <c r="B5" s="25" t="s">
        <v>13</v>
      </c>
      <c r="C5" s="5">
        <v>2</v>
      </c>
      <c r="D5" s="5">
        <v>2</v>
      </c>
      <c r="E5" s="5">
        <v>2</v>
      </c>
      <c r="F5" s="5">
        <v>2</v>
      </c>
      <c r="G5" s="5">
        <v>2</v>
      </c>
    </row>
    <row r="6" spans="2:7" ht="20.25" customHeight="1" x14ac:dyDescent="0.25">
      <c r="B6" s="25" t="s">
        <v>37</v>
      </c>
      <c r="C6" s="5">
        <v>2</v>
      </c>
      <c r="D6" s="5">
        <v>2</v>
      </c>
      <c r="E6" s="5">
        <v>2</v>
      </c>
      <c r="F6" s="5">
        <v>2</v>
      </c>
      <c r="G6" s="5">
        <v>2</v>
      </c>
    </row>
    <row r="7" spans="2:7" ht="20.25" customHeight="1" x14ac:dyDescent="0.25">
      <c r="B7" s="25" t="s">
        <v>43</v>
      </c>
      <c r="C7" s="5">
        <v>2</v>
      </c>
      <c r="D7" s="5">
        <v>2</v>
      </c>
      <c r="E7" s="5">
        <v>2</v>
      </c>
      <c r="F7" s="5">
        <v>2</v>
      </c>
      <c r="G7" s="5">
        <v>2</v>
      </c>
    </row>
    <row r="8" spans="2:7" ht="20.25" customHeight="1" x14ac:dyDescent="0.25">
      <c r="B8" s="25" t="s">
        <v>27</v>
      </c>
      <c r="C8" s="5">
        <v>2</v>
      </c>
      <c r="D8" s="5">
        <v>2</v>
      </c>
      <c r="E8" s="5">
        <v>2</v>
      </c>
      <c r="F8" s="5">
        <v>2</v>
      </c>
      <c r="G8" s="5">
        <v>2</v>
      </c>
    </row>
    <row r="9" spans="2:7" ht="20.25" customHeight="1" x14ac:dyDescent="0.25">
      <c r="B9" s="22" t="s">
        <v>12</v>
      </c>
      <c r="C9" s="22"/>
      <c r="D9" s="22"/>
      <c r="E9" s="22"/>
      <c r="F9" s="22"/>
      <c r="G9" s="22"/>
    </row>
    <row r="10" spans="2:7" ht="34.75" customHeight="1" x14ac:dyDescent="0.25">
      <c r="B10" s="25" t="s">
        <v>28</v>
      </c>
      <c r="C10" s="5">
        <v>2</v>
      </c>
      <c r="D10" s="5">
        <v>2</v>
      </c>
      <c r="E10" s="5">
        <v>2</v>
      </c>
      <c r="F10" s="5">
        <v>2</v>
      </c>
      <c r="G10" s="5">
        <v>2</v>
      </c>
    </row>
    <row r="11" spans="2:7" ht="20.25" customHeight="1" x14ac:dyDescent="0.25">
      <c r="B11" s="25" t="s">
        <v>29</v>
      </c>
      <c r="C11" s="5">
        <v>2</v>
      </c>
      <c r="D11" s="5">
        <v>1</v>
      </c>
      <c r="E11" s="5">
        <v>1</v>
      </c>
      <c r="F11" s="5">
        <v>1</v>
      </c>
      <c r="G11" s="5">
        <v>1</v>
      </c>
    </row>
    <row r="12" spans="2:7" ht="20.25" customHeight="1" x14ac:dyDescent="0.25">
      <c r="B12" s="22" t="s">
        <v>14</v>
      </c>
      <c r="C12" s="23"/>
      <c r="D12" s="23"/>
      <c r="E12" s="23"/>
      <c r="F12" s="23"/>
      <c r="G12" s="23"/>
    </row>
    <row r="13" spans="2:7" ht="28" customHeight="1" x14ac:dyDescent="0.25">
      <c r="B13" s="25" t="s">
        <v>30</v>
      </c>
      <c r="C13" s="5">
        <v>2</v>
      </c>
      <c r="D13" s="5">
        <v>2</v>
      </c>
      <c r="E13" s="5">
        <v>2</v>
      </c>
      <c r="F13" s="5">
        <v>2</v>
      </c>
      <c r="G13" s="5">
        <v>2</v>
      </c>
    </row>
    <row r="14" spans="2:7" ht="28" customHeight="1" x14ac:dyDescent="0.25">
      <c r="B14" s="25" t="s">
        <v>44</v>
      </c>
      <c r="C14" s="5">
        <v>2</v>
      </c>
      <c r="D14" s="5">
        <v>2</v>
      </c>
      <c r="E14" s="5">
        <v>2</v>
      </c>
      <c r="F14" s="5">
        <v>2</v>
      </c>
      <c r="G14" s="5">
        <v>2</v>
      </c>
    </row>
    <row r="15" spans="2:7" ht="25" customHeight="1" thickBot="1" x14ac:dyDescent="0.3">
      <c r="B15" s="18" t="s">
        <v>15</v>
      </c>
      <c r="C15" s="26" cm="1">
        <f t="array" ref="C15:C16">SUM(C4:C8)+(C10:C11)+(C13:C14)</f>
        <v>14</v>
      </c>
      <c r="D15" s="26" cm="1">
        <f t="array" ref="D15:D16">SUM(D4:D8)+(D10:D11)+(D13:D14)</f>
        <v>14</v>
      </c>
      <c r="E15" s="26" cm="1">
        <f t="array" ref="E15:E16">SUM(E4:E8)+(E10:E11)+(E13:E14)</f>
        <v>14</v>
      </c>
      <c r="F15" s="26" cm="1">
        <f t="array" ref="F15:F16">SUM(F4:F8)+(F10:F11)+(F13:F14)</f>
        <v>14</v>
      </c>
      <c r="G15" s="26" cm="1">
        <f t="array" ref="G15:G16">SUM(G4:G8)+(G10:G11)+(G13:G14)</f>
        <v>14</v>
      </c>
    </row>
    <row r="16" spans="2:7" ht="25" hidden="1" customHeight="1" x14ac:dyDescent="0.25">
      <c r="B16" s="64"/>
      <c r="C16" s="65">
        <v>14</v>
      </c>
      <c r="D16" s="65">
        <v>13</v>
      </c>
      <c r="E16" s="65">
        <v>13</v>
      </c>
      <c r="F16" s="65">
        <v>13</v>
      </c>
      <c r="G16" s="65">
        <v>13</v>
      </c>
    </row>
    <row r="17" spans="2:7" ht="30" customHeight="1" x14ac:dyDescent="0.25">
      <c r="B17" s="7" t="s">
        <v>16</v>
      </c>
      <c r="C17" s="8" t="s">
        <v>20</v>
      </c>
      <c r="D17" s="8" t="s">
        <v>18</v>
      </c>
      <c r="E17" s="8"/>
      <c r="F17" s="8"/>
      <c r="G17" s="8"/>
    </row>
    <row r="18" spans="2:7" ht="190.75" customHeight="1" x14ac:dyDescent="0.25">
      <c r="B18" s="25" t="s">
        <v>17</v>
      </c>
      <c r="C18" s="14"/>
      <c r="D18" s="14"/>
      <c r="E18" s="14"/>
      <c r="F18" s="14"/>
      <c r="G18" s="14"/>
    </row>
    <row r="19" spans="2:7" ht="25.4" customHeight="1" x14ac:dyDescent="0.25">
      <c r="B19" s="25" t="s">
        <v>31</v>
      </c>
      <c r="C19" s="14"/>
      <c r="D19" s="14"/>
      <c r="E19" s="14"/>
      <c r="F19" s="14"/>
      <c r="G19" s="14"/>
    </row>
    <row r="20" spans="2:7" x14ac:dyDescent="0.25">
      <c r="B20" s="9"/>
      <c r="C20" s="9"/>
      <c r="D20" s="9"/>
      <c r="E20" s="9"/>
      <c r="F20" s="9"/>
      <c r="G20" s="9"/>
    </row>
    <row r="21" spans="2:7" x14ac:dyDescent="0.25"/>
    <row r="26" spans="2:7" x14ac:dyDescent="0.25"/>
    <row r="27" spans="2:7" x14ac:dyDescent="0.25"/>
    <row r="28" spans="2:7" x14ac:dyDescent="0.25"/>
    <row r="29" spans="2:7" x14ac:dyDescent="0.25"/>
    <row r="30" spans="2:7" x14ac:dyDescent="0.25"/>
    <row r="31" spans="2:7" x14ac:dyDescent="0.25"/>
    <row r="32" spans="2:7" x14ac:dyDescent="0.25"/>
    <row r="33" x14ac:dyDescent="0.25"/>
    <row r="49" spans="3:7" hidden="1" x14ac:dyDescent="0.25">
      <c r="C49" s="3" t="s">
        <v>11</v>
      </c>
      <c r="D49" s="2" t="s">
        <v>18</v>
      </c>
      <c r="E49" s="2" t="s">
        <v>18</v>
      </c>
      <c r="F49" s="2" t="s">
        <v>18</v>
      </c>
      <c r="G49" s="2" t="s">
        <v>18</v>
      </c>
    </row>
    <row r="50" spans="3:7" hidden="1" x14ac:dyDescent="0.25">
      <c r="C50" s="4">
        <v>1</v>
      </c>
      <c r="D50" s="2" t="s">
        <v>19</v>
      </c>
      <c r="E50" s="2" t="s">
        <v>19</v>
      </c>
      <c r="F50" s="2" t="s">
        <v>19</v>
      </c>
      <c r="G50" s="2" t="s">
        <v>19</v>
      </c>
    </row>
    <row r="51" spans="3:7" hidden="1" x14ac:dyDescent="0.25">
      <c r="C51" s="4">
        <v>2</v>
      </c>
      <c r="D51" s="2" t="s">
        <v>20</v>
      </c>
      <c r="E51" s="2" t="s">
        <v>20</v>
      </c>
      <c r="F51" s="2" t="s">
        <v>20</v>
      </c>
      <c r="G51" s="2" t="s">
        <v>20</v>
      </c>
    </row>
    <row r="54" spans="3:7" x14ac:dyDescent="0.25"/>
    <row r="55" spans="3:7" x14ac:dyDescent="0.25"/>
  </sheetData>
  <sheetProtection algorithmName="SHA-512" hashValue="o5Cu4jUTNwfyVQ8kaQw52bSlZqBp1p5rXVOnia20yVCaY/qw1wT/088BfYI2mGiz92axQ+9CjNXGwke7K1x4bg==" saltValue="/w23ZKAq+q0iKF7COw/+cg==" spinCount="100000" sheet="1" objects="1" scenarios="1"/>
  <mergeCells count="1">
    <mergeCell ref="B1:D1"/>
  </mergeCells>
  <dataValidations count="2">
    <dataValidation type="list" allowBlank="1" showInputMessage="1" showErrorMessage="1" sqref="C17:G17" xr:uid="{00000000-0002-0000-0100-000001000000}">
      <formula1>$D$49:$D$51</formula1>
    </dataValidation>
    <dataValidation type="list" allowBlank="1" showInputMessage="1" showErrorMessage="1" sqref="C4:G14" xr:uid="{00000000-0002-0000-0100-000000000000}">
      <formula1>$C$49:$C$51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A128-5EA8-4CBC-9E93-56D4CCB1569D}">
  <dimension ref="A1:D10"/>
  <sheetViews>
    <sheetView tabSelected="1" workbookViewId="0">
      <selection activeCell="B8" sqref="B8"/>
    </sheetView>
  </sheetViews>
  <sheetFormatPr defaultColWidth="0" defaultRowHeight="12.5" zeroHeight="1" x14ac:dyDescent="0.25"/>
  <cols>
    <col min="1" max="1" width="8.7265625" customWidth="1"/>
    <col min="2" max="2" width="33.6328125" customWidth="1"/>
    <col min="3" max="3" width="67" customWidth="1"/>
    <col min="4" max="4" width="8.7265625" customWidth="1"/>
    <col min="5" max="16384" width="8.7265625" hidden="1"/>
  </cols>
  <sheetData>
    <row r="1" spans="2:3" ht="13" thickBot="1" x14ac:dyDescent="0.3"/>
    <row r="2" spans="2:3" ht="26" customHeight="1" thickBot="1" x14ac:dyDescent="0.3">
      <c r="B2" s="83" t="s">
        <v>59</v>
      </c>
      <c r="C2" s="84"/>
    </row>
    <row r="3" spans="2:3" ht="13.5" thickBot="1" x14ac:dyDescent="0.3">
      <c r="B3" s="70" t="s">
        <v>25</v>
      </c>
      <c r="C3" s="71" t="s">
        <v>60</v>
      </c>
    </row>
    <row r="4" spans="2:3" ht="25" customHeight="1" thickBot="1" x14ac:dyDescent="0.3">
      <c r="B4" s="73">
        <v>0</v>
      </c>
      <c r="C4" s="72" t="s">
        <v>61</v>
      </c>
    </row>
    <row r="5" spans="2:3" ht="48" customHeight="1" thickBot="1" x14ac:dyDescent="0.3">
      <c r="B5" s="73">
        <v>4</v>
      </c>
      <c r="C5" s="72" t="s">
        <v>62</v>
      </c>
    </row>
    <row r="6" spans="2:3" ht="47" customHeight="1" thickBot="1" x14ac:dyDescent="0.3">
      <c r="B6" s="73">
        <v>6</v>
      </c>
      <c r="C6" s="72" t="s">
        <v>63</v>
      </c>
    </row>
    <row r="7" spans="2:3" ht="44" customHeight="1" thickBot="1" x14ac:dyDescent="0.3">
      <c r="B7" s="73">
        <v>8</v>
      </c>
      <c r="C7" s="72" t="s">
        <v>64</v>
      </c>
    </row>
    <row r="8" spans="2:3" ht="47" customHeight="1" thickBot="1" x14ac:dyDescent="0.3">
      <c r="B8" s="73">
        <v>10</v>
      </c>
      <c r="C8" s="72" t="s">
        <v>65</v>
      </c>
    </row>
    <row r="9" spans="2:3" x14ac:dyDescent="0.25"/>
    <row r="10" spans="2:3" x14ac:dyDescent="0.25"/>
  </sheetData>
  <sheetProtection algorithmName="SHA-512" hashValue="9b7+jeoAshh0OwGKwx6M3nwNlPVtuddpCrFUVWHBwc0V6taplAYjWxRBBrGtAkiwgh5GbufYTlLtBUGUTet0WQ==" saltValue="U0Te1GaRRxn9wZuDCrzu+Q==" spinCount="100000" sheet="1" objects="1" scenarios="1"/>
  <mergeCells count="1">
    <mergeCell ref="B2:C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7D63B-CF9C-4103-B3E8-9B97B9476406}">
  <dimension ref="A1:K82"/>
  <sheetViews>
    <sheetView workbookViewId="0">
      <selection activeCell="C7" sqref="C7"/>
    </sheetView>
  </sheetViews>
  <sheetFormatPr defaultColWidth="0" defaultRowHeight="12.5" zeroHeight="1" x14ac:dyDescent="0.25"/>
  <cols>
    <col min="1" max="1" width="7.1796875" customWidth="1"/>
    <col min="2" max="2" width="27.453125" customWidth="1"/>
    <col min="3" max="7" width="30.81640625" customWidth="1"/>
    <col min="8" max="8" width="8.7265625" customWidth="1"/>
    <col min="9" max="11" width="0" hidden="1" customWidth="1"/>
    <col min="12" max="16384" width="8.7265625" hidden="1"/>
  </cols>
  <sheetData>
    <row r="1" spans="1:7" ht="13" thickBot="1" x14ac:dyDescent="0.3">
      <c r="B1" s="78"/>
      <c r="C1" s="78"/>
      <c r="D1" s="78"/>
    </row>
    <row r="2" spans="1:7" ht="23" customHeight="1" x14ac:dyDescent="0.25">
      <c r="B2" s="85" t="str">
        <f>'Overzicht beoordelingsmatrix '!B7</f>
        <v>1. Duurzaamheid</v>
      </c>
      <c r="C2" s="86"/>
      <c r="D2" s="86"/>
      <c r="E2" s="86"/>
      <c r="F2" s="86"/>
      <c r="G2" s="87"/>
    </row>
    <row r="3" spans="1:7" ht="20.5" customHeight="1" x14ac:dyDescent="0.25">
      <c r="B3" s="29"/>
      <c r="C3" s="27" t="str">
        <f>'Overzicht beoordelingsmatrix '!C3</f>
        <v>Inschrijver 1</v>
      </c>
      <c r="D3" s="27" t="str">
        <f>'Overzicht beoordelingsmatrix '!D3</f>
        <v>Inschrijver 2</v>
      </c>
      <c r="E3" s="27" t="str">
        <f>'Overzicht beoordelingsmatrix '!E3</f>
        <v>Inschrijver 3</v>
      </c>
      <c r="F3" s="27" t="str">
        <f>'Overzicht beoordelingsmatrix '!F3</f>
        <v>Inschrijver 4</v>
      </c>
      <c r="G3" s="30" t="str">
        <f>'Overzicht beoordelingsmatrix '!G3</f>
        <v>Inschrijver 5</v>
      </c>
    </row>
    <row r="4" spans="1:7" ht="37" customHeight="1" x14ac:dyDescent="0.25">
      <c r="B4" s="31" t="s">
        <v>52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</row>
    <row r="5" spans="1:7" ht="57.5" x14ac:dyDescent="0.25">
      <c r="B5" s="31" t="s">
        <v>53</v>
      </c>
      <c r="C5" s="10" t="s">
        <v>66</v>
      </c>
      <c r="D5" s="10" t="s">
        <v>66</v>
      </c>
      <c r="E5" s="10" t="s">
        <v>66</v>
      </c>
      <c r="F5" s="10" t="s">
        <v>66</v>
      </c>
      <c r="G5" s="10" t="s">
        <v>66</v>
      </c>
    </row>
    <row r="6" spans="1:7" ht="57.5" x14ac:dyDescent="0.25">
      <c r="B6" s="31" t="s">
        <v>54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</row>
    <row r="7" spans="1:7" ht="57.5" x14ac:dyDescent="0.25">
      <c r="B7" s="31" t="s">
        <v>55</v>
      </c>
      <c r="C7" s="10" t="s">
        <v>66</v>
      </c>
      <c r="D7" s="10" t="s">
        <v>66</v>
      </c>
      <c r="E7" s="10" t="s">
        <v>66</v>
      </c>
      <c r="F7" s="10" t="s">
        <v>66</v>
      </c>
      <c r="G7" s="10" t="s">
        <v>66</v>
      </c>
    </row>
    <row r="8" spans="1:7" ht="20" customHeight="1" x14ac:dyDescent="0.25">
      <c r="B8" s="32" t="s">
        <v>21</v>
      </c>
      <c r="C8" s="66">
        <f>AVERAGE(C4:C7)</f>
        <v>0</v>
      </c>
      <c r="D8" s="28">
        <f>AVERAGE(D4:D7)</f>
        <v>0</v>
      </c>
      <c r="E8" s="66">
        <f>AVERAGE(E4:E7)</f>
        <v>0</v>
      </c>
      <c r="F8" s="28">
        <f>AVERAGE(F4:F7)</f>
        <v>0</v>
      </c>
      <c r="G8" s="28">
        <f>AVERAGE(G4:G7)</f>
        <v>0</v>
      </c>
    </row>
    <row r="9" spans="1:7" ht="25" customHeight="1" thickBot="1" x14ac:dyDescent="0.3">
      <c r="B9" s="18" t="s">
        <v>22</v>
      </c>
      <c r="C9" s="33">
        <f>VLOOKUP(C8,'Punten duurzaamheid'!A:C,3,0)</f>
        <v>0</v>
      </c>
      <c r="D9" s="33">
        <f>VLOOKUP(D8,'Punten duurzaamheid'!A:C,3,0)</f>
        <v>0</v>
      </c>
      <c r="E9" s="33">
        <f>VLOOKUP(E8,'Punten duurzaamheid'!A:C,3,0)</f>
        <v>0</v>
      </c>
      <c r="F9" s="33">
        <f>VLOOKUP(F8,'Punten duurzaamheid'!A:C,3,0)</f>
        <v>0</v>
      </c>
      <c r="G9" s="33">
        <f>VLOOKUP(G8,'Punten duurzaamheid'!A:C,3,0)</f>
        <v>0</v>
      </c>
    </row>
    <row r="10" spans="1:7" x14ac:dyDescent="0.25">
      <c r="B10" s="9"/>
      <c r="C10" s="9"/>
      <c r="D10" s="9"/>
      <c r="E10" s="9"/>
      <c r="F10" s="9"/>
      <c r="G10" s="9"/>
    </row>
    <row r="11" spans="1:7" ht="24.5" customHeight="1" x14ac:dyDescent="0.25">
      <c r="B11" s="11" t="s">
        <v>23</v>
      </c>
      <c r="C11" s="8">
        <v>200</v>
      </c>
      <c r="D11" s="9"/>
      <c r="E11" s="9"/>
      <c r="F11" s="9"/>
      <c r="G11" s="9"/>
    </row>
    <row r="12" spans="1:7" x14ac:dyDescent="0.25">
      <c r="B12" s="9"/>
      <c r="C12" s="9"/>
      <c r="D12" s="9"/>
      <c r="E12" s="9"/>
      <c r="F12" s="9"/>
      <c r="G12" s="9"/>
    </row>
    <row r="13" spans="1:7" x14ac:dyDescent="0.25">
      <c r="B13" s="9"/>
      <c r="C13" s="9"/>
      <c r="D13" s="9"/>
      <c r="E13" s="9"/>
      <c r="F13" s="9"/>
      <c r="G13" s="9"/>
    </row>
    <row r="14" spans="1:7" hidden="1" x14ac:dyDescent="0.25">
      <c r="A14" t="s">
        <v>73</v>
      </c>
      <c r="B14" s="9"/>
      <c r="C14" s="9"/>
      <c r="D14" s="9"/>
      <c r="E14" s="9"/>
      <c r="F14" s="9"/>
      <c r="G14" s="9"/>
    </row>
    <row r="15" spans="1:7" ht="11.5" hidden="1" customHeight="1" x14ac:dyDescent="0.25">
      <c r="B15" s="9"/>
      <c r="C15" s="9"/>
      <c r="D15" s="9"/>
      <c r="E15" s="9"/>
      <c r="F15" s="9"/>
      <c r="G15" s="9"/>
    </row>
    <row r="20" spans="2:7" ht="75" hidden="1" x14ac:dyDescent="0.25">
      <c r="B20" s="13" t="s">
        <v>66</v>
      </c>
      <c r="C20" s="2" t="s">
        <v>58</v>
      </c>
    </row>
    <row r="21" spans="2:7" hidden="1" x14ac:dyDescent="0.25">
      <c r="B21" s="2">
        <v>0</v>
      </c>
      <c r="C21" s="67">
        <v>0</v>
      </c>
      <c r="D21">
        <f>0%*C11</f>
        <v>0</v>
      </c>
      <c r="E21">
        <f>0%*D11</f>
        <v>0</v>
      </c>
      <c r="F21">
        <f>0%*E11</f>
        <v>0</v>
      </c>
      <c r="G21">
        <f>0%*F11</f>
        <v>0</v>
      </c>
    </row>
    <row r="22" spans="2:7" hidden="1" x14ac:dyDescent="0.25">
      <c r="B22" s="2">
        <v>4</v>
      </c>
      <c r="C22" s="67">
        <v>4</v>
      </c>
      <c r="D22">
        <f>40%*C11</f>
        <v>80</v>
      </c>
      <c r="E22">
        <f>20%*D11</f>
        <v>0</v>
      </c>
      <c r="F22">
        <f>20%*E11</f>
        <v>0</v>
      </c>
      <c r="G22">
        <f>20%*F11</f>
        <v>0</v>
      </c>
    </row>
    <row r="23" spans="2:7" hidden="1" x14ac:dyDescent="0.25">
      <c r="B23" s="2">
        <v>6</v>
      </c>
      <c r="C23" s="68">
        <v>4.0999999999999996</v>
      </c>
      <c r="D23">
        <f>41%*C11</f>
        <v>82</v>
      </c>
      <c r="E23">
        <f>40%*D11</f>
        <v>0</v>
      </c>
      <c r="F23">
        <f>40%*E11</f>
        <v>0</v>
      </c>
      <c r="G23">
        <f>40%*F11</f>
        <v>0</v>
      </c>
    </row>
    <row r="24" spans="2:7" hidden="1" x14ac:dyDescent="0.25">
      <c r="B24" s="2">
        <v>8</v>
      </c>
      <c r="C24" s="68">
        <v>4.2</v>
      </c>
      <c r="D24">
        <f>42%*C$11</f>
        <v>84</v>
      </c>
      <c r="E24">
        <f>70%*D11</f>
        <v>0</v>
      </c>
      <c r="F24">
        <f>70%*E11</f>
        <v>0</v>
      </c>
      <c r="G24">
        <f>70%*F11</f>
        <v>0</v>
      </c>
    </row>
    <row r="25" spans="2:7" hidden="1" x14ac:dyDescent="0.25">
      <c r="B25" s="2">
        <v>10</v>
      </c>
      <c r="C25" s="68">
        <v>4.3</v>
      </c>
      <c r="D25">
        <f>43%*C$11</f>
        <v>86</v>
      </c>
      <c r="E25">
        <f>100%*D11</f>
        <v>0</v>
      </c>
      <c r="F25">
        <f>100%*E11</f>
        <v>0</v>
      </c>
      <c r="G25">
        <f>100%*F11</f>
        <v>0</v>
      </c>
    </row>
    <row r="26" spans="2:7" hidden="1" x14ac:dyDescent="0.25">
      <c r="C26" s="68">
        <v>4.4000000000000004</v>
      </c>
      <c r="D26">
        <f>44%*C$11</f>
        <v>88</v>
      </c>
    </row>
    <row r="27" spans="2:7" hidden="1" x14ac:dyDescent="0.25">
      <c r="C27" s="68">
        <v>4.5</v>
      </c>
      <c r="D27">
        <f>45%*C$11</f>
        <v>90</v>
      </c>
    </row>
    <row r="28" spans="2:7" hidden="1" x14ac:dyDescent="0.25">
      <c r="C28" s="68">
        <v>4.5999999999999996</v>
      </c>
      <c r="D28">
        <f>46%*C$11</f>
        <v>92</v>
      </c>
    </row>
    <row r="29" spans="2:7" hidden="1" x14ac:dyDescent="0.25">
      <c r="C29" s="68">
        <v>4.7</v>
      </c>
      <c r="D29">
        <f>47%*C$11</f>
        <v>94</v>
      </c>
    </row>
    <row r="30" spans="2:7" hidden="1" x14ac:dyDescent="0.25">
      <c r="C30" s="68">
        <v>4.8</v>
      </c>
      <c r="D30">
        <f>48%*C$11</f>
        <v>96</v>
      </c>
    </row>
    <row r="31" spans="2:7" hidden="1" x14ac:dyDescent="0.25">
      <c r="C31" s="68">
        <v>4.9000000000000004</v>
      </c>
      <c r="D31">
        <f>49%*C$11</f>
        <v>98</v>
      </c>
    </row>
    <row r="32" spans="2:7" hidden="1" x14ac:dyDescent="0.25">
      <c r="C32" s="68">
        <v>5</v>
      </c>
      <c r="D32">
        <f>50%*C$11</f>
        <v>100</v>
      </c>
    </row>
    <row r="33" spans="3:4" hidden="1" x14ac:dyDescent="0.25">
      <c r="C33" s="68">
        <v>5.0999999999999996</v>
      </c>
      <c r="D33">
        <f>51%*C$11</f>
        <v>102</v>
      </c>
    </row>
    <row r="34" spans="3:4" hidden="1" x14ac:dyDescent="0.25">
      <c r="C34" s="68">
        <v>5.2</v>
      </c>
      <c r="D34">
        <f>52%*C$11</f>
        <v>104</v>
      </c>
    </row>
    <row r="35" spans="3:4" hidden="1" x14ac:dyDescent="0.25">
      <c r="C35" s="68">
        <v>5.3</v>
      </c>
      <c r="D35">
        <f>53%*C$11</f>
        <v>106</v>
      </c>
    </row>
    <row r="36" spans="3:4" hidden="1" x14ac:dyDescent="0.25">
      <c r="C36" s="68">
        <v>5.4</v>
      </c>
      <c r="D36">
        <f>54%*C$11</f>
        <v>108</v>
      </c>
    </row>
    <row r="37" spans="3:4" hidden="1" x14ac:dyDescent="0.25">
      <c r="C37" s="68">
        <v>5.5</v>
      </c>
      <c r="D37">
        <f>55%*C$11</f>
        <v>110.00000000000001</v>
      </c>
    </row>
    <row r="38" spans="3:4" hidden="1" x14ac:dyDescent="0.25">
      <c r="C38" s="68">
        <v>5.6</v>
      </c>
      <c r="D38">
        <f>56%*C$11</f>
        <v>112.00000000000001</v>
      </c>
    </row>
    <row r="39" spans="3:4" hidden="1" x14ac:dyDescent="0.25">
      <c r="C39" s="68">
        <v>5.7</v>
      </c>
      <c r="D39">
        <f>57%*C$11</f>
        <v>113.99999999999999</v>
      </c>
    </row>
    <row r="40" spans="3:4" hidden="1" x14ac:dyDescent="0.25">
      <c r="C40" s="68">
        <v>5.8</v>
      </c>
      <c r="D40">
        <f>58%*C$11</f>
        <v>115.99999999999999</v>
      </c>
    </row>
    <row r="41" spans="3:4" hidden="1" x14ac:dyDescent="0.25">
      <c r="C41" s="68">
        <v>5.9</v>
      </c>
      <c r="D41">
        <f>59%*C$11</f>
        <v>118</v>
      </c>
    </row>
    <row r="42" spans="3:4" hidden="1" x14ac:dyDescent="0.25">
      <c r="C42" s="68">
        <v>6</v>
      </c>
      <c r="D42">
        <f>60%*C$11</f>
        <v>120</v>
      </c>
    </row>
    <row r="43" spans="3:4" hidden="1" x14ac:dyDescent="0.25">
      <c r="C43" s="67">
        <v>6.1</v>
      </c>
      <c r="D43">
        <f>61%*C$11</f>
        <v>122</v>
      </c>
    </row>
    <row r="44" spans="3:4" hidden="1" x14ac:dyDescent="0.25">
      <c r="C44" s="67">
        <v>6.2</v>
      </c>
      <c r="D44">
        <f>62%*C$11</f>
        <v>124</v>
      </c>
    </row>
    <row r="45" spans="3:4" hidden="1" x14ac:dyDescent="0.25">
      <c r="C45" s="67">
        <v>6.3</v>
      </c>
      <c r="D45">
        <f>63%*C$11</f>
        <v>126</v>
      </c>
    </row>
    <row r="46" spans="3:4" hidden="1" x14ac:dyDescent="0.25">
      <c r="C46" s="67">
        <v>6.4</v>
      </c>
      <c r="D46">
        <f>64%*C$11</f>
        <v>128</v>
      </c>
    </row>
    <row r="47" spans="3:4" hidden="1" x14ac:dyDescent="0.25">
      <c r="C47" s="67">
        <v>6.5</v>
      </c>
      <c r="D47">
        <f>65%*C$11</f>
        <v>130</v>
      </c>
    </row>
    <row r="48" spans="3:4" hidden="1" x14ac:dyDescent="0.25">
      <c r="C48" s="67">
        <v>6.6</v>
      </c>
      <c r="D48">
        <f>66%*C$11</f>
        <v>132</v>
      </c>
    </row>
    <row r="49" spans="3:4" hidden="1" x14ac:dyDescent="0.25">
      <c r="C49" s="67">
        <v>6.7</v>
      </c>
      <c r="D49">
        <f>67%*C$11</f>
        <v>134</v>
      </c>
    </row>
    <row r="50" spans="3:4" hidden="1" x14ac:dyDescent="0.25">
      <c r="C50" s="67">
        <v>6.8</v>
      </c>
      <c r="D50">
        <f>68%*C$11</f>
        <v>136</v>
      </c>
    </row>
    <row r="51" spans="3:4" hidden="1" x14ac:dyDescent="0.25">
      <c r="C51" s="67">
        <v>6.9</v>
      </c>
      <c r="D51">
        <f>69%*C$11</f>
        <v>138</v>
      </c>
    </row>
    <row r="52" spans="3:4" hidden="1" x14ac:dyDescent="0.25">
      <c r="C52" s="67">
        <v>7</v>
      </c>
      <c r="D52">
        <f>70%*C$11</f>
        <v>140</v>
      </c>
    </row>
    <row r="53" spans="3:4" hidden="1" x14ac:dyDescent="0.25">
      <c r="C53" s="67">
        <v>7.1000000000000103</v>
      </c>
      <c r="D53">
        <f>71%*C$11</f>
        <v>142</v>
      </c>
    </row>
    <row r="54" spans="3:4" hidden="1" x14ac:dyDescent="0.25">
      <c r="C54" s="67">
        <v>7.2000000000000099</v>
      </c>
      <c r="D54">
        <f>72%*C$11</f>
        <v>144</v>
      </c>
    </row>
    <row r="55" spans="3:4" hidden="1" x14ac:dyDescent="0.25">
      <c r="C55" s="67">
        <v>7.3000000000000096</v>
      </c>
      <c r="D55">
        <f>73%*C$11</f>
        <v>146</v>
      </c>
    </row>
    <row r="56" spans="3:4" hidden="1" x14ac:dyDescent="0.25">
      <c r="C56" s="67">
        <v>7.4000000000000101</v>
      </c>
      <c r="D56">
        <f>74%*C$11</f>
        <v>148</v>
      </c>
    </row>
    <row r="57" spans="3:4" hidden="1" x14ac:dyDescent="0.25">
      <c r="C57" s="67">
        <v>7.5000000000000098</v>
      </c>
      <c r="D57">
        <f>75%*C$11</f>
        <v>150</v>
      </c>
    </row>
    <row r="58" spans="3:4" hidden="1" x14ac:dyDescent="0.25">
      <c r="C58" s="67">
        <v>7.6000000000000103</v>
      </c>
      <c r="D58">
        <f>76%*C$11</f>
        <v>152</v>
      </c>
    </row>
    <row r="59" spans="3:4" hidden="1" x14ac:dyDescent="0.25">
      <c r="C59" s="67">
        <v>7.7000000000000099</v>
      </c>
      <c r="D59">
        <f>77%*C$11</f>
        <v>154</v>
      </c>
    </row>
    <row r="60" spans="3:4" hidden="1" x14ac:dyDescent="0.25">
      <c r="C60" s="67">
        <v>7.8000000000000096</v>
      </c>
      <c r="D60">
        <f>78%*C$11</f>
        <v>156</v>
      </c>
    </row>
    <row r="61" spans="3:4" hidden="1" x14ac:dyDescent="0.25">
      <c r="C61" s="67">
        <v>7.9000000000000101</v>
      </c>
      <c r="D61">
        <f>79%*C$11</f>
        <v>158</v>
      </c>
    </row>
    <row r="62" spans="3:4" hidden="1" x14ac:dyDescent="0.25">
      <c r="C62" s="67">
        <v>8.0000000000000107</v>
      </c>
      <c r="D62">
        <f>80%*C$11</f>
        <v>160</v>
      </c>
    </row>
    <row r="63" spans="3:4" hidden="1" x14ac:dyDescent="0.25">
      <c r="C63" s="67">
        <v>8.1000000000000103</v>
      </c>
      <c r="D63">
        <f>81%*C$11</f>
        <v>162</v>
      </c>
    </row>
    <row r="64" spans="3:4" hidden="1" x14ac:dyDescent="0.25">
      <c r="C64" s="67">
        <v>8.2000000000000099</v>
      </c>
      <c r="D64">
        <f>82%*C$11</f>
        <v>164</v>
      </c>
    </row>
    <row r="65" spans="3:4" hidden="1" x14ac:dyDescent="0.25">
      <c r="C65" s="67">
        <v>8.3000000000000096</v>
      </c>
      <c r="D65">
        <f>83%*C$11</f>
        <v>166</v>
      </c>
    </row>
    <row r="66" spans="3:4" hidden="1" x14ac:dyDescent="0.25">
      <c r="C66" s="67">
        <v>8.4000000000000092</v>
      </c>
      <c r="D66">
        <f>84%*C$11</f>
        <v>168</v>
      </c>
    </row>
    <row r="67" spans="3:4" hidden="1" x14ac:dyDescent="0.25">
      <c r="C67" s="67">
        <v>8.5000000000000107</v>
      </c>
      <c r="D67">
        <f>85%*C$11</f>
        <v>170</v>
      </c>
    </row>
    <row r="68" spans="3:4" hidden="1" x14ac:dyDescent="0.25">
      <c r="C68" s="67">
        <v>8.6000000000000103</v>
      </c>
      <c r="D68">
        <f>86%*C$11</f>
        <v>172</v>
      </c>
    </row>
    <row r="69" spans="3:4" hidden="1" x14ac:dyDescent="0.25">
      <c r="C69" s="67">
        <v>8.7000000000000099</v>
      </c>
      <c r="D69">
        <f>87%*C$11</f>
        <v>174</v>
      </c>
    </row>
    <row r="70" spans="3:4" hidden="1" x14ac:dyDescent="0.25">
      <c r="C70" s="67">
        <v>8.8000000000000096</v>
      </c>
      <c r="D70">
        <f>88%*C$11</f>
        <v>176</v>
      </c>
    </row>
    <row r="71" spans="3:4" hidden="1" x14ac:dyDescent="0.25">
      <c r="C71" s="67">
        <v>8.9000000000000092</v>
      </c>
      <c r="D71">
        <f>89%*C$11</f>
        <v>178</v>
      </c>
    </row>
    <row r="72" spans="3:4" hidden="1" x14ac:dyDescent="0.25">
      <c r="C72" s="67">
        <v>9.0000000000000195</v>
      </c>
      <c r="D72">
        <f>90%*C$11</f>
        <v>180</v>
      </c>
    </row>
    <row r="73" spans="3:4" hidden="1" x14ac:dyDescent="0.25">
      <c r="C73" s="67">
        <v>9.1000000000000192</v>
      </c>
      <c r="D73">
        <f>91%*C$11</f>
        <v>182</v>
      </c>
    </row>
    <row r="74" spans="3:4" hidden="1" x14ac:dyDescent="0.25">
      <c r="C74" s="67">
        <v>9.2000000000000206</v>
      </c>
      <c r="D74">
        <f>92%*C$11</f>
        <v>184</v>
      </c>
    </row>
    <row r="75" spans="3:4" hidden="1" x14ac:dyDescent="0.25">
      <c r="C75" s="67">
        <v>9.3000000000000203</v>
      </c>
      <c r="D75">
        <f>93%*C$11</f>
        <v>186</v>
      </c>
    </row>
    <row r="76" spans="3:4" hidden="1" x14ac:dyDescent="0.25">
      <c r="C76" s="67">
        <v>9.4000000000000199</v>
      </c>
      <c r="D76">
        <f>94%*C$11</f>
        <v>188</v>
      </c>
    </row>
    <row r="77" spans="3:4" hidden="1" x14ac:dyDescent="0.25">
      <c r="C77" s="67">
        <v>9.5000000000000195</v>
      </c>
      <c r="D77">
        <f>95%*C$11</f>
        <v>190</v>
      </c>
    </row>
    <row r="78" spans="3:4" hidden="1" x14ac:dyDescent="0.25">
      <c r="C78" s="67">
        <v>9.6000000000000298</v>
      </c>
      <c r="D78">
        <f>96%*C$11</f>
        <v>192</v>
      </c>
    </row>
    <row r="79" spans="3:4" hidden="1" x14ac:dyDescent="0.25">
      <c r="C79" s="67">
        <v>9.7000000000000295</v>
      </c>
      <c r="D79">
        <f>97%*C$11</f>
        <v>194</v>
      </c>
    </row>
    <row r="80" spans="3:4" hidden="1" x14ac:dyDescent="0.25">
      <c r="C80" s="67">
        <v>9.8000000000000291</v>
      </c>
      <c r="D80">
        <f>98%*C$11</f>
        <v>196</v>
      </c>
    </row>
    <row r="81" spans="3:4" hidden="1" x14ac:dyDescent="0.25">
      <c r="C81" s="67">
        <v>9.9000000000000306</v>
      </c>
      <c r="D81">
        <f>99%*C$11</f>
        <v>198</v>
      </c>
    </row>
    <row r="82" spans="3:4" hidden="1" x14ac:dyDescent="0.25">
      <c r="C82" s="67">
        <v>10</v>
      </c>
      <c r="D82">
        <f>100%*C$11</f>
        <v>200</v>
      </c>
    </row>
  </sheetData>
  <sheetProtection algorithmName="SHA-512" hashValue="DH+4Gl81RKY6hZWQ5lrYI4XApBcsE8ywpFf/Gq6XHO/h0uos4UbTgJLFtDewcTmzEjJqNOLlAwFAwr1z2XuNhQ==" saltValue="7Za7gg4mF8KQEXhfyIw00g==" spinCount="100000" sheet="1" objects="1" scenarios="1"/>
  <mergeCells count="2">
    <mergeCell ref="B1:D1"/>
    <mergeCell ref="B2:G2"/>
  </mergeCells>
  <dataValidations count="1">
    <dataValidation type="list" allowBlank="1" showInputMessage="1" showErrorMessage="1" sqref="C4:G7" xr:uid="{36584DEA-9EE7-4978-9D91-3BEC796B9C13}">
      <formula1>$B$20:$B$25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B957-0256-4F8B-9CEE-DE47CAA85BBB}">
  <dimension ref="A1:K215"/>
  <sheetViews>
    <sheetView topLeftCell="A55" workbookViewId="0">
      <selection activeCell="A13" sqref="A13:XFD13"/>
    </sheetView>
  </sheetViews>
  <sheetFormatPr defaultColWidth="0" defaultRowHeight="12.5" zeroHeight="1" x14ac:dyDescent="0.25"/>
  <cols>
    <col min="1" max="1" width="7.1796875" customWidth="1"/>
    <col min="2" max="2" width="27.453125" customWidth="1"/>
    <col min="3" max="7" width="30.81640625" customWidth="1"/>
    <col min="8" max="8" width="8.7265625" customWidth="1"/>
    <col min="9" max="11" width="0" hidden="1" customWidth="1"/>
    <col min="12" max="16384" width="8.7265625" hidden="1"/>
  </cols>
  <sheetData>
    <row r="1" spans="2:7" ht="13" thickBot="1" x14ac:dyDescent="0.3">
      <c r="B1" s="78"/>
      <c r="C1" s="78"/>
      <c r="D1" s="78"/>
    </row>
    <row r="2" spans="2:7" ht="23" customHeight="1" x14ac:dyDescent="0.25">
      <c r="B2" s="85" t="str">
        <f>'Overzicht beoordelingsmatrix '!B8</f>
        <v>2. Dienstverlening en implementatie</v>
      </c>
      <c r="C2" s="86"/>
      <c r="D2" s="86"/>
      <c r="E2" s="86"/>
      <c r="F2" s="86"/>
      <c r="G2" s="87"/>
    </row>
    <row r="3" spans="2:7" ht="20.5" customHeight="1" x14ac:dyDescent="0.25">
      <c r="B3" s="29"/>
      <c r="C3" s="27" t="str">
        <f>'Overzicht beoordelingsmatrix '!C3</f>
        <v>Inschrijver 1</v>
      </c>
      <c r="D3" s="27" t="str">
        <f>'Overzicht beoordelingsmatrix '!D3</f>
        <v>Inschrijver 2</v>
      </c>
      <c r="E3" s="27" t="str">
        <f>'Overzicht beoordelingsmatrix '!E3</f>
        <v>Inschrijver 3</v>
      </c>
      <c r="F3" s="27" t="str">
        <f>'Overzicht beoordelingsmatrix '!F3</f>
        <v>Inschrijver 4</v>
      </c>
      <c r="G3" s="30" t="str">
        <f>'Overzicht beoordelingsmatrix '!G3</f>
        <v>Inschrijver 5</v>
      </c>
    </row>
    <row r="4" spans="2:7" ht="37" customHeight="1" x14ac:dyDescent="0.25">
      <c r="B4" s="31" t="s">
        <v>15</v>
      </c>
      <c r="C4" s="74">
        <f>C17+C29+C42+C54+C66</f>
        <v>0</v>
      </c>
      <c r="D4" s="74">
        <f t="shared" ref="D4:F4" si="0">D17+D29+D42+D54+D66</f>
        <v>0</v>
      </c>
      <c r="E4" s="74">
        <f t="shared" si="0"/>
        <v>0</v>
      </c>
      <c r="F4" s="74">
        <f t="shared" si="0"/>
        <v>0</v>
      </c>
      <c r="G4" s="74">
        <f>G17+G29+G42+G54+G66</f>
        <v>0</v>
      </c>
    </row>
    <row r="5" spans="2:7" x14ac:dyDescent="0.25">
      <c r="B5" s="9"/>
      <c r="C5" s="9"/>
      <c r="D5" s="9"/>
      <c r="E5" s="9"/>
      <c r="F5" s="9"/>
      <c r="G5" s="9"/>
    </row>
    <row r="6" spans="2:7" ht="24.5" customHeight="1" x14ac:dyDescent="0.25">
      <c r="B6" s="11" t="s">
        <v>23</v>
      </c>
      <c r="C6" s="8">
        <v>200</v>
      </c>
      <c r="D6" s="9"/>
      <c r="E6" s="9"/>
      <c r="F6" s="9"/>
      <c r="G6" s="9"/>
    </row>
    <row r="7" spans="2:7" x14ac:dyDescent="0.25">
      <c r="B7" s="9"/>
      <c r="C7" s="9"/>
      <c r="D7" s="9"/>
      <c r="E7" s="9"/>
      <c r="F7" s="9"/>
      <c r="G7" s="9"/>
    </row>
    <row r="8" spans="2:7" x14ac:dyDescent="0.25">
      <c r="B8" s="9"/>
      <c r="C8" s="9"/>
      <c r="D8" s="9"/>
      <c r="E8" s="9"/>
      <c r="F8" s="9"/>
      <c r="G8" s="9"/>
    </row>
    <row r="9" spans="2:7" ht="13" thickBot="1" x14ac:dyDescent="0.3">
      <c r="B9" s="9"/>
      <c r="C9" s="9"/>
      <c r="D9" s="9"/>
      <c r="E9" s="9"/>
      <c r="F9" s="9"/>
      <c r="G9" s="9"/>
    </row>
    <row r="10" spans="2:7" ht="23" customHeight="1" x14ac:dyDescent="0.25">
      <c r="B10" s="85" t="s">
        <v>68</v>
      </c>
      <c r="C10" s="86"/>
      <c r="D10" s="86"/>
      <c r="E10" s="86"/>
      <c r="F10" s="86"/>
      <c r="G10" s="87"/>
    </row>
    <row r="11" spans="2:7" ht="20.5" customHeight="1" x14ac:dyDescent="0.25">
      <c r="B11" s="29"/>
      <c r="C11" s="27" t="str">
        <f>$C$3</f>
        <v>Inschrijver 1</v>
      </c>
      <c r="D11" s="27" t="str">
        <f>$D$3</f>
        <v>Inschrijver 2</v>
      </c>
      <c r="E11" s="27" t="str">
        <f>$E$3</f>
        <v>Inschrijver 3</v>
      </c>
      <c r="F11" s="27" t="str">
        <f>$F$3</f>
        <v>Inschrijver 4</v>
      </c>
      <c r="G11" s="27" t="str">
        <f>$G$3</f>
        <v>Inschrijver 5</v>
      </c>
    </row>
    <row r="12" spans="2:7" ht="37" customHeight="1" x14ac:dyDescent="0.25">
      <c r="B12" s="31" t="s">
        <v>52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2:7" ht="57.5" x14ac:dyDescent="0.25">
      <c r="B13" s="31" t="s">
        <v>53</v>
      </c>
      <c r="C13" s="10" t="s">
        <v>66</v>
      </c>
      <c r="D13" s="10" t="s">
        <v>66</v>
      </c>
      <c r="E13" s="10" t="s">
        <v>66</v>
      </c>
      <c r="F13" s="10" t="s">
        <v>66</v>
      </c>
      <c r="G13" s="10" t="s">
        <v>66</v>
      </c>
    </row>
    <row r="14" spans="2:7" ht="57.5" x14ac:dyDescent="0.25">
      <c r="B14" s="31" t="s">
        <v>54</v>
      </c>
      <c r="C14" s="10" t="s">
        <v>66</v>
      </c>
      <c r="D14" s="10" t="s">
        <v>66</v>
      </c>
      <c r="E14" s="10" t="s">
        <v>66</v>
      </c>
      <c r="F14" s="10" t="s">
        <v>66</v>
      </c>
      <c r="G14" s="10" t="s">
        <v>66</v>
      </c>
    </row>
    <row r="15" spans="2:7" ht="57.5" x14ac:dyDescent="0.25">
      <c r="B15" s="31" t="s">
        <v>55</v>
      </c>
      <c r="C15" s="10" t="s">
        <v>66</v>
      </c>
      <c r="D15" s="10" t="s">
        <v>66</v>
      </c>
      <c r="E15" s="10" t="s">
        <v>66</v>
      </c>
      <c r="F15" s="10" t="s">
        <v>66</v>
      </c>
      <c r="G15" s="10" t="s">
        <v>66</v>
      </c>
    </row>
    <row r="16" spans="2:7" ht="20" customHeight="1" x14ac:dyDescent="0.25">
      <c r="B16" s="32" t="s">
        <v>21</v>
      </c>
      <c r="C16" s="66">
        <f>AVERAGE(C12:C15)</f>
        <v>0</v>
      </c>
      <c r="D16" s="66">
        <f>AVERAGE(D12:D15)</f>
        <v>0</v>
      </c>
      <c r="E16" s="66">
        <f>AVERAGE(E12:E15)</f>
        <v>0</v>
      </c>
      <c r="F16" s="66">
        <f>AVERAGE(F12:F15)</f>
        <v>0</v>
      </c>
      <c r="G16" s="66">
        <f>AVERAGE(G12:G15)</f>
        <v>0</v>
      </c>
    </row>
    <row r="17" spans="2:7" ht="25" customHeight="1" thickBot="1" x14ac:dyDescent="0.3">
      <c r="B17" s="18" t="s">
        <v>22</v>
      </c>
      <c r="C17" s="33">
        <f>VLOOKUP(C16,'Punten dienstverlening 2.1-2.4'!A:C,3,0)</f>
        <v>0</v>
      </c>
      <c r="D17" s="33">
        <f>VLOOKUP(D16,'Punten dienstverlening 2.1-2.4'!A:C,3,0)</f>
        <v>0</v>
      </c>
      <c r="E17" s="33">
        <f>VLOOKUP(E16,'Punten dienstverlening 2.1-2.4'!A:C,3,0)</f>
        <v>0</v>
      </c>
      <c r="F17" s="33">
        <f>VLOOKUP(F16,'Punten dienstverlening 2.1-2.4'!A:C,3,0)</f>
        <v>0</v>
      </c>
      <c r="G17" s="33">
        <f>VLOOKUP(G16,'Punten dienstverlening 2.1-2.4'!A:C,3,0)</f>
        <v>0</v>
      </c>
    </row>
    <row r="18" spans="2:7" x14ac:dyDescent="0.25">
      <c r="B18" s="9"/>
      <c r="C18" s="9"/>
      <c r="D18" s="9"/>
      <c r="E18" s="9"/>
      <c r="F18" s="9"/>
      <c r="G18" s="9"/>
    </row>
    <row r="19" spans="2:7" ht="24.5" customHeight="1" x14ac:dyDescent="0.25">
      <c r="B19" s="11" t="s">
        <v>23</v>
      </c>
      <c r="C19" s="8">
        <v>25</v>
      </c>
      <c r="D19" s="9"/>
      <c r="E19" s="9"/>
      <c r="F19" s="9"/>
      <c r="G19" s="9"/>
    </row>
    <row r="20" spans="2:7" x14ac:dyDescent="0.25">
      <c r="B20" s="9"/>
      <c r="C20" s="9"/>
      <c r="D20" s="9"/>
      <c r="E20" s="9"/>
      <c r="F20" s="9"/>
      <c r="G20" s="9"/>
    </row>
    <row r="21" spans="2:7" ht="13" thickBot="1" x14ac:dyDescent="0.3">
      <c r="B21" s="9"/>
      <c r="C21" s="9"/>
      <c r="D21" s="9"/>
      <c r="E21" s="9"/>
      <c r="F21" s="9"/>
      <c r="G21" s="9"/>
    </row>
    <row r="22" spans="2:7" ht="23" customHeight="1" x14ac:dyDescent="0.25">
      <c r="B22" s="85" t="s">
        <v>69</v>
      </c>
      <c r="C22" s="86"/>
      <c r="D22" s="86"/>
      <c r="E22" s="86"/>
      <c r="F22" s="86"/>
      <c r="G22" s="87"/>
    </row>
    <row r="23" spans="2:7" ht="20.5" customHeight="1" x14ac:dyDescent="0.25">
      <c r="B23" s="29"/>
      <c r="C23" s="27" t="str">
        <f>$C$3</f>
        <v>Inschrijver 1</v>
      </c>
      <c r="D23" s="27" t="str">
        <f>$D$3</f>
        <v>Inschrijver 2</v>
      </c>
      <c r="E23" s="27" t="str">
        <f>$E$3</f>
        <v>Inschrijver 3</v>
      </c>
      <c r="F23" s="27" t="str">
        <f>$F$3</f>
        <v>Inschrijver 4</v>
      </c>
      <c r="G23" s="27" t="str">
        <f>$G$3</f>
        <v>Inschrijver 5</v>
      </c>
    </row>
    <row r="24" spans="2:7" ht="37" customHeight="1" x14ac:dyDescent="0.25">
      <c r="B24" s="31" t="s">
        <v>52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2:7" ht="57.5" x14ac:dyDescent="0.25">
      <c r="B25" s="31" t="s">
        <v>53</v>
      </c>
      <c r="C25" s="10" t="s">
        <v>66</v>
      </c>
      <c r="D25" s="10" t="s">
        <v>66</v>
      </c>
      <c r="E25" s="10" t="s">
        <v>66</v>
      </c>
      <c r="F25" s="10" t="s">
        <v>66</v>
      </c>
      <c r="G25" s="10" t="s">
        <v>66</v>
      </c>
    </row>
    <row r="26" spans="2:7" ht="57.5" x14ac:dyDescent="0.25">
      <c r="B26" s="31" t="s">
        <v>54</v>
      </c>
      <c r="C26" s="10" t="s">
        <v>66</v>
      </c>
      <c r="D26" s="10" t="s">
        <v>66</v>
      </c>
      <c r="E26" s="10" t="s">
        <v>66</v>
      </c>
      <c r="F26" s="10" t="s">
        <v>66</v>
      </c>
      <c r="G26" s="10" t="s">
        <v>66</v>
      </c>
    </row>
    <row r="27" spans="2:7" ht="57.5" x14ac:dyDescent="0.25">
      <c r="B27" s="31" t="s">
        <v>55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</row>
    <row r="28" spans="2:7" ht="20" customHeight="1" x14ac:dyDescent="0.25">
      <c r="B28" s="32" t="s">
        <v>21</v>
      </c>
      <c r="C28" s="66">
        <f>AVERAGE(C24:C27)</f>
        <v>0</v>
      </c>
      <c r="D28" s="66">
        <f>AVERAGE(D24:D27)</f>
        <v>0</v>
      </c>
      <c r="E28" s="66">
        <f>AVERAGE(E24:E27)</f>
        <v>0</v>
      </c>
      <c r="F28" s="66">
        <f>AVERAGE(F24:F27)</f>
        <v>0</v>
      </c>
      <c r="G28" s="66">
        <f>AVERAGE(G24:G27)</f>
        <v>0</v>
      </c>
    </row>
    <row r="29" spans="2:7" ht="25" customHeight="1" thickBot="1" x14ac:dyDescent="0.3">
      <c r="B29" s="18" t="s">
        <v>22</v>
      </c>
      <c r="C29" s="33">
        <f>VLOOKUP(C28,'Punten dienstverlening 2.1-2.4'!$A:$C,3,0)</f>
        <v>0</v>
      </c>
      <c r="D29" s="33">
        <f>VLOOKUP(D28,'Punten dienstverlening 2.1-2.4'!$A:$C,3,0)</f>
        <v>0</v>
      </c>
      <c r="E29" s="33">
        <f>VLOOKUP(E28,'Punten dienstverlening 2.1-2.4'!$A:$C,3,0)</f>
        <v>0</v>
      </c>
      <c r="F29" s="33">
        <f>VLOOKUP(F28,'Punten dienstverlening 2.1-2.4'!$A:$C,3,0)</f>
        <v>0</v>
      </c>
      <c r="G29" s="33">
        <f>VLOOKUP(G28,'Punten dienstverlening 2.1-2.4'!$A:$C,3,0)</f>
        <v>0</v>
      </c>
    </row>
    <row r="30" spans="2:7" x14ac:dyDescent="0.25">
      <c r="B30" s="9"/>
      <c r="C30" s="9"/>
      <c r="D30" s="9"/>
      <c r="E30" s="9"/>
      <c r="F30" s="9"/>
      <c r="G30" s="9"/>
    </row>
    <row r="31" spans="2:7" ht="24.5" customHeight="1" x14ac:dyDescent="0.25">
      <c r="B31" s="11" t="s">
        <v>23</v>
      </c>
      <c r="C31" s="8">
        <v>25</v>
      </c>
      <c r="D31" s="9"/>
      <c r="E31" s="9"/>
      <c r="F31" s="9"/>
      <c r="G31" s="9"/>
    </row>
    <row r="32" spans="2:7" x14ac:dyDescent="0.25">
      <c r="B32" s="9"/>
      <c r="C32" s="9"/>
      <c r="D32" s="9"/>
      <c r="E32" s="9"/>
      <c r="F32" s="9"/>
      <c r="G32" s="9"/>
    </row>
    <row r="33" spans="2:7" x14ac:dyDescent="0.25">
      <c r="B33" s="9"/>
      <c r="C33" s="9"/>
      <c r="D33" s="9"/>
      <c r="E33" s="9"/>
      <c r="F33" s="9"/>
      <c r="G33" s="9"/>
    </row>
    <row r="34" spans="2:7" ht="13" thickBot="1" x14ac:dyDescent="0.3">
      <c r="B34" s="9"/>
      <c r="C34" s="9"/>
      <c r="D34" s="9"/>
      <c r="E34" s="9"/>
      <c r="F34" s="9"/>
      <c r="G34" s="9"/>
    </row>
    <row r="35" spans="2:7" ht="23" customHeight="1" x14ac:dyDescent="0.25">
      <c r="B35" s="85" t="s">
        <v>70</v>
      </c>
      <c r="C35" s="86"/>
      <c r="D35" s="86"/>
      <c r="E35" s="86"/>
      <c r="F35" s="86"/>
      <c r="G35" s="87"/>
    </row>
    <row r="36" spans="2:7" ht="20.5" customHeight="1" x14ac:dyDescent="0.25">
      <c r="B36" s="29"/>
      <c r="C36" s="27" t="str">
        <f>$C$3</f>
        <v>Inschrijver 1</v>
      </c>
      <c r="D36" s="27" t="str">
        <f>$D$3</f>
        <v>Inschrijver 2</v>
      </c>
      <c r="E36" s="27" t="str">
        <f>$E$3</f>
        <v>Inschrijver 3</v>
      </c>
      <c r="F36" s="27" t="str">
        <f>$F$3</f>
        <v>Inschrijver 4</v>
      </c>
      <c r="G36" s="27" t="str">
        <f>$G$3</f>
        <v>Inschrijver 5</v>
      </c>
    </row>
    <row r="37" spans="2:7" ht="37" customHeight="1" x14ac:dyDescent="0.25">
      <c r="B37" s="31" t="s">
        <v>52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</row>
    <row r="38" spans="2:7" ht="57.5" x14ac:dyDescent="0.25">
      <c r="B38" s="31" t="s">
        <v>53</v>
      </c>
      <c r="C38" s="10" t="s">
        <v>66</v>
      </c>
      <c r="D38" s="10" t="s">
        <v>66</v>
      </c>
      <c r="E38" s="10" t="s">
        <v>66</v>
      </c>
      <c r="F38" s="10" t="s">
        <v>66</v>
      </c>
      <c r="G38" s="10" t="s">
        <v>66</v>
      </c>
    </row>
    <row r="39" spans="2:7" ht="57.5" x14ac:dyDescent="0.25">
      <c r="B39" s="31" t="s">
        <v>54</v>
      </c>
      <c r="C39" s="10" t="s">
        <v>66</v>
      </c>
      <c r="D39" s="10" t="s">
        <v>66</v>
      </c>
      <c r="E39" s="10" t="s">
        <v>66</v>
      </c>
      <c r="F39" s="10" t="s">
        <v>66</v>
      </c>
      <c r="G39" s="10" t="s">
        <v>66</v>
      </c>
    </row>
    <row r="40" spans="2:7" ht="57.5" x14ac:dyDescent="0.25">
      <c r="B40" s="31" t="s">
        <v>55</v>
      </c>
      <c r="C40" s="10" t="s">
        <v>66</v>
      </c>
      <c r="D40" s="10" t="s">
        <v>66</v>
      </c>
      <c r="E40" s="10" t="s">
        <v>66</v>
      </c>
      <c r="F40" s="10" t="s">
        <v>66</v>
      </c>
      <c r="G40" s="10" t="s">
        <v>66</v>
      </c>
    </row>
    <row r="41" spans="2:7" ht="20" customHeight="1" x14ac:dyDescent="0.25">
      <c r="B41" s="32" t="s">
        <v>21</v>
      </c>
      <c r="C41" s="66">
        <f>AVERAGE(C37:C40)</f>
        <v>0</v>
      </c>
      <c r="D41" s="66">
        <f>AVERAGE(D37:D40)</f>
        <v>0</v>
      </c>
      <c r="E41" s="66">
        <f>AVERAGE(E37:E40)</f>
        <v>0</v>
      </c>
      <c r="F41" s="66">
        <f>AVERAGE(F37:F40)</f>
        <v>0</v>
      </c>
      <c r="G41" s="66">
        <f>AVERAGE(G37:G40)</f>
        <v>0</v>
      </c>
    </row>
    <row r="42" spans="2:7" ht="25" customHeight="1" thickBot="1" x14ac:dyDescent="0.3">
      <c r="B42" s="18" t="s">
        <v>22</v>
      </c>
      <c r="C42" s="33">
        <f>VLOOKUP(C41,'Punten dienstverlening 2.1-2.4'!$A:$C,3,0)</f>
        <v>0</v>
      </c>
      <c r="D42" s="33">
        <f>VLOOKUP(D41,'Punten dienstverlening 2.1-2.4'!$A:$C,3,0)</f>
        <v>0</v>
      </c>
      <c r="E42" s="33">
        <f>VLOOKUP(E41,'Punten dienstverlening 2.1-2.4'!$A:$C,3,0)</f>
        <v>0</v>
      </c>
      <c r="F42" s="33">
        <f>VLOOKUP(F41,'Punten dienstverlening 2.1-2.4'!$A:$C,3,0)</f>
        <v>0</v>
      </c>
      <c r="G42" s="33">
        <f>VLOOKUP(G41,'Punten dienstverlening 2.1-2.4'!$A:$C,3,0)</f>
        <v>0</v>
      </c>
    </row>
    <row r="43" spans="2:7" x14ac:dyDescent="0.25">
      <c r="B43" s="9"/>
      <c r="C43" s="9"/>
      <c r="D43" s="9"/>
      <c r="E43" s="9"/>
      <c r="F43" s="9"/>
      <c r="G43" s="9"/>
    </row>
    <row r="44" spans="2:7" ht="24.5" customHeight="1" x14ac:dyDescent="0.25">
      <c r="B44" s="11" t="s">
        <v>23</v>
      </c>
      <c r="C44" s="8">
        <v>25</v>
      </c>
      <c r="D44" s="9"/>
      <c r="E44" s="9"/>
      <c r="F44" s="9"/>
      <c r="G44" s="9"/>
    </row>
    <row r="45" spans="2:7" x14ac:dyDescent="0.25">
      <c r="B45" s="9"/>
      <c r="C45" s="9"/>
      <c r="D45" s="9"/>
      <c r="E45" s="9"/>
      <c r="F45" s="9"/>
      <c r="G45" s="9"/>
    </row>
    <row r="46" spans="2:7" ht="13" thickBot="1" x14ac:dyDescent="0.3">
      <c r="B46" s="9"/>
      <c r="C46" s="9"/>
      <c r="D46" s="9"/>
      <c r="E46" s="9"/>
      <c r="F46" s="9"/>
      <c r="G46" s="9"/>
    </row>
    <row r="47" spans="2:7" ht="23" customHeight="1" x14ac:dyDescent="0.25">
      <c r="B47" s="85" t="s">
        <v>71</v>
      </c>
      <c r="C47" s="86"/>
      <c r="D47" s="86"/>
      <c r="E47" s="86"/>
      <c r="F47" s="86"/>
      <c r="G47" s="87"/>
    </row>
    <row r="48" spans="2:7" ht="20.5" customHeight="1" x14ac:dyDescent="0.25">
      <c r="B48" s="29"/>
      <c r="C48" s="27" t="str">
        <f>$C$3</f>
        <v>Inschrijver 1</v>
      </c>
      <c r="D48" s="27" t="str">
        <f>$D$3</f>
        <v>Inschrijver 2</v>
      </c>
      <c r="E48" s="27" t="str">
        <f>$E$3</f>
        <v>Inschrijver 3</v>
      </c>
      <c r="F48" s="27" t="str">
        <f>$F$3</f>
        <v>Inschrijver 4</v>
      </c>
      <c r="G48" s="27" t="str">
        <f>$G$3</f>
        <v>Inschrijver 5</v>
      </c>
    </row>
    <row r="49" spans="2:7" ht="37" customHeight="1" x14ac:dyDescent="0.25">
      <c r="B49" s="31" t="s">
        <v>52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</row>
    <row r="50" spans="2:7" ht="57.5" x14ac:dyDescent="0.25">
      <c r="B50" s="31" t="s">
        <v>53</v>
      </c>
      <c r="C50" s="10" t="s">
        <v>66</v>
      </c>
      <c r="D50" s="10" t="s">
        <v>66</v>
      </c>
      <c r="E50" s="10" t="s">
        <v>66</v>
      </c>
      <c r="F50" s="10" t="s">
        <v>66</v>
      </c>
      <c r="G50" s="10" t="s">
        <v>66</v>
      </c>
    </row>
    <row r="51" spans="2:7" ht="57.5" x14ac:dyDescent="0.25">
      <c r="B51" s="31" t="s">
        <v>54</v>
      </c>
      <c r="C51" s="10" t="s">
        <v>66</v>
      </c>
      <c r="D51" s="10" t="s">
        <v>66</v>
      </c>
      <c r="E51" s="10" t="s">
        <v>66</v>
      </c>
      <c r="F51" s="10" t="s">
        <v>66</v>
      </c>
      <c r="G51" s="10" t="s">
        <v>66</v>
      </c>
    </row>
    <row r="52" spans="2:7" ht="57.5" x14ac:dyDescent="0.25">
      <c r="B52" s="31" t="s">
        <v>55</v>
      </c>
      <c r="C52" s="10" t="s">
        <v>66</v>
      </c>
      <c r="D52" s="10" t="s">
        <v>66</v>
      </c>
      <c r="E52" s="10" t="s">
        <v>66</v>
      </c>
      <c r="F52" s="10" t="s">
        <v>66</v>
      </c>
      <c r="G52" s="10" t="s">
        <v>66</v>
      </c>
    </row>
    <row r="53" spans="2:7" ht="20" customHeight="1" x14ac:dyDescent="0.25">
      <c r="B53" s="32" t="s">
        <v>21</v>
      </c>
      <c r="C53" s="66">
        <f>AVERAGE(C49:C52)</f>
        <v>0</v>
      </c>
      <c r="D53" s="28">
        <f>AVERAGE(D49:D52)</f>
        <v>0</v>
      </c>
      <c r="E53" s="66">
        <f>AVERAGE(E49:E52)</f>
        <v>0</v>
      </c>
      <c r="F53" s="28">
        <f>AVERAGE(F49:F52)</f>
        <v>0</v>
      </c>
      <c r="G53" s="28">
        <f>AVERAGE(G49:G52)</f>
        <v>0</v>
      </c>
    </row>
    <row r="54" spans="2:7" ht="25" customHeight="1" thickBot="1" x14ac:dyDescent="0.3">
      <c r="B54" s="18" t="s">
        <v>22</v>
      </c>
      <c r="C54" s="33">
        <f>VLOOKUP(C53,'Punten duurzaamheid'!A:C,3,0)</f>
        <v>0</v>
      </c>
      <c r="D54" s="33">
        <f>VLOOKUP(D53,'Punten duurzaamheid'!A:C,3,0)</f>
        <v>0</v>
      </c>
      <c r="E54" s="33">
        <f>VLOOKUP(E53,'Punten duurzaamheid'!A:C,3,0)</f>
        <v>0</v>
      </c>
      <c r="F54" s="33">
        <f>VLOOKUP(F53,'Punten duurzaamheid'!A:C,3,0)</f>
        <v>0</v>
      </c>
      <c r="G54" s="33">
        <f>VLOOKUP(G53,'Punten duurzaamheid'!A:C,3,0)</f>
        <v>0</v>
      </c>
    </row>
    <row r="55" spans="2:7" x14ac:dyDescent="0.25">
      <c r="B55" s="9"/>
      <c r="C55" s="9"/>
      <c r="D55" s="9"/>
      <c r="E55" s="9"/>
      <c r="F55" s="9"/>
      <c r="G55" s="9"/>
    </row>
    <row r="56" spans="2:7" ht="24.5" customHeight="1" x14ac:dyDescent="0.25">
      <c r="B56" s="11" t="s">
        <v>23</v>
      </c>
      <c r="C56" s="8">
        <v>25</v>
      </c>
      <c r="D56" s="9"/>
      <c r="E56" s="9"/>
      <c r="F56" s="9"/>
      <c r="G56" s="9"/>
    </row>
    <row r="57" spans="2:7" x14ac:dyDescent="0.25">
      <c r="B57" s="9"/>
      <c r="C57" s="9"/>
      <c r="D57" s="9"/>
      <c r="E57" s="9"/>
      <c r="F57" s="9"/>
      <c r="G57" s="9"/>
    </row>
    <row r="58" spans="2:7" ht="13" thickBot="1" x14ac:dyDescent="0.3">
      <c r="B58" s="9"/>
      <c r="C58" s="9"/>
      <c r="D58" s="9"/>
      <c r="E58" s="9"/>
      <c r="F58" s="9"/>
      <c r="G58" s="9"/>
    </row>
    <row r="59" spans="2:7" ht="23" customHeight="1" x14ac:dyDescent="0.25">
      <c r="B59" s="85" t="s">
        <v>72</v>
      </c>
      <c r="C59" s="86"/>
      <c r="D59" s="86"/>
      <c r="E59" s="86"/>
      <c r="F59" s="86"/>
      <c r="G59" s="87"/>
    </row>
    <row r="60" spans="2:7" ht="20.5" customHeight="1" x14ac:dyDescent="0.25">
      <c r="B60" s="29"/>
      <c r="C60" s="27" t="str">
        <f>$C$3</f>
        <v>Inschrijver 1</v>
      </c>
      <c r="D60" s="27" t="str">
        <f>$D$3</f>
        <v>Inschrijver 2</v>
      </c>
      <c r="E60" s="27" t="str">
        <f>$E$3</f>
        <v>Inschrijver 3</v>
      </c>
      <c r="F60" s="27" t="str">
        <f>$F$3</f>
        <v>Inschrijver 4</v>
      </c>
      <c r="G60" s="27" t="str">
        <f>$G$3</f>
        <v>Inschrijver 5</v>
      </c>
    </row>
    <row r="61" spans="2:7" ht="37" customHeight="1" x14ac:dyDescent="0.25">
      <c r="B61" s="31" t="s">
        <v>52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</row>
    <row r="62" spans="2:7" ht="57.5" x14ac:dyDescent="0.25">
      <c r="B62" s="31" t="s">
        <v>53</v>
      </c>
      <c r="C62" s="10" t="s">
        <v>66</v>
      </c>
      <c r="D62" s="10" t="s">
        <v>66</v>
      </c>
      <c r="E62" s="10" t="s">
        <v>66</v>
      </c>
      <c r="F62" s="10" t="s">
        <v>66</v>
      </c>
      <c r="G62" s="10" t="s">
        <v>66</v>
      </c>
    </row>
    <row r="63" spans="2:7" ht="57.5" x14ac:dyDescent="0.25">
      <c r="B63" s="31" t="s">
        <v>54</v>
      </c>
      <c r="C63" s="10" t="s">
        <v>66</v>
      </c>
      <c r="D63" s="10" t="s">
        <v>66</v>
      </c>
      <c r="E63" s="10" t="s">
        <v>66</v>
      </c>
      <c r="F63" s="10" t="s">
        <v>66</v>
      </c>
      <c r="G63" s="10" t="s">
        <v>66</v>
      </c>
    </row>
    <row r="64" spans="2:7" ht="57.5" x14ac:dyDescent="0.25">
      <c r="B64" s="31" t="s">
        <v>55</v>
      </c>
      <c r="C64" s="10" t="s">
        <v>66</v>
      </c>
      <c r="D64" s="10" t="s">
        <v>66</v>
      </c>
      <c r="E64" s="10" t="s">
        <v>66</v>
      </c>
      <c r="F64" s="10" t="s">
        <v>66</v>
      </c>
      <c r="G64" s="10" t="s">
        <v>66</v>
      </c>
    </row>
    <row r="65" spans="2:7" ht="20" customHeight="1" x14ac:dyDescent="0.25">
      <c r="B65" s="32" t="s">
        <v>21</v>
      </c>
      <c r="C65" s="66">
        <f>AVERAGE(C61:C64)</f>
        <v>0</v>
      </c>
      <c r="D65" s="66">
        <f>AVERAGE(D61:D64)</f>
        <v>0</v>
      </c>
      <c r="E65" s="66">
        <f>AVERAGE(E61:E64)</f>
        <v>0</v>
      </c>
      <c r="F65" s="66">
        <f>AVERAGE(F61:F64)</f>
        <v>0</v>
      </c>
      <c r="G65" s="66">
        <f>AVERAGE(G61:G64)</f>
        <v>0</v>
      </c>
    </row>
    <row r="66" spans="2:7" ht="25" customHeight="1" thickBot="1" x14ac:dyDescent="0.3">
      <c r="B66" s="18" t="s">
        <v>22</v>
      </c>
      <c r="C66" s="33">
        <f>VLOOKUP(C65,'Punten dienstverlening 2.5'!$A:$C,3,0)</f>
        <v>0</v>
      </c>
      <c r="D66" s="33">
        <f>VLOOKUP(D65,'Punten dienstverlening 2.5'!$A:$C,3,0)</f>
        <v>0</v>
      </c>
      <c r="E66" s="33">
        <f>VLOOKUP(E65,'Punten dienstverlening 2.5'!$A:$C,3,0)</f>
        <v>0</v>
      </c>
      <c r="F66" s="33">
        <f>VLOOKUP(F65,'Punten dienstverlening 2.5'!$A:$C,3,0)</f>
        <v>0</v>
      </c>
      <c r="G66" s="33">
        <f>VLOOKUP(G65,'Punten dienstverlening 2.5'!$A:$C,3,0)</f>
        <v>0</v>
      </c>
    </row>
    <row r="67" spans="2:7" x14ac:dyDescent="0.25">
      <c r="B67" s="9"/>
      <c r="C67" s="9"/>
      <c r="D67" s="9"/>
      <c r="E67" s="9"/>
      <c r="F67" s="9"/>
      <c r="G67" s="9"/>
    </row>
    <row r="68" spans="2:7" ht="24.5" customHeight="1" x14ac:dyDescent="0.25">
      <c r="B68" s="11" t="s">
        <v>23</v>
      </c>
      <c r="C68" s="8">
        <v>100</v>
      </c>
      <c r="D68" s="9"/>
      <c r="E68" s="9"/>
      <c r="F68" s="9"/>
      <c r="G68" s="9"/>
    </row>
    <row r="69" spans="2:7" x14ac:dyDescent="0.25">
      <c r="B69" s="9"/>
      <c r="C69" s="9"/>
      <c r="D69" s="9"/>
      <c r="E69" s="9"/>
      <c r="F69" s="9"/>
      <c r="G69" s="9"/>
    </row>
    <row r="70" spans="2:7" x14ac:dyDescent="0.25">
      <c r="B70" s="9"/>
      <c r="C70" s="9"/>
      <c r="D70" s="9"/>
      <c r="E70" s="9"/>
      <c r="F70" s="9"/>
      <c r="G70" s="9"/>
    </row>
    <row r="71" spans="2:7" x14ac:dyDescent="0.25">
      <c r="B71" s="9"/>
      <c r="C71" s="9"/>
      <c r="D71" s="9"/>
      <c r="E71" s="9"/>
      <c r="F71" s="9"/>
      <c r="G71" s="9"/>
    </row>
    <row r="72" spans="2:7" hidden="1" x14ac:dyDescent="0.25">
      <c r="B72" s="9"/>
      <c r="C72" s="9"/>
      <c r="D72" s="9"/>
      <c r="E72" s="9"/>
      <c r="F72" s="9"/>
      <c r="G72" s="9"/>
    </row>
    <row r="73" spans="2:7" hidden="1" x14ac:dyDescent="0.25">
      <c r="B73" s="9"/>
      <c r="C73" s="9"/>
      <c r="D73" s="9"/>
      <c r="E73" s="9"/>
      <c r="F73" s="9"/>
      <c r="G73" s="9"/>
    </row>
    <row r="74" spans="2:7" hidden="1" x14ac:dyDescent="0.25">
      <c r="B74" s="9"/>
      <c r="C74" s="9"/>
      <c r="D74" s="9"/>
      <c r="E74" s="9"/>
      <c r="F74" s="9"/>
      <c r="G74" s="9"/>
    </row>
    <row r="75" spans="2:7" hidden="1" x14ac:dyDescent="0.25">
      <c r="B75" s="9"/>
      <c r="C75" s="9"/>
      <c r="D75" s="9"/>
      <c r="E75" s="9"/>
      <c r="F75" s="9"/>
      <c r="G75" s="9"/>
    </row>
    <row r="76" spans="2:7" hidden="1" x14ac:dyDescent="0.25">
      <c r="B76" s="9"/>
      <c r="C76" s="9"/>
      <c r="D76" s="9"/>
      <c r="E76" s="9"/>
      <c r="F76" s="9"/>
      <c r="G76" s="9"/>
    </row>
    <row r="77" spans="2:7" hidden="1" x14ac:dyDescent="0.25">
      <c r="B77" s="9"/>
      <c r="C77" s="9"/>
      <c r="D77" s="9"/>
      <c r="E77" s="9"/>
      <c r="F77" s="9"/>
      <c r="G77" s="9"/>
    </row>
    <row r="78" spans="2:7" hidden="1" x14ac:dyDescent="0.25">
      <c r="B78" s="9"/>
      <c r="C78" s="9"/>
      <c r="D78" s="9"/>
      <c r="E78" s="9"/>
      <c r="F78" s="9"/>
      <c r="G78" s="9"/>
    </row>
    <row r="79" spans="2:7" hidden="1" x14ac:dyDescent="0.25">
      <c r="B79" s="9"/>
      <c r="C79" s="9"/>
      <c r="D79" s="9"/>
      <c r="E79" s="9"/>
      <c r="F79" s="9"/>
      <c r="G79" s="9"/>
    </row>
    <row r="80" spans="2:7" hidden="1" x14ac:dyDescent="0.25">
      <c r="B80" s="9"/>
      <c r="C80" s="9"/>
      <c r="D80" s="9"/>
      <c r="E80" s="9"/>
      <c r="F80" s="9"/>
      <c r="G80" s="9"/>
    </row>
    <row r="81" spans="2:7" hidden="1" x14ac:dyDescent="0.25">
      <c r="B81" s="9"/>
      <c r="C81" s="9"/>
      <c r="D81" s="9"/>
      <c r="E81" s="9"/>
      <c r="F81" s="9"/>
      <c r="G81" s="9"/>
    </row>
    <row r="82" spans="2:7" hidden="1" x14ac:dyDescent="0.25">
      <c r="B82" s="9"/>
      <c r="C82" s="9"/>
      <c r="D82" s="9"/>
      <c r="E82" s="9"/>
      <c r="F82" s="9"/>
      <c r="G82" s="9"/>
    </row>
    <row r="83" spans="2:7" hidden="1" x14ac:dyDescent="0.25">
      <c r="B83" s="9"/>
      <c r="C83" s="9"/>
      <c r="D83" s="9"/>
      <c r="E83" s="9"/>
      <c r="F83" s="9"/>
      <c r="G83" s="9"/>
    </row>
    <row r="84" spans="2:7" hidden="1" x14ac:dyDescent="0.25">
      <c r="B84" s="9"/>
      <c r="C84" s="9"/>
      <c r="D84" s="9"/>
      <c r="E84" s="9"/>
      <c r="F84" s="9"/>
      <c r="G84" s="9"/>
    </row>
    <row r="85" spans="2:7" hidden="1" x14ac:dyDescent="0.25">
      <c r="B85" s="9"/>
      <c r="C85" s="9"/>
      <c r="D85" s="9"/>
      <c r="E85" s="9"/>
      <c r="F85" s="9"/>
      <c r="G85" s="9"/>
    </row>
    <row r="86" spans="2:7" hidden="1" x14ac:dyDescent="0.25">
      <c r="B86" s="9"/>
      <c r="C86" s="9"/>
      <c r="D86" s="9"/>
      <c r="E86" s="9"/>
      <c r="F86" s="9"/>
      <c r="G86" s="9"/>
    </row>
    <row r="87" spans="2:7" hidden="1" x14ac:dyDescent="0.25">
      <c r="B87" s="9"/>
      <c r="C87" s="9"/>
      <c r="D87" s="9"/>
      <c r="E87" s="9"/>
      <c r="F87" s="9"/>
      <c r="G87" s="9"/>
    </row>
    <row r="88" spans="2:7" hidden="1" x14ac:dyDescent="0.25">
      <c r="B88" s="9"/>
      <c r="C88" s="9"/>
      <c r="D88" s="9"/>
      <c r="E88" s="9"/>
      <c r="F88" s="9"/>
      <c r="G88" s="9"/>
    </row>
    <row r="89" spans="2:7" hidden="1" x14ac:dyDescent="0.25">
      <c r="B89" s="9"/>
      <c r="C89" s="9"/>
      <c r="D89" s="9"/>
      <c r="E89" s="9"/>
      <c r="F89" s="9"/>
      <c r="G89" s="9"/>
    </row>
    <row r="90" spans="2:7" hidden="1" x14ac:dyDescent="0.25">
      <c r="B90" s="9"/>
      <c r="C90" s="9"/>
      <c r="D90" s="9"/>
      <c r="E90" s="9"/>
      <c r="F90" s="9"/>
      <c r="G90" s="9"/>
    </row>
    <row r="91" spans="2:7" hidden="1" x14ac:dyDescent="0.25">
      <c r="B91" s="9"/>
      <c r="C91" s="9"/>
      <c r="D91" s="9"/>
      <c r="E91" s="9"/>
      <c r="F91" s="9"/>
      <c r="G91" s="9"/>
    </row>
    <row r="92" spans="2:7" hidden="1" x14ac:dyDescent="0.25">
      <c r="B92" s="9"/>
      <c r="C92" s="9"/>
      <c r="D92" s="9"/>
      <c r="E92" s="9"/>
      <c r="F92" s="9"/>
      <c r="G92" s="9"/>
    </row>
    <row r="93" spans="2:7" hidden="1" x14ac:dyDescent="0.25">
      <c r="B93" s="9"/>
      <c r="C93" s="9"/>
      <c r="D93" s="9"/>
      <c r="E93" s="9"/>
      <c r="F93" s="9"/>
      <c r="G93" s="9"/>
    </row>
    <row r="94" spans="2:7" hidden="1" x14ac:dyDescent="0.25">
      <c r="B94" s="9"/>
      <c r="C94" s="9"/>
      <c r="D94" s="9"/>
      <c r="E94" s="9"/>
      <c r="F94" s="9"/>
      <c r="G94" s="9"/>
    </row>
    <row r="95" spans="2:7" hidden="1" x14ac:dyDescent="0.25">
      <c r="B95" s="9"/>
      <c r="C95" s="9"/>
      <c r="D95" s="9"/>
      <c r="E95" s="9"/>
      <c r="F95" s="9"/>
      <c r="G95" s="9"/>
    </row>
    <row r="96" spans="2:7" hidden="1" x14ac:dyDescent="0.25">
      <c r="B96" s="9"/>
      <c r="C96" s="9"/>
      <c r="D96" s="9"/>
      <c r="E96" s="9"/>
      <c r="F96" s="9"/>
      <c r="G96" s="9"/>
    </row>
    <row r="97" spans="2:7" hidden="1" x14ac:dyDescent="0.25">
      <c r="B97" s="9"/>
      <c r="C97" s="9"/>
      <c r="D97" s="9"/>
      <c r="E97" s="9"/>
      <c r="F97" s="9"/>
      <c r="G97" s="9"/>
    </row>
    <row r="98" spans="2:7" hidden="1" x14ac:dyDescent="0.25">
      <c r="B98" s="9"/>
      <c r="C98" s="9"/>
      <c r="D98" s="9"/>
      <c r="E98" s="9"/>
      <c r="F98" s="9"/>
      <c r="G98" s="9"/>
    </row>
    <row r="99" spans="2:7" hidden="1" x14ac:dyDescent="0.25">
      <c r="B99" s="9"/>
      <c r="C99" s="9"/>
      <c r="D99" s="9"/>
      <c r="E99" s="9"/>
      <c r="F99" s="9"/>
      <c r="G99" s="9"/>
    </row>
    <row r="100" spans="2:7" hidden="1" x14ac:dyDescent="0.25">
      <c r="B100" s="9"/>
      <c r="C100" s="9"/>
      <c r="D100" s="9"/>
      <c r="E100" s="9"/>
      <c r="F100" s="9"/>
      <c r="G100" s="9"/>
    </row>
    <row r="101" spans="2:7" hidden="1" x14ac:dyDescent="0.25">
      <c r="B101" s="9"/>
      <c r="C101" s="9"/>
      <c r="D101" s="9"/>
      <c r="E101" s="9"/>
      <c r="F101" s="9"/>
      <c r="G101" s="9"/>
    </row>
    <row r="102" spans="2:7" hidden="1" x14ac:dyDescent="0.25">
      <c r="B102" s="9"/>
      <c r="C102" s="9"/>
      <c r="D102" s="9"/>
      <c r="E102" s="9"/>
      <c r="F102" s="9"/>
      <c r="G102" s="9"/>
    </row>
    <row r="103" spans="2:7" hidden="1" x14ac:dyDescent="0.25">
      <c r="B103" s="9"/>
      <c r="C103" s="9"/>
      <c r="D103" s="9"/>
      <c r="E103" s="9"/>
      <c r="F103" s="9"/>
      <c r="G103" s="9"/>
    </row>
    <row r="104" spans="2:7" hidden="1" x14ac:dyDescent="0.25">
      <c r="B104" s="9"/>
      <c r="C104" s="9"/>
      <c r="D104" s="9"/>
      <c r="E104" s="9"/>
      <c r="F104" s="9"/>
      <c r="G104" s="9"/>
    </row>
    <row r="105" spans="2:7" hidden="1" x14ac:dyDescent="0.25">
      <c r="B105" s="9"/>
      <c r="C105" s="9"/>
      <c r="D105" s="9"/>
      <c r="E105" s="9"/>
      <c r="F105" s="9"/>
      <c r="G105" s="9"/>
    </row>
    <row r="106" spans="2:7" hidden="1" x14ac:dyDescent="0.25">
      <c r="B106" s="9"/>
      <c r="C106" s="9"/>
      <c r="D106" s="9"/>
      <c r="E106" s="9"/>
      <c r="F106" s="9"/>
      <c r="G106" s="9"/>
    </row>
    <row r="107" spans="2:7" hidden="1" x14ac:dyDescent="0.25">
      <c r="B107" s="9"/>
      <c r="C107" s="9"/>
      <c r="D107" s="9"/>
      <c r="E107" s="9"/>
      <c r="F107" s="9"/>
      <c r="G107" s="9"/>
    </row>
    <row r="108" spans="2:7" hidden="1" x14ac:dyDescent="0.25">
      <c r="B108" s="9"/>
      <c r="C108" s="9"/>
      <c r="D108" s="9"/>
      <c r="E108" s="9"/>
      <c r="F108" s="9"/>
      <c r="G108" s="9"/>
    </row>
    <row r="109" spans="2:7" hidden="1" x14ac:dyDescent="0.25">
      <c r="B109" s="9"/>
      <c r="C109" s="9"/>
      <c r="D109" s="9"/>
      <c r="E109" s="9"/>
      <c r="F109" s="9"/>
      <c r="G109" s="9"/>
    </row>
    <row r="110" spans="2:7" hidden="1" x14ac:dyDescent="0.25">
      <c r="B110" s="9"/>
      <c r="C110" s="9"/>
      <c r="D110" s="9"/>
      <c r="E110" s="9"/>
      <c r="F110" s="9"/>
      <c r="G110" s="9"/>
    </row>
    <row r="111" spans="2:7" hidden="1" x14ac:dyDescent="0.25">
      <c r="B111" s="9"/>
      <c r="C111" s="9"/>
      <c r="D111" s="9"/>
      <c r="E111" s="9"/>
      <c r="F111" s="9"/>
      <c r="G111" s="9"/>
    </row>
    <row r="112" spans="2:7" hidden="1" x14ac:dyDescent="0.25">
      <c r="B112" s="9"/>
      <c r="C112" s="9"/>
      <c r="D112" s="9"/>
      <c r="E112" s="9"/>
      <c r="F112" s="9"/>
      <c r="G112" s="9"/>
    </row>
    <row r="113" spans="2:7" hidden="1" x14ac:dyDescent="0.25">
      <c r="B113" s="9"/>
      <c r="C113" s="9"/>
      <c r="D113" s="9"/>
      <c r="E113" s="9"/>
      <c r="F113" s="9"/>
      <c r="G113" s="9"/>
    </row>
    <row r="114" spans="2:7" hidden="1" x14ac:dyDescent="0.25">
      <c r="B114" s="9"/>
      <c r="C114" s="9"/>
      <c r="D114" s="9"/>
      <c r="E114" s="9"/>
      <c r="F114" s="9"/>
      <c r="G114" s="9"/>
    </row>
    <row r="115" spans="2:7" hidden="1" x14ac:dyDescent="0.25">
      <c r="B115" s="9"/>
      <c r="C115" s="9"/>
      <c r="D115" s="9"/>
      <c r="E115" s="9"/>
      <c r="F115" s="9"/>
      <c r="G115" s="9"/>
    </row>
    <row r="116" spans="2:7" hidden="1" x14ac:dyDescent="0.25">
      <c r="B116" s="9"/>
      <c r="C116" s="9"/>
      <c r="D116" s="9"/>
      <c r="E116" s="9"/>
      <c r="F116" s="9"/>
      <c r="G116" s="9"/>
    </row>
    <row r="117" spans="2:7" hidden="1" x14ac:dyDescent="0.25">
      <c r="B117" s="9"/>
      <c r="C117" s="9"/>
      <c r="D117" s="9"/>
      <c r="E117" s="9"/>
      <c r="F117" s="9"/>
      <c r="G117" s="9"/>
    </row>
    <row r="118" spans="2:7" hidden="1" x14ac:dyDescent="0.25">
      <c r="B118" s="9"/>
      <c r="C118" s="9"/>
      <c r="D118" s="9"/>
      <c r="E118" s="9"/>
      <c r="F118" s="9"/>
      <c r="G118" s="9"/>
    </row>
    <row r="119" spans="2:7" hidden="1" x14ac:dyDescent="0.25">
      <c r="B119" s="9"/>
      <c r="C119" s="9"/>
      <c r="D119" s="9"/>
      <c r="E119" s="9"/>
      <c r="F119" s="9"/>
      <c r="G119" s="9"/>
    </row>
    <row r="120" spans="2:7" hidden="1" x14ac:dyDescent="0.25">
      <c r="B120" s="9"/>
      <c r="C120" s="9"/>
      <c r="D120" s="9"/>
      <c r="E120" s="9"/>
      <c r="F120" s="9"/>
      <c r="G120" s="9"/>
    </row>
    <row r="121" spans="2:7" hidden="1" x14ac:dyDescent="0.25">
      <c r="B121" s="9"/>
      <c r="C121" s="9"/>
      <c r="D121" s="9"/>
      <c r="E121" s="9"/>
      <c r="F121" s="9"/>
      <c r="G121" s="9"/>
    </row>
    <row r="122" spans="2:7" hidden="1" x14ac:dyDescent="0.25">
      <c r="B122" s="9"/>
      <c r="C122" s="9"/>
      <c r="D122" s="9"/>
      <c r="E122" s="9"/>
      <c r="F122" s="9"/>
      <c r="G122" s="9"/>
    </row>
    <row r="123" spans="2:7" hidden="1" x14ac:dyDescent="0.25">
      <c r="B123" s="9"/>
      <c r="C123" s="9"/>
      <c r="D123" s="9"/>
      <c r="E123" s="9"/>
      <c r="F123" s="9"/>
      <c r="G123" s="9"/>
    </row>
    <row r="124" spans="2:7" hidden="1" x14ac:dyDescent="0.25">
      <c r="B124" s="9"/>
      <c r="C124" s="9"/>
      <c r="D124" s="9"/>
      <c r="E124" s="9"/>
      <c r="F124" s="9"/>
      <c r="G124" s="9"/>
    </row>
    <row r="125" spans="2:7" hidden="1" x14ac:dyDescent="0.25">
      <c r="B125" s="9"/>
      <c r="C125" s="9"/>
      <c r="D125" s="9"/>
      <c r="E125" s="9"/>
      <c r="F125" s="9"/>
      <c r="G125" s="9"/>
    </row>
    <row r="126" spans="2:7" hidden="1" x14ac:dyDescent="0.25">
      <c r="B126" s="9"/>
      <c r="C126" s="9"/>
      <c r="D126" s="9"/>
      <c r="E126" s="9"/>
      <c r="F126" s="9"/>
      <c r="G126" s="9"/>
    </row>
    <row r="127" spans="2:7" hidden="1" x14ac:dyDescent="0.25">
      <c r="B127" s="9"/>
      <c r="C127" s="9"/>
      <c r="D127" s="9"/>
      <c r="E127" s="9"/>
      <c r="F127" s="9"/>
      <c r="G127" s="9"/>
    </row>
    <row r="128" spans="2:7" hidden="1" x14ac:dyDescent="0.25">
      <c r="B128" s="9"/>
      <c r="C128" s="9"/>
      <c r="D128" s="9"/>
      <c r="E128" s="9"/>
      <c r="F128" s="9"/>
      <c r="G128" s="9"/>
    </row>
    <row r="129" spans="2:7" hidden="1" x14ac:dyDescent="0.25">
      <c r="B129" s="9"/>
      <c r="C129" s="9"/>
      <c r="D129" s="9"/>
      <c r="E129" s="9"/>
      <c r="F129" s="9"/>
      <c r="G129" s="9"/>
    </row>
    <row r="130" spans="2:7" hidden="1" x14ac:dyDescent="0.25">
      <c r="B130" s="9"/>
      <c r="C130" s="9"/>
      <c r="D130" s="9"/>
      <c r="E130" s="9"/>
      <c r="F130" s="9"/>
      <c r="G130" s="9"/>
    </row>
    <row r="131" spans="2:7" hidden="1" x14ac:dyDescent="0.25">
      <c r="B131" s="9"/>
      <c r="C131" s="9"/>
      <c r="D131" s="9"/>
      <c r="E131" s="9"/>
      <c r="F131" s="9"/>
      <c r="G131" s="9"/>
    </row>
    <row r="132" spans="2:7" hidden="1" x14ac:dyDescent="0.25">
      <c r="B132" s="9"/>
      <c r="C132" s="9"/>
      <c r="D132" s="9"/>
      <c r="E132" s="9"/>
      <c r="F132" s="9"/>
      <c r="G132" s="9"/>
    </row>
    <row r="133" spans="2:7" hidden="1" x14ac:dyDescent="0.25">
      <c r="B133" s="9"/>
      <c r="C133" s="9"/>
      <c r="D133" s="9"/>
      <c r="E133" s="9"/>
      <c r="F133" s="9"/>
      <c r="G133" s="9"/>
    </row>
    <row r="134" spans="2:7" hidden="1" x14ac:dyDescent="0.25">
      <c r="B134" s="9"/>
      <c r="C134" s="9"/>
      <c r="D134" s="9"/>
      <c r="E134" s="9"/>
      <c r="F134" s="9"/>
      <c r="G134" s="9"/>
    </row>
    <row r="135" spans="2:7" hidden="1" x14ac:dyDescent="0.25">
      <c r="B135" s="9"/>
      <c r="C135" s="9"/>
      <c r="D135" s="9"/>
      <c r="E135" s="9"/>
      <c r="F135" s="9"/>
      <c r="G135" s="9"/>
    </row>
    <row r="136" spans="2:7" hidden="1" x14ac:dyDescent="0.25">
      <c r="B136" s="9"/>
      <c r="C136" s="9"/>
      <c r="D136" s="9"/>
      <c r="E136" s="9"/>
      <c r="F136" s="9"/>
      <c r="G136" s="9"/>
    </row>
    <row r="137" spans="2:7" hidden="1" x14ac:dyDescent="0.25">
      <c r="B137" s="9"/>
      <c r="C137" s="9"/>
      <c r="D137" s="9"/>
      <c r="E137" s="9"/>
      <c r="F137" s="9"/>
      <c r="G137" s="9"/>
    </row>
    <row r="138" spans="2:7" hidden="1" x14ac:dyDescent="0.25">
      <c r="B138" s="9"/>
      <c r="C138" s="9"/>
      <c r="D138" s="9"/>
      <c r="E138" s="9"/>
      <c r="F138" s="9"/>
      <c r="G138" s="9"/>
    </row>
    <row r="139" spans="2:7" hidden="1" x14ac:dyDescent="0.25">
      <c r="B139" s="9"/>
      <c r="C139" s="9"/>
      <c r="D139" s="9"/>
      <c r="E139" s="9"/>
      <c r="F139" s="9"/>
      <c r="G139" s="9"/>
    </row>
    <row r="140" spans="2:7" hidden="1" x14ac:dyDescent="0.25">
      <c r="B140" s="9"/>
      <c r="C140" s="9"/>
      <c r="D140" s="9"/>
      <c r="E140" s="9"/>
      <c r="F140" s="9"/>
      <c r="G140" s="9"/>
    </row>
    <row r="141" spans="2:7" hidden="1" x14ac:dyDescent="0.25">
      <c r="B141" s="9"/>
      <c r="C141" s="9"/>
      <c r="D141" s="9"/>
      <c r="E141" s="9"/>
      <c r="F141" s="9"/>
      <c r="G141" s="9"/>
    </row>
    <row r="142" spans="2:7" hidden="1" x14ac:dyDescent="0.25">
      <c r="B142" s="9"/>
      <c r="C142" s="9"/>
      <c r="D142" s="9"/>
      <c r="E142" s="9"/>
      <c r="F142" s="9"/>
      <c r="G142" s="9"/>
    </row>
    <row r="143" spans="2:7" hidden="1" x14ac:dyDescent="0.25">
      <c r="B143" s="9"/>
      <c r="C143" s="9"/>
      <c r="D143" s="9"/>
      <c r="E143" s="9"/>
      <c r="F143" s="9"/>
      <c r="G143" s="9"/>
    </row>
    <row r="144" spans="2:7" hidden="1" x14ac:dyDescent="0.25">
      <c r="B144" s="9"/>
      <c r="C144" s="9"/>
      <c r="D144" s="9"/>
      <c r="E144" s="9"/>
      <c r="F144" s="9"/>
      <c r="G144" s="9"/>
    </row>
    <row r="145" spans="2:7" hidden="1" x14ac:dyDescent="0.25">
      <c r="B145" s="9"/>
      <c r="C145" s="9"/>
      <c r="D145" s="9"/>
      <c r="E145" s="9"/>
      <c r="F145" s="9"/>
      <c r="G145" s="9"/>
    </row>
    <row r="146" spans="2:7" hidden="1" x14ac:dyDescent="0.25">
      <c r="B146" s="9"/>
      <c r="C146" s="9"/>
      <c r="D146" s="9"/>
      <c r="E146" s="9"/>
      <c r="F146" s="9"/>
      <c r="G146" s="9"/>
    </row>
    <row r="147" spans="2:7" hidden="1" x14ac:dyDescent="0.25">
      <c r="B147" s="9"/>
      <c r="C147" s="9"/>
      <c r="D147" s="9"/>
      <c r="E147" s="9"/>
      <c r="F147" s="9"/>
      <c r="G147" s="9"/>
    </row>
    <row r="148" spans="2:7" ht="11.5" hidden="1" customHeight="1" x14ac:dyDescent="0.25">
      <c r="B148" s="9"/>
      <c r="C148" s="9"/>
      <c r="D148" s="9"/>
      <c r="E148" s="9"/>
      <c r="F148" s="9"/>
      <c r="G148" s="9"/>
    </row>
    <row r="153" spans="2:7" ht="75" hidden="1" x14ac:dyDescent="0.25">
      <c r="B153" s="13" t="s">
        <v>66</v>
      </c>
      <c r="C153" s="2" t="s">
        <v>58</v>
      </c>
    </row>
    <row r="154" spans="2:7" hidden="1" x14ac:dyDescent="0.25">
      <c r="B154" s="2">
        <v>0</v>
      </c>
      <c r="C154" s="67">
        <v>0</v>
      </c>
      <c r="D154">
        <f>0%*C6</f>
        <v>0</v>
      </c>
      <c r="E154">
        <f>0%*D6</f>
        <v>0</v>
      </c>
      <c r="F154">
        <f>0%*E6</f>
        <v>0</v>
      </c>
      <c r="G154">
        <f>0%*F6</f>
        <v>0</v>
      </c>
    </row>
    <row r="155" spans="2:7" hidden="1" x14ac:dyDescent="0.25">
      <c r="B155" s="2">
        <v>4</v>
      </c>
      <c r="C155" s="67">
        <v>4</v>
      </c>
      <c r="D155">
        <f>40%*C6</f>
        <v>80</v>
      </c>
      <c r="E155">
        <f>20%*D6</f>
        <v>0</v>
      </c>
      <c r="F155">
        <f>20%*E6</f>
        <v>0</v>
      </c>
      <c r="G155">
        <f>20%*F6</f>
        <v>0</v>
      </c>
    </row>
    <row r="156" spans="2:7" hidden="1" x14ac:dyDescent="0.25">
      <c r="B156" s="2">
        <v>6</v>
      </c>
      <c r="C156" s="68">
        <v>4.0999999999999996</v>
      </c>
      <c r="D156">
        <f>41%*C6</f>
        <v>82</v>
      </c>
      <c r="E156">
        <f>40%*D6</f>
        <v>0</v>
      </c>
      <c r="F156">
        <f>40%*E6</f>
        <v>0</v>
      </c>
      <c r="G156">
        <f>40%*F6</f>
        <v>0</v>
      </c>
    </row>
    <row r="157" spans="2:7" hidden="1" x14ac:dyDescent="0.25">
      <c r="B157" s="2">
        <v>8</v>
      </c>
      <c r="C157" s="68">
        <v>4.2</v>
      </c>
      <c r="D157">
        <f>42%*C$6</f>
        <v>84</v>
      </c>
      <c r="E157">
        <f>70%*D6</f>
        <v>0</v>
      </c>
      <c r="F157">
        <f>70%*E6</f>
        <v>0</v>
      </c>
      <c r="G157">
        <f>70%*F6</f>
        <v>0</v>
      </c>
    </row>
    <row r="158" spans="2:7" hidden="1" x14ac:dyDescent="0.25">
      <c r="B158" s="2">
        <v>10</v>
      </c>
      <c r="C158" s="68">
        <v>4.3</v>
      </c>
      <c r="D158">
        <f>43%*C$6</f>
        <v>86</v>
      </c>
      <c r="E158">
        <f>100%*D6</f>
        <v>0</v>
      </c>
      <c r="F158">
        <f>100%*E6</f>
        <v>0</v>
      </c>
      <c r="G158">
        <f>100%*F6</f>
        <v>0</v>
      </c>
    </row>
    <row r="159" spans="2:7" hidden="1" x14ac:dyDescent="0.25">
      <c r="C159" s="68">
        <v>4.4000000000000004</v>
      </c>
      <c r="D159">
        <f>44%*C$6</f>
        <v>88</v>
      </c>
    </row>
    <row r="160" spans="2:7" hidden="1" x14ac:dyDescent="0.25">
      <c r="C160" s="68">
        <v>4.5</v>
      </c>
      <c r="D160">
        <f>45%*C$6</f>
        <v>90</v>
      </c>
    </row>
    <row r="161" spans="3:4" hidden="1" x14ac:dyDescent="0.25">
      <c r="C161" s="68">
        <v>4.5999999999999996</v>
      </c>
      <c r="D161">
        <f>46%*C$6</f>
        <v>92</v>
      </c>
    </row>
    <row r="162" spans="3:4" hidden="1" x14ac:dyDescent="0.25">
      <c r="C162" s="68">
        <v>4.7</v>
      </c>
      <c r="D162">
        <f>47%*C$6</f>
        <v>94</v>
      </c>
    </row>
    <row r="163" spans="3:4" hidden="1" x14ac:dyDescent="0.25">
      <c r="C163" s="68">
        <v>4.8</v>
      </c>
      <c r="D163">
        <f>48%*C$6</f>
        <v>96</v>
      </c>
    </row>
    <row r="164" spans="3:4" hidden="1" x14ac:dyDescent="0.25">
      <c r="C164" s="68">
        <v>4.9000000000000004</v>
      </c>
      <c r="D164">
        <f>49%*C$6</f>
        <v>98</v>
      </c>
    </row>
    <row r="165" spans="3:4" hidden="1" x14ac:dyDescent="0.25">
      <c r="C165" s="68">
        <v>5</v>
      </c>
      <c r="D165">
        <f>50%*C$6</f>
        <v>100</v>
      </c>
    </row>
    <row r="166" spans="3:4" hidden="1" x14ac:dyDescent="0.25">
      <c r="C166" s="68">
        <v>5.0999999999999996</v>
      </c>
      <c r="D166">
        <f>51%*C$6</f>
        <v>102</v>
      </c>
    </row>
    <row r="167" spans="3:4" hidden="1" x14ac:dyDescent="0.25">
      <c r="C167" s="68">
        <v>5.2</v>
      </c>
      <c r="D167">
        <f>52%*C$6</f>
        <v>104</v>
      </c>
    </row>
    <row r="168" spans="3:4" hidden="1" x14ac:dyDescent="0.25">
      <c r="C168" s="68">
        <v>5.3</v>
      </c>
      <c r="D168">
        <f>53%*C$6</f>
        <v>106</v>
      </c>
    </row>
    <row r="169" spans="3:4" hidden="1" x14ac:dyDescent="0.25">
      <c r="C169" s="68">
        <v>5.4</v>
      </c>
      <c r="D169">
        <f>54%*C$6</f>
        <v>108</v>
      </c>
    </row>
    <row r="170" spans="3:4" hidden="1" x14ac:dyDescent="0.25">
      <c r="C170" s="68">
        <v>5.5</v>
      </c>
      <c r="D170">
        <f>55%*C$6</f>
        <v>110.00000000000001</v>
      </c>
    </row>
    <row r="171" spans="3:4" hidden="1" x14ac:dyDescent="0.25">
      <c r="C171" s="68">
        <v>5.6</v>
      </c>
      <c r="D171">
        <f>56%*C$6</f>
        <v>112.00000000000001</v>
      </c>
    </row>
    <row r="172" spans="3:4" hidden="1" x14ac:dyDescent="0.25">
      <c r="C172" s="68">
        <v>5.7</v>
      </c>
      <c r="D172">
        <f>57%*C$6</f>
        <v>113.99999999999999</v>
      </c>
    </row>
    <row r="173" spans="3:4" hidden="1" x14ac:dyDescent="0.25">
      <c r="C173" s="68">
        <v>5.8</v>
      </c>
      <c r="D173">
        <f>58%*C$6</f>
        <v>115.99999999999999</v>
      </c>
    </row>
    <row r="174" spans="3:4" hidden="1" x14ac:dyDescent="0.25">
      <c r="C174" s="68">
        <v>5.9</v>
      </c>
      <c r="D174">
        <f>59%*C$6</f>
        <v>118</v>
      </c>
    </row>
    <row r="175" spans="3:4" hidden="1" x14ac:dyDescent="0.25">
      <c r="C175" s="68">
        <v>6</v>
      </c>
      <c r="D175">
        <f>60%*C$6</f>
        <v>120</v>
      </c>
    </row>
    <row r="176" spans="3:4" hidden="1" x14ac:dyDescent="0.25">
      <c r="C176" s="67">
        <v>6.1</v>
      </c>
      <c r="D176">
        <f>61%*C$6</f>
        <v>122</v>
      </c>
    </row>
    <row r="177" spans="3:4" hidden="1" x14ac:dyDescent="0.25">
      <c r="C177" s="67">
        <v>6.2</v>
      </c>
      <c r="D177">
        <f>62%*C$6</f>
        <v>124</v>
      </c>
    </row>
    <row r="178" spans="3:4" hidden="1" x14ac:dyDescent="0.25">
      <c r="C178" s="67">
        <v>6.3</v>
      </c>
      <c r="D178">
        <f>63%*C$6</f>
        <v>126</v>
      </c>
    </row>
    <row r="179" spans="3:4" hidden="1" x14ac:dyDescent="0.25">
      <c r="C179" s="67">
        <v>6.4</v>
      </c>
      <c r="D179">
        <f>64%*C$6</f>
        <v>128</v>
      </c>
    </row>
    <row r="180" spans="3:4" hidden="1" x14ac:dyDescent="0.25">
      <c r="C180" s="67">
        <v>6.5</v>
      </c>
      <c r="D180">
        <f>65%*C$6</f>
        <v>130</v>
      </c>
    </row>
    <row r="181" spans="3:4" hidden="1" x14ac:dyDescent="0.25">
      <c r="C181" s="67">
        <v>6.6</v>
      </c>
      <c r="D181">
        <f>66%*C$6</f>
        <v>132</v>
      </c>
    </row>
    <row r="182" spans="3:4" hidden="1" x14ac:dyDescent="0.25">
      <c r="C182" s="67">
        <v>6.7</v>
      </c>
      <c r="D182">
        <f>67%*C$6</f>
        <v>134</v>
      </c>
    </row>
    <row r="183" spans="3:4" hidden="1" x14ac:dyDescent="0.25">
      <c r="C183" s="67">
        <v>6.8</v>
      </c>
      <c r="D183">
        <f>68%*C$6</f>
        <v>136</v>
      </c>
    </row>
    <row r="184" spans="3:4" hidden="1" x14ac:dyDescent="0.25">
      <c r="C184" s="67">
        <v>6.9</v>
      </c>
      <c r="D184">
        <f>69%*C$6</f>
        <v>138</v>
      </c>
    </row>
    <row r="185" spans="3:4" hidden="1" x14ac:dyDescent="0.25">
      <c r="C185" s="67">
        <v>7</v>
      </c>
      <c r="D185">
        <f>70%*C$6</f>
        <v>140</v>
      </c>
    </row>
    <row r="186" spans="3:4" hidden="1" x14ac:dyDescent="0.25">
      <c r="C186" s="67">
        <v>7.1000000000000103</v>
      </c>
      <c r="D186">
        <f>71%*C$6</f>
        <v>142</v>
      </c>
    </row>
    <row r="187" spans="3:4" hidden="1" x14ac:dyDescent="0.25">
      <c r="C187" s="67">
        <v>7.2000000000000099</v>
      </c>
      <c r="D187">
        <f>72%*C$6</f>
        <v>144</v>
      </c>
    </row>
    <row r="188" spans="3:4" hidden="1" x14ac:dyDescent="0.25">
      <c r="C188" s="67">
        <v>7.3000000000000096</v>
      </c>
      <c r="D188">
        <f>73%*C$6</f>
        <v>146</v>
      </c>
    </row>
    <row r="189" spans="3:4" hidden="1" x14ac:dyDescent="0.25">
      <c r="C189" s="67">
        <v>7.4000000000000101</v>
      </c>
      <c r="D189">
        <f>74%*C$6</f>
        <v>148</v>
      </c>
    </row>
    <row r="190" spans="3:4" hidden="1" x14ac:dyDescent="0.25">
      <c r="C190" s="67">
        <v>7.5000000000000098</v>
      </c>
      <c r="D190">
        <f>75%*C$6</f>
        <v>150</v>
      </c>
    </row>
    <row r="191" spans="3:4" hidden="1" x14ac:dyDescent="0.25">
      <c r="C191" s="67">
        <v>7.6000000000000103</v>
      </c>
      <c r="D191">
        <f>76%*C$6</f>
        <v>152</v>
      </c>
    </row>
    <row r="192" spans="3:4" hidden="1" x14ac:dyDescent="0.25">
      <c r="C192" s="67">
        <v>7.7000000000000099</v>
      </c>
      <c r="D192">
        <f>77%*C$6</f>
        <v>154</v>
      </c>
    </row>
    <row r="193" spans="3:4" hidden="1" x14ac:dyDescent="0.25">
      <c r="C193" s="67">
        <v>7.8000000000000096</v>
      </c>
      <c r="D193">
        <f>78%*C$6</f>
        <v>156</v>
      </c>
    </row>
    <row r="194" spans="3:4" hidden="1" x14ac:dyDescent="0.25">
      <c r="C194" s="67">
        <v>7.9000000000000101</v>
      </c>
      <c r="D194">
        <f>79%*C$6</f>
        <v>158</v>
      </c>
    </row>
    <row r="195" spans="3:4" hidden="1" x14ac:dyDescent="0.25">
      <c r="C195" s="67">
        <v>8.0000000000000107</v>
      </c>
      <c r="D195">
        <f>80%*C$6</f>
        <v>160</v>
      </c>
    </row>
    <row r="196" spans="3:4" hidden="1" x14ac:dyDescent="0.25">
      <c r="C196" s="67">
        <v>8.1000000000000103</v>
      </c>
      <c r="D196">
        <f>81%*C$6</f>
        <v>162</v>
      </c>
    </row>
    <row r="197" spans="3:4" hidden="1" x14ac:dyDescent="0.25">
      <c r="C197" s="67">
        <v>8.2000000000000099</v>
      </c>
      <c r="D197">
        <f>82%*C$6</f>
        <v>164</v>
      </c>
    </row>
    <row r="198" spans="3:4" hidden="1" x14ac:dyDescent="0.25">
      <c r="C198" s="67">
        <v>8.3000000000000096</v>
      </c>
      <c r="D198">
        <f>83%*C$6</f>
        <v>166</v>
      </c>
    </row>
    <row r="199" spans="3:4" hidden="1" x14ac:dyDescent="0.25">
      <c r="C199" s="67">
        <v>8.4000000000000092</v>
      </c>
      <c r="D199">
        <f>84%*C$6</f>
        <v>168</v>
      </c>
    </row>
    <row r="200" spans="3:4" hidden="1" x14ac:dyDescent="0.25">
      <c r="C200" s="67">
        <v>8.5000000000000107</v>
      </c>
      <c r="D200">
        <f>85%*C$6</f>
        <v>170</v>
      </c>
    </row>
    <row r="201" spans="3:4" hidden="1" x14ac:dyDescent="0.25">
      <c r="C201" s="67">
        <v>8.6000000000000103</v>
      </c>
      <c r="D201">
        <f>86%*C$6</f>
        <v>172</v>
      </c>
    </row>
    <row r="202" spans="3:4" hidden="1" x14ac:dyDescent="0.25">
      <c r="C202" s="67">
        <v>8.7000000000000099</v>
      </c>
      <c r="D202">
        <f>87%*C$6</f>
        <v>174</v>
      </c>
    </row>
    <row r="203" spans="3:4" hidden="1" x14ac:dyDescent="0.25">
      <c r="C203" s="67">
        <v>8.8000000000000096</v>
      </c>
      <c r="D203">
        <f>88%*C$6</f>
        <v>176</v>
      </c>
    </row>
    <row r="204" spans="3:4" hidden="1" x14ac:dyDescent="0.25">
      <c r="C204" s="67">
        <v>8.9000000000000092</v>
      </c>
      <c r="D204">
        <f>89%*C$6</f>
        <v>178</v>
      </c>
    </row>
    <row r="205" spans="3:4" hidden="1" x14ac:dyDescent="0.25">
      <c r="C205" s="67">
        <v>9.0000000000000195</v>
      </c>
      <c r="D205">
        <f>90%*C$6</f>
        <v>180</v>
      </c>
    </row>
    <row r="206" spans="3:4" hidden="1" x14ac:dyDescent="0.25">
      <c r="C206" s="67">
        <v>9.1000000000000192</v>
      </c>
      <c r="D206">
        <f>91%*C$6</f>
        <v>182</v>
      </c>
    </row>
    <row r="207" spans="3:4" hidden="1" x14ac:dyDescent="0.25">
      <c r="C207" s="67">
        <v>9.2000000000000206</v>
      </c>
      <c r="D207">
        <f>92%*C$6</f>
        <v>184</v>
      </c>
    </row>
    <row r="208" spans="3:4" hidden="1" x14ac:dyDescent="0.25">
      <c r="C208" s="67">
        <v>9.3000000000000203</v>
      </c>
      <c r="D208">
        <f>93%*C$6</f>
        <v>186</v>
      </c>
    </row>
    <row r="209" spans="3:4" hidden="1" x14ac:dyDescent="0.25">
      <c r="C209" s="67">
        <v>9.4000000000000199</v>
      </c>
      <c r="D209">
        <f>94%*C$6</f>
        <v>188</v>
      </c>
    </row>
    <row r="210" spans="3:4" hidden="1" x14ac:dyDescent="0.25">
      <c r="C210" s="67">
        <v>9.5000000000000195</v>
      </c>
      <c r="D210">
        <f>95%*C$6</f>
        <v>190</v>
      </c>
    </row>
    <row r="211" spans="3:4" hidden="1" x14ac:dyDescent="0.25">
      <c r="C211" s="67">
        <v>9.6000000000000298</v>
      </c>
      <c r="D211">
        <f>96%*C$6</f>
        <v>192</v>
      </c>
    </row>
    <row r="212" spans="3:4" hidden="1" x14ac:dyDescent="0.25">
      <c r="C212" s="67">
        <v>9.7000000000000295</v>
      </c>
      <c r="D212">
        <f>97%*C$6</f>
        <v>194</v>
      </c>
    </row>
    <row r="213" spans="3:4" hidden="1" x14ac:dyDescent="0.25">
      <c r="C213" s="67">
        <v>9.8000000000000291</v>
      </c>
      <c r="D213">
        <f>98%*C$6</f>
        <v>196</v>
      </c>
    </row>
    <row r="214" spans="3:4" hidden="1" x14ac:dyDescent="0.25">
      <c r="C214" s="67">
        <v>9.9000000000000306</v>
      </c>
      <c r="D214">
        <f>99%*C$6</f>
        <v>198</v>
      </c>
    </row>
    <row r="215" spans="3:4" hidden="1" x14ac:dyDescent="0.25">
      <c r="C215" s="67">
        <v>10</v>
      </c>
      <c r="D215">
        <f>100%*C$6</f>
        <v>200</v>
      </c>
    </row>
  </sheetData>
  <sheetProtection algorithmName="SHA-512" hashValue="Nz1BrY790MvJnK09j37fsaWnqIrYpv7Pr7JrPbz/1C9vCMlT8AbBHADqYkqQZStjDJerhkLhHYcjNPm/5O3yYg==" saltValue="DF44n1enQ07KI7ytqwgCKA==" spinCount="100000" sheet="1" objects="1" scenarios="1"/>
  <mergeCells count="7">
    <mergeCell ref="B47:G47"/>
    <mergeCell ref="B59:G59"/>
    <mergeCell ref="B1:D1"/>
    <mergeCell ref="B2:G2"/>
    <mergeCell ref="B10:G10"/>
    <mergeCell ref="B22:G22"/>
    <mergeCell ref="B35:G35"/>
  </mergeCells>
  <dataValidations count="1">
    <dataValidation type="list" allowBlank="1" showInputMessage="1" showErrorMessage="1" sqref="C24:G27 C61:G64 C49:G52 C37:G40 C12:G15" xr:uid="{C20A62CA-27EF-4C95-B652-434CAA592732}">
      <formula1>$B$153:$B$158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4"/>
  <sheetViews>
    <sheetView topLeftCell="A22" workbookViewId="0">
      <selection activeCell="B42" sqref="B42"/>
    </sheetView>
  </sheetViews>
  <sheetFormatPr defaultColWidth="0" defaultRowHeight="12.5" zeroHeight="1" x14ac:dyDescent="0.25"/>
  <cols>
    <col min="1" max="1" width="7.1796875" customWidth="1"/>
    <col min="2" max="2" width="29.08984375" bestFit="1" customWidth="1"/>
    <col min="3" max="7" width="27.453125" customWidth="1"/>
    <col min="8" max="8" width="8.7265625" customWidth="1"/>
    <col min="9" max="17" width="0" hidden="1" customWidth="1"/>
    <col min="18" max="16384" width="8.7265625" hidden="1"/>
  </cols>
  <sheetData>
    <row r="1" spans="2:7" ht="51" customHeight="1" x14ac:dyDescent="0.25">
      <c r="B1" s="78"/>
      <c r="C1" s="78"/>
      <c r="D1" s="78"/>
      <c r="E1" s="78"/>
      <c r="F1" s="78"/>
      <c r="G1" s="78"/>
    </row>
    <row r="2" spans="2:7" ht="30" customHeight="1" x14ac:dyDescent="0.25">
      <c r="B2" s="91" t="str">
        <f>'Overzicht beoordelingsmatrix '!B9</f>
        <v>3. Smaaktest</v>
      </c>
      <c r="C2" s="92"/>
      <c r="D2" s="92"/>
      <c r="E2" s="92"/>
      <c r="F2" s="92"/>
      <c r="G2" s="93"/>
    </row>
    <row r="3" spans="2:7" ht="18" customHeight="1" x14ac:dyDescent="0.25">
      <c r="B3" s="11" t="s">
        <v>23</v>
      </c>
      <c r="C3" s="96">
        <v>300</v>
      </c>
      <c r="D3" s="97"/>
      <c r="E3" s="97"/>
      <c r="F3" s="97"/>
      <c r="G3" s="98"/>
    </row>
    <row r="4" spans="2:7" ht="25" customHeight="1" x14ac:dyDescent="0.25">
      <c r="B4" s="94" t="str">
        <f>'Overzicht beoordelingsmatrix '!C3</f>
        <v>Inschrijver 1</v>
      </c>
      <c r="C4" s="76"/>
      <c r="D4" s="76"/>
      <c r="E4" s="76"/>
      <c r="F4" s="76"/>
      <c r="G4" s="95"/>
    </row>
    <row r="5" spans="2:7" ht="40" customHeight="1" x14ac:dyDescent="0.25">
      <c r="B5" s="7" t="s">
        <v>51</v>
      </c>
      <c r="C5" s="55" t="s">
        <v>38</v>
      </c>
      <c r="D5" s="52" t="s">
        <v>45</v>
      </c>
      <c r="E5" s="52" t="s">
        <v>49</v>
      </c>
      <c r="F5" s="52" t="s">
        <v>50</v>
      </c>
      <c r="G5" s="52" t="s">
        <v>57</v>
      </c>
    </row>
    <row r="6" spans="2:7" ht="40" customHeight="1" x14ac:dyDescent="0.25">
      <c r="B6" s="53" t="s">
        <v>46</v>
      </c>
      <c r="C6" s="55">
        <v>115</v>
      </c>
      <c r="D6" s="50">
        <v>100</v>
      </c>
      <c r="E6" s="51">
        <v>375</v>
      </c>
      <c r="F6" s="48">
        <f>D6*4</f>
        <v>400</v>
      </c>
      <c r="G6" s="49">
        <f>(C6/F6)*E6</f>
        <v>107.81249999999999</v>
      </c>
    </row>
    <row r="7" spans="2:7" ht="40" customHeight="1" x14ac:dyDescent="0.25">
      <c r="B7" s="53" t="s">
        <v>47</v>
      </c>
      <c r="C7" s="55">
        <v>55</v>
      </c>
      <c r="D7" s="50">
        <v>50</v>
      </c>
      <c r="E7" s="51">
        <v>150</v>
      </c>
      <c r="F7" s="48">
        <f t="shared" ref="F7:F9" si="0">D7*4</f>
        <v>200</v>
      </c>
      <c r="G7" s="49">
        <f t="shared" ref="G7:G9" si="1">(C7/F7)*E7</f>
        <v>41.25</v>
      </c>
    </row>
    <row r="8" spans="2:7" ht="40" customHeight="1" x14ac:dyDescent="0.25">
      <c r="B8" s="53" t="s">
        <v>48</v>
      </c>
      <c r="C8" s="8">
        <v>75</v>
      </c>
      <c r="D8" s="50">
        <v>25</v>
      </c>
      <c r="E8" s="51">
        <v>100</v>
      </c>
      <c r="F8" s="48">
        <f t="shared" si="0"/>
        <v>100</v>
      </c>
      <c r="G8" s="48">
        <f t="shared" si="1"/>
        <v>75</v>
      </c>
    </row>
    <row r="9" spans="2:7" ht="40" customHeight="1" x14ac:dyDescent="0.25">
      <c r="B9" s="53" t="s">
        <v>67</v>
      </c>
      <c r="C9" s="8">
        <v>55</v>
      </c>
      <c r="D9" s="50">
        <v>20</v>
      </c>
      <c r="E9" s="51">
        <v>80</v>
      </c>
      <c r="F9" s="48">
        <f t="shared" si="0"/>
        <v>80</v>
      </c>
      <c r="G9" s="48">
        <f t="shared" si="1"/>
        <v>55</v>
      </c>
    </row>
    <row r="10" spans="2:7" ht="40" customHeight="1" x14ac:dyDescent="0.25">
      <c r="B10" s="54" t="s">
        <v>15</v>
      </c>
      <c r="C10" s="56">
        <f>SUM(C6:C9)</f>
        <v>300</v>
      </c>
      <c r="D10" s="88"/>
      <c r="E10" s="89"/>
      <c r="F10" s="90"/>
      <c r="G10" s="57">
        <f>SUM(G6:G9)</f>
        <v>279.0625</v>
      </c>
    </row>
    <row r="11" spans="2:7" x14ac:dyDescent="0.25">
      <c r="B11" s="58"/>
      <c r="C11" s="59"/>
      <c r="D11" s="59"/>
      <c r="E11" s="59"/>
      <c r="F11" s="59"/>
      <c r="G11" s="60"/>
    </row>
    <row r="12" spans="2:7" ht="22" customHeight="1" x14ac:dyDescent="0.25">
      <c r="B12" s="94" t="s">
        <v>33</v>
      </c>
      <c r="C12" s="76"/>
      <c r="D12" s="76"/>
      <c r="E12" s="76"/>
      <c r="F12" s="76"/>
      <c r="G12" s="95"/>
    </row>
    <row r="13" spans="2:7" ht="25" customHeight="1" x14ac:dyDescent="0.25">
      <c r="B13" s="7" t="s">
        <v>51</v>
      </c>
      <c r="C13" s="47" t="s">
        <v>38</v>
      </c>
      <c r="D13" s="52" t="s">
        <v>45</v>
      </c>
      <c r="E13" s="52" t="s">
        <v>49</v>
      </c>
      <c r="F13" s="52" t="s">
        <v>50</v>
      </c>
      <c r="G13" s="52" t="s">
        <v>57</v>
      </c>
    </row>
    <row r="14" spans="2:7" ht="29" customHeight="1" x14ac:dyDescent="0.25">
      <c r="B14" s="53" t="s">
        <v>46</v>
      </c>
      <c r="C14" s="55">
        <v>115</v>
      </c>
      <c r="D14" s="50">
        <v>100</v>
      </c>
      <c r="E14" s="51">
        <v>300</v>
      </c>
      <c r="F14" s="48">
        <f>D14*4</f>
        <v>400</v>
      </c>
      <c r="G14" s="49">
        <f>(C14/F14)*E14</f>
        <v>86.25</v>
      </c>
    </row>
    <row r="15" spans="2:7" ht="34.5" customHeight="1" x14ac:dyDescent="0.25">
      <c r="B15" s="53" t="s">
        <v>47</v>
      </c>
      <c r="C15" s="55">
        <v>55</v>
      </c>
      <c r="D15" s="50">
        <v>50</v>
      </c>
      <c r="E15" s="51">
        <v>200</v>
      </c>
      <c r="F15" s="48">
        <f t="shared" ref="F15:F17" si="2">D15*4</f>
        <v>200</v>
      </c>
      <c r="G15" s="49">
        <f t="shared" ref="G15:G17" si="3">(C15/F15)*E15</f>
        <v>55.000000000000007</v>
      </c>
    </row>
    <row r="16" spans="2:7" ht="37.5" customHeight="1" x14ac:dyDescent="0.25">
      <c r="B16" s="53" t="s">
        <v>48</v>
      </c>
      <c r="C16" s="8">
        <v>75</v>
      </c>
      <c r="D16" s="50">
        <v>25</v>
      </c>
      <c r="E16" s="51">
        <v>76</v>
      </c>
      <c r="F16" s="48">
        <f t="shared" si="2"/>
        <v>100</v>
      </c>
      <c r="G16" s="49">
        <f t="shared" si="3"/>
        <v>57</v>
      </c>
    </row>
    <row r="17" spans="2:7" ht="34" customHeight="1" x14ac:dyDescent="0.25">
      <c r="B17" s="53" t="s">
        <v>67</v>
      </c>
      <c r="C17" s="8">
        <v>55</v>
      </c>
      <c r="D17" s="50">
        <v>20</v>
      </c>
      <c r="E17" s="51">
        <v>50</v>
      </c>
      <c r="F17" s="48">
        <f t="shared" si="2"/>
        <v>80</v>
      </c>
      <c r="G17" s="49">
        <f t="shared" si="3"/>
        <v>34.375</v>
      </c>
    </row>
    <row r="18" spans="2:7" ht="31.5" customHeight="1" x14ac:dyDescent="0.25">
      <c r="B18" s="54" t="s">
        <v>15</v>
      </c>
      <c r="C18" s="56">
        <f>SUM(C14:C17)</f>
        <v>300</v>
      </c>
      <c r="D18" s="88"/>
      <c r="E18" s="89"/>
      <c r="F18" s="90"/>
      <c r="G18" s="57">
        <f>SUM(G14:G17)</f>
        <v>232.625</v>
      </c>
    </row>
    <row r="19" spans="2:7" x14ac:dyDescent="0.25">
      <c r="B19" s="58"/>
      <c r="C19" s="59"/>
      <c r="D19" s="59"/>
      <c r="E19" s="59"/>
      <c r="F19" s="59"/>
      <c r="G19" s="60"/>
    </row>
    <row r="20" spans="2:7" ht="25" customHeight="1" x14ac:dyDescent="0.25">
      <c r="B20" s="94" t="s">
        <v>34</v>
      </c>
      <c r="C20" s="76"/>
      <c r="D20" s="76"/>
      <c r="E20" s="76"/>
      <c r="F20" s="76"/>
      <c r="G20" s="95"/>
    </row>
    <row r="21" spans="2:7" ht="27.5" customHeight="1" x14ac:dyDescent="0.25">
      <c r="B21" s="7" t="s">
        <v>51</v>
      </c>
      <c r="C21" s="47" t="s">
        <v>38</v>
      </c>
      <c r="D21" s="52" t="s">
        <v>45</v>
      </c>
      <c r="E21" s="52" t="s">
        <v>49</v>
      </c>
      <c r="F21" s="52" t="s">
        <v>50</v>
      </c>
      <c r="G21" s="52" t="s">
        <v>57</v>
      </c>
    </row>
    <row r="22" spans="2:7" ht="36.5" customHeight="1" x14ac:dyDescent="0.25">
      <c r="B22" s="53" t="s">
        <v>46</v>
      </c>
      <c r="C22" s="55">
        <v>115</v>
      </c>
      <c r="D22" s="50">
        <v>100</v>
      </c>
      <c r="E22" s="51">
        <v>250</v>
      </c>
      <c r="F22" s="48">
        <f>D22*4</f>
        <v>400</v>
      </c>
      <c r="G22" s="49">
        <f>(C22/F22)*E22</f>
        <v>71.875</v>
      </c>
    </row>
    <row r="23" spans="2:7" ht="36.5" customHeight="1" x14ac:dyDescent="0.25">
      <c r="B23" s="53" t="s">
        <v>47</v>
      </c>
      <c r="C23" s="55">
        <v>55</v>
      </c>
      <c r="D23" s="50">
        <v>50</v>
      </c>
      <c r="E23" s="51">
        <v>100</v>
      </c>
      <c r="F23" s="48">
        <f t="shared" ref="F23:F25" si="4">D23*4</f>
        <v>200</v>
      </c>
      <c r="G23" s="49">
        <f t="shared" ref="G23:G25" si="5">(C23/F23)*E23</f>
        <v>27.500000000000004</v>
      </c>
    </row>
    <row r="24" spans="2:7" ht="35.5" customHeight="1" x14ac:dyDescent="0.25">
      <c r="B24" s="53" t="s">
        <v>48</v>
      </c>
      <c r="C24" s="8">
        <v>75</v>
      </c>
      <c r="D24" s="50">
        <v>25</v>
      </c>
      <c r="E24" s="51">
        <v>100</v>
      </c>
      <c r="F24" s="48">
        <f t="shared" si="4"/>
        <v>100</v>
      </c>
      <c r="G24" s="49">
        <f t="shared" si="5"/>
        <v>75</v>
      </c>
    </row>
    <row r="25" spans="2:7" ht="30" customHeight="1" x14ac:dyDescent="0.25">
      <c r="B25" s="53" t="s">
        <v>67</v>
      </c>
      <c r="C25" s="8">
        <v>55</v>
      </c>
      <c r="D25" s="50">
        <v>20</v>
      </c>
      <c r="E25" s="51">
        <v>40</v>
      </c>
      <c r="F25" s="48">
        <f t="shared" si="4"/>
        <v>80</v>
      </c>
      <c r="G25" s="49">
        <f t="shared" si="5"/>
        <v>27.5</v>
      </c>
    </row>
    <row r="26" spans="2:7" ht="28.5" customHeight="1" x14ac:dyDescent="0.25">
      <c r="B26" s="54" t="s">
        <v>15</v>
      </c>
      <c r="C26" s="56">
        <f>SUM(C22:C25)</f>
        <v>300</v>
      </c>
      <c r="D26" s="88"/>
      <c r="E26" s="89"/>
      <c r="F26" s="90"/>
      <c r="G26" s="57">
        <f>SUM(G22:G25)</f>
        <v>201.875</v>
      </c>
    </row>
    <row r="27" spans="2:7" x14ac:dyDescent="0.25">
      <c r="B27" s="58"/>
      <c r="C27" s="59"/>
      <c r="D27" s="59"/>
      <c r="E27" s="59"/>
      <c r="F27" s="59"/>
      <c r="G27" s="60"/>
    </row>
    <row r="28" spans="2:7" ht="25" customHeight="1" x14ac:dyDescent="0.25">
      <c r="B28" s="94" t="s">
        <v>35</v>
      </c>
      <c r="C28" s="76"/>
      <c r="D28" s="76"/>
      <c r="E28" s="76"/>
      <c r="F28" s="76"/>
      <c r="G28" s="95"/>
    </row>
    <row r="29" spans="2:7" ht="33" customHeight="1" x14ac:dyDescent="0.25">
      <c r="B29" s="7" t="s">
        <v>51</v>
      </c>
      <c r="C29" s="47" t="s">
        <v>38</v>
      </c>
      <c r="D29" s="52" t="s">
        <v>45</v>
      </c>
      <c r="E29" s="52" t="s">
        <v>49</v>
      </c>
      <c r="F29" s="52" t="s">
        <v>50</v>
      </c>
      <c r="G29" s="52" t="s">
        <v>57</v>
      </c>
    </row>
    <row r="30" spans="2:7" ht="20.5" customHeight="1" x14ac:dyDescent="0.25">
      <c r="B30" s="53" t="s">
        <v>46</v>
      </c>
      <c r="C30" s="55">
        <v>115</v>
      </c>
      <c r="D30" s="50">
        <v>100</v>
      </c>
      <c r="E30" s="51">
        <v>150</v>
      </c>
      <c r="F30" s="48">
        <f>D30*4</f>
        <v>400</v>
      </c>
      <c r="G30" s="49">
        <f>(C30/F30)*E30</f>
        <v>43.125</v>
      </c>
    </row>
    <row r="31" spans="2:7" ht="29" customHeight="1" x14ac:dyDescent="0.25">
      <c r="B31" s="53" t="s">
        <v>47</v>
      </c>
      <c r="C31" s="55">
        <v>55</v>
      </c>
      <c r="D31" s="50">
        <v>50</v>
      </c>
      <c r="E31" s="51">
        <v>150</v>
      </c>
      <c r="F31" s="48">
        <f t="shared" ref="F31:F33" si="6">D31*4</f>
        <v>200</v>
      </c>
      <c r="G31" s="49">
        <f t="shared" ref="G31:G33" si="7">(C31/F31)*E31</f>
        <v>41.25</v>
      </c>
    </row>
    <row r="32" spans="2:7" ht="24" customHeight="1" x14ac:dyDescent="0.25">
      <c r="B32" s="53" t="s">
        <v>48</v>
      </c>
      <c r="C32" s="8">
        <v>75</v>
      </c>
      <c r="D32" s="50">
        <v>25</v>
      </c>
      <c r="E32" s="51">
        <v>100</v>
      </c>
      <c r="F32" s="48">
        <f t="shared" si="6"/>
        <v>100</v>
      </c>
      <c r="G32" s="48">
        <f t="shared" si="7"/>
        <v>75</v>
      </c>
    </row>
    <row r="33" spans="2:7" ht="28.5" customHeight="1" x14ac:dyDescent="0.25">
      <c r="B33" s="53" t="s">
        <v>67</v>
      </c>
      <c r="C33" s="8">
        <v>55</v>
      </c>
      <c r="D33" s="50">
        <v>20</v>
      </c>
      <c r="E33" s="51">
        <v>80</v>
      </c>
      <c r="F33" s="48">
        <f t="shared" si="6"/>
        <v>80</v>
      </c>
      <c r="G33" s="48">
        <f t="shared" si="7"/>
        <v>55</v>
      </c>
    </row>
    <row r="34" spans="2:7" ht="28" customHeight="1" x14ac:dyDescent="0.25">
      <c r="B34" s="54" t="s">
        <v>15</v>
      </c>
      <c r="C34" s="56">
        <f>SUM(C30:C33)</f>
        <v>300</v>
      </c>
      <c r="D34" s="88"/>
      <c r="E34" s="89"/>
      <c r="F34" s="90"/>
      <c r="G34" s="57">
        <f>SUM(G30:G33)</f>
        <v>214.375</v>
      </c>
    </row>
    <row r="35" spans="2:7" x14ac:dyDescent="0.25">
      <c r="B35" s="58"/>
      <c r="C35" s="59"/>
      <c r="D35" s="59"/>
      <c r="E35" s="59"/>
      <c r="F35" s="59"/>
      <c r="G35" s="60"/>
    </row>
    <row r="36" spans="2:7" ht="25" customHeight="1" x14ac:dyDescent="0.25">
      <c r="B36" s="94" t="s">
        <v>36</v>
      </c>
      <c r="C36" s="76"/>
      <c r="D36" s="76"/>
      <c r="E36" s="76"/>
      <c r="F36" s="76"/>
      <c r="G36" s="95"/>
    </row>
    <row r="37" spans="2:7" ht="33" customHeight="1" x14ac:dyDescent="0.25">
      <c r="B37" s="7" t="s">
        <v>51</v>
      </c>
      <c r="C37" s="47" t="s">
        <v>38</v>
      </c>
      <c r="D37" s="52" t="s">
        <v>45</v>
      </c>
      <c r="E37" s="52" t="s">
        <v>49</v>
      </c>
      <c r="F37" s="52" t="s">
        <v>50</v>
      </c>
      <c r="G37" s="52" t="s">
        <v>57</v>
      </c>
    </row>
    <row r="38" spans="2:7" ht="31" customHeight="1" x14ac:dyDescent="0.25">
      <c r="B38" s="53" t="s">
        <v>46</v>
      </c>
      <c r="C38" s="55">
        <v>115</v>
      </c>
      <c r="D38" s="50">
        <v>100</v>
      </c>
      <c r="E38" s="51">
        <v>80</v>
      </c>
      <c r="F38" s="48">
        <f>D38*4</f>
        <v>400</v>
      </c>
      <c r="G38" s="49">
        <f>(C38/F38)*E38</f>
        <v>23</v>
      </c>
    </row>
    <row r="39" spans="2:7" ht="36" customHeight="1" x14ac:dyDescent="0.25">
      <c r="B39" s="53" t="s">
        <v>47</v>
      </c>
      <c r="C39" s="55">
        <v>55</v>
      </c>
      <c r="D39" s="50">
        <v>50</v>
      </c>
      <c r="E39" s="51">
        <v>150</v>
      </c>
      <c r="F39" s="48">
        <f t="shared" ref="F39:F41" si="8">D39*4</f>
        <v>200</v>
      </c>
      <c r="G39" s="49">
        <f t="shared" ref="G39:G41" si="9">(C39/F39)*E39</f>
        <v>41.25</v>
      </c>
    </row>
    <row r="40" spans="2:7" ht="36.5" customHeight="1" x14ac:dyDescent="0.25">
      <c r="B40" s="53" t="s">
        <v>48</v>
      </c>
      <c r="C40" s="8">
        <v>75</v>
      </c>
      <c r="D40" s="50">
        <v>25</v>
      </c>
      <c r="E40" s="51">
        <v>100</v>
      </c>
      <c r="F40" s="48">
        <f t="shared" si="8"/>
        <v>100</v>
      </c>
      <c r="G40" s="48">
        <f t="shared" si="9"/>
        <v>75</v>
      </c>
    </row>
    <row r="41" spans="2:7" ht="37" customHeight="1" x14ac:dyDescent="0.25">
      <c r="B41" s="53" t="s">
        <v>67</v>
      </c>
      <c r="C41" s="8">
        <v>55</v>
      </c>
      <c r="D41" s="50">
        <v>20</v>
      </c>
      <c r="E41" s="51">
        <v>80</v>
      </c>
      <c r="F41" s="48">
        <f t="shared" si="8"/>
        <v>80</v>
      </c>
      <c r="G41" s="48">
        <f t="shared" si="9"/>
        <v>55</v>
      </c>
    </row>
    <row r="42" spans="2:7" ht="28" customHeight="1" x14ac:dyDescent="0.25">
      <c r="B42" s="54" t="s">
        <v>15</v>
      </c>
      <c r="C42" s="56">
        <f>SUM(C38:C41)</f>
        <v>300</v>
      </c>
      <c r="D42" s="88"/>
      <c r="E42" s="89"/>
      <c r="F42" s="90"/>
      <c r="G42" s="57">
        <f>SUM(G38:G41)</f>
        <v>194.25</v>
      </c>
    </row>
    <row r="43" spans="2:7" x14ac:dyDescent="0.25"/>
    <row r="44" spans="2:7" x14ac:dyDescent="0.25"/>
  </sheetData>
  <sheetProtection algorithmName="SHA-512" hashValue="gk1IJX7vH1TZrY48BxZJGoEl+Y7I2MdH88t371BFuSTlSyYKPmc12ULRKmNi5/9obseKuhq3Z5gELulwXWI/vQ==" saltValue="wGNSQ6/5gUHPhhdXuG4SVQ==" spinCount="100000" sheet="1" objects="1" scenarios="1"/>
  <mergeCells count="13">
    <mergeCell ref="D42:F42"/>
    <mergeCell ref="B1:G1"/>
    <mergeCell ref="B2:G2"/>
    <mergeCell ref="B36:G36"/>
    <mergeCell ref="B4:G4"/>
    <mergeCell ref="B12:G12"/>
    <mergeCell ref="B28:G28"/>
    <mergeCell ref="C3:G3"/>
    <mergeCell ref="B20:G20"/>
    <mergeCell ref="D10:F10"/>
    <mergeCell ref="D18:F18"/>
    <mergeCell ref="D26:F26"/>
    <mergeCell ref="D34:F3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5"/>
  <sheetViews>
    <sheetView workbookViewId="0">
      <selection activeCell="A4" sqref="A4"/>
    </sheetView>
  </sheetViews>
  <sheetFormatPr defaultColWidth="0" defaultRowHeight="12.5" zeroHeight="1" x14ac:dyDescent="0.25"/>
  <cols>
    <col min="1" max="1" width="10.26953125" customWidth="1"/>
    <col min="2" max="2" width="27.453125" customWidth="1"/>
    <col min="3" max="3" width="13.54296875" style="45" customWidth="1"/>
    <col min="4" max="8" width="30.81640625" customWidth="1"/>
    <col min="9" max="9" width="8.7265625" customWidth="1"/>
    <col min="10" max="16384" width="8.7265625" hidden="1"/>
  </cols>
  <sheetData>
    <row r="1" spans="2:8" ht="51" customHeight="1" thickBot="1" x14ac:dyDescent="0.3">
      <c r="B1" s="78"/>
      <c r="C1" s="78"/>
      <c r="D1" s="78"/>
      <c r="E1" s="78"/>
    </row>
    <row r="2" spans="2:8" ht="30" customHeight="1" x14ac:dyDescent="0.25">
      <c r="B2" s="85" t="s">
        <v>24</v>
      </c>
      <c r="C2" s="86"/>
      <c r="D2" s="86"/>
      <c r="E2" s="86"/>
      <c r="F2" s="86"/>
      <c r="G2" s="86"/>
      <c r="H2" s="87"/>
    </row>
    <row r="3" spans="2:8" ht="48.5" customHeight="1" x14ac:dyDescent="0.25">
      <c r="B3" s="29"/>
      <c r="C3" s="62" t="s">
        <v>38</v>
      </c>
      <c r="D3" s="27" t="str">
        <f>'Overzicht beoordelingsmatrix '!C3</f>
        <v>Inschrijver 1</v>
      </c>
      <c r="E3" s="27" t="str">
        <f>'Overzicht beoordelingsmatrix '!D3</f>
        <v>Inschrijver 2</v>
      </c>
      <c r="F3" s="27" t="str">
        <f>'Overzicht beoordelingsmatrix '!E3</f>
        <v>Inschrijver 3</v>
      </c>
      <c r="G3" s="27" t="str">
        <f>'Overzicht beoordelingsmatrix '!F3</f>
        <v>Inschrijver 4</v>
      </c>
      <c r="H3" s="30" t="str">
        <f>'Overzicht beoordelingsmatrix '!G3</f>
        <v>Inschrijver 5</v>
      </c>
    </row>
    <row r="4" spans="2:8" ht="25" customHeight="1" x14ac:dyDescent="0.25">
      <c r="B4" s="41" t="s">
        <v>56</v>
      </c>
      <c r="C4" s="42">
        <v>300</v>
      </c>
      <c r="D4" s="12">
        <v>1</v>
      </c>
      <c r="E4" s="12">
        <v>1</v>
      </c>
      <c r="F4" s="12">
        <v>1</v>
      </c>
      <c r="G4" s="12">
        <v>1</v>
      </c>
      <c r="H4" s="12">
        <v>1</v>
      </c>
    </row>
    <row r="5" spans="2:8" ht="25" customHeight="1" thickBot="1" x14ac:dyDescent="0.3">
      <c r="B5" s="101" t="s">
        <v>25</v>
      </c>
      <c r="C5" s="102"/>
      <c r="D5" s="38">
        <f>$C$4-(((D4-MIN($D$4:$H$4))/MIN($D$4:$H$4))*$C$4)</f>
        <v>300</v>
      </c>
      <c r="E5" s="38">
        <f t="shared" ref="E5:H5" si="0">$C$4-(((E4-MIN($D$4:$H$4))/MIN($D$4:$H$4))*$C$4)</f>
        <v>300</v>
      </c>
      <c r="F5" s="38">
        <f t="shared" si="0"/>
        <v>300</v>
      </c>
      <c r="G5" s="38">
        <f t="shared" si="0"/>
        <v>300</v>
      </c>
      <c r="H5" s="38">
        <f t="shared" si="0"/>
        <v>300</v>
      </c>
    </row>
    <row r="6" spans="2:8" x14ac:dyDescent="0.25">
      <c r="B6" s="9"/>
      <c r="C6" s="43"/>
      <c r="D6" s="9"/>
      <c r="E6" s="9"/>
      <c r="F6" s="9"/>
      <c r="G6" s="9"/>
      <c r="H6" s="9"/>
    </row>
    <row r="7" spans="2:8" ht="25" customHeight="1" x14ac:dyDescent="0.25">
      <c r="B7" s="99" t="s">
        <v>15</v>
      </c>
      <c r="C7" s="100"/>
      <c r="D7" s="46">
        <f>D5</f>
        <v>300</v>
      </c>
      <c r="E7" s="46">
        <f>E5</f>
        <v>300</v>
      </c>
      <c r="F7" s="46">
        <f>F5</f>
        <v>300</v>
      </c>
      <c r="G7" s="46">
        <f>G5</f>
        <v>300</v>
      </c>
      <c r="H7" s="46">
        <f>H5</f>
        <v>300</v>
      </c>
    </row>
    <row r="8" spans="2:8" x14ac:dyDescent="0.25">
      <c r="B8" s="37"/>
      <c r="C8" s="44"/>
    </row>
    <row r="9" spans="2:8" x14ac:dyDescent="0.25"/>
    <row r="10" spans="2:8" x14ac:dyDescent="0.25"/>
    <row r="11" spans="2:8" x14ac:dyDescent="0.25"/>
    <row r="12" spans="2:8" x14ac:dyDescent="0.25"/>
    <row r="13" spans="2:8" x14ac:dyDescent="0.25"/>
    <row r="14" spans="2:8" x14ac:dyDescent="0.25"/>
    <row r="15" spans="2:8" x14ac:dyDescent="0.25"/>
  </sheetData>
  <sheetProtection algorithmName="SHA-512" hashValue="OsdRFN1vj5zon/WzpqX6KeEHfuE1Ie6s6VMewv52IQqNFPGJjpPkaU1VCX/h5gFExdsTmhY9b9n/XqzW6K86ww==" saltValue="TAEx3EOYwD0vSALw868s6A==" spinCount="100000" sheet="1" objects="1" scenarios="1"/>
  <mergeCells count="4">
    <mergeCell ref="B7:C7"/>
    <mergeCell ref="B1:E1"/>
    <mergeCell ref="B2:H2"/>
    <mergeCell ref="B5:C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F7D6-EFA8-48D1-84DF-F39C16D76CFB}">
  <dimension ref="A1:C62"/>
  <sheetViews>
    <sheetView workbookViewId="0">
      <selection sqref="A1:C1048576"/>
    </sheetView>
  </sheetViews>
  <sheetFormatPr defaultRowHeight="12.5" x14ac:dyDescent="0.25"/>
  <sheetData>
    <row r="1" spans="1:3" x14ac:dyDescent="0.25">
      <c r="A1" s="67">
        <v>0</v>
      </c>
      <c r="B1" s="69">
        <v>0</v>
      </c>
      <c r="C1">
        <f>B1*'2. Dienstverlening'!$C$6</f>
        <v>0</v>
      </c>
    </row>
    <row r="2" spans="1:3" x14ac:dyDescent="0.25">
      <c r="A2" s="67">
        <v>4</v>
      </c>
      <c r="B2" s="69">
        <v>0.4</v>
      </c>
      <c r="C2">
        <f>B2*'2. Dienstverlening'!$C$6</f>
        <v>80</v>
      </c>
    </row>
    <row r="3" spans="1:3" x14ac:dyDescent="0.25">
      <c r="A3" s="68">
        <v>4.0999999999999996</v>
      </c>
      <c r="B3" s="69">
        <v>0.41</v>
      </c>
      <c r="C3">
        <f>B3*'2. Dienstverlening'!$C$6</f>
        <v>82</v>
      </c>
    </row>
    <row r="4" spans="1:3" x14ac:dyDescent="0.25">
      <c r="A4" s="68">
        <v>4.2</v>
      </c>
      <c r="B4" s="69">
        <v>0.42</v>
      </c>
      <c r="C4">
        <f>B4*'2. Dienstverlening'!$C$6</f>
        <v>84</v>
      </c>
    </row>
    <row r="5" spans="1:3" x14ac:dyDescent="0.25">
      <c r="A5" s="68">
        <v>4.3</v>
      </c>
      <c r="B5" s="69">
        <v>0.43</v>
      </c>
      <c r="C5">
        <f>B5*'2. Dienstverlening'!$C$6</f>
        <v>86</v>
      </c>
    </row>
    <row r="6" spans="1:3" x14ac:dyDescent="0.25">
      <c r="A6" s="68">
        <v>4.4000000000000004</v>
      </c>
      <c r="B6" s="69">
        <v>0.44</v>
      </c>
      <c r="C6">
        <f>B6*'2. Dienstverlening'!$C$6</f>
        <v>88</v>
      </c>
    </row>
    <row r="7" spans="1:3" x14ac:dyDescent="0.25">
      <c r="A7" s="68">
        <v>4.5</v>
      </c>
      <c r="B7" s="69">
        <v>0.45</v>
      </c>
      <c r="C7">
        <f>B7*'2. Dienstverlening'!$C$6</f>
        <v>90</v>
      </c>
    </row>
    <row r="8" spans="1:3" x14ac:dyDescent="0.25">
      <c r="A8" s="68">
        <v>4.5999999999999996</v>
      </c>
      <c r="B8" s="69">
        <v>0.46</v>
      </c>
      <c r="C8">
        <f>B8*'2. Dienstverlening'!$C$6</f>
        <v>92</v>
      </c>
    </row>
    <row r="9" spans="1:3" x14ac:dyDescent="0.25">
      <c r="A9" s="68">
        <v>4.7</v>
      </c>
      <c r="B9" s="69">
        <v>0.47</v>
      </c>
      <c r="C9">
        <f>B9*'2. Dienstverlening'!$C$6</f>
        <v>94</v>
      </c>
    </row>
    <row r="10" spans="1:3" x14ac:dyDescent="0.25">
      <c r="A10" s="68">
        <v>4.8</v>
      </c>
      <c r="B10" s="69">
        <v>0.48</v>
      </c>
      <c r="C10">
        <f>B10*'2. Dienstverlening'!$C$6</f>
        <v>96</v>
      </c>
    </row>
    <row r="11" spans="1:3" x14ac:dyDescent="0.25">
      <c r="A11" s="68">
        <v>4.9000000000000004</v>
      </c>
      <c r="B11" s="69">
        <v>0.49</v>
      </c>
      <c r="C11">
        <f>B11*'2. Dienstverlening'!$C$6</f>
        <v>98</v>
      </c>
    </row>
    <row r="12" spans="1:3" x14ac:dyDescent="0.25">
      <c r="A12" s="68">
        <v>5</v>
      </c>
      <c r="B12" s="69">
        <v>0.5</v>
      </c>
      <c r="C12">
        <f>B12*'2. Dienstverlening'!$C$6</f>
        <v>100</v>
      </c>
    </row>
    <row r="13" spans="1:3" x14ac:dyDescent="0.25">
      <c r="A13" s="68">
        <v>5.0999999999999996</v>
      </c>
      <c r="B13" s="69">
        <v>0.50999999999999901</v>
      </c>
      <c r="C13">
        <f>B13*'2. Dienstverlening'!$C$6</f>
        <v>101.9999999999998</v>
      </c>
    </row>
    <row r="14" spans="1:3" x14ac:dyDescent="0.25">
      <c r="A14" s="68">
        <v>5.2</v>
      </c>
      <c r="B14" s="69">
        <v>0.51999999999999902</v>
      </c>
      <c r="C14">
        <f>B14*'2. Dienstverlening'!$C$6</f>
        <v>103.9999999999998</v>
      </c>
    </row>
    <row r="15" spans="1:3" x14ac:dyDescent="0.25">
      <c r="A15" s="68">
        <v>5.3</v>
      </c>
      <c r="B15" s="69">
        <v>0.52999999999999903</v>
      </c>
      <c r="C15">
        <f>B15*'2. Dienstverlening'!$C$6</f>
        <v>105.9999999999998</v>
      </c>
    </row>
    <row r="16" spans="1:3" x14ac:dyDescent="0.25">
      <c r="A16" s="68">
        <v>5.4</v>
      </c>
      <c r="B16" s="69">
        <v>0.53999999999999904</v>
      </c>
      <c r="C16">
        <f>B16*'2. Dienstverlening'!$C$6</f>
        <v>107.9999999999998</v>
      </c>
    </row>
    <row r="17" spans="1:3" x14ac:dyDescent="0.25">
      <c r="A17" s="68">
        <v>5.5</v>
      </c>
      <c r="B17" s="69">
        <v>0.54999999999999905</v>
      </c>
      <c r="C17">
        <f>B17*'2. Dienstverlening'!$C$6</f>
        <v>109.99999999999982</v>
      </c>
    </row>
    <row r="18" spans="1:3" x14ac:dyDescent="0.25">
      <c r="A18" s="68">
        <v>5.6</v>
      </c>
      <c r="B18" s="69">
        <v>0.55999999999999905</v>
      </c>
      <c r="C18">
        <f>B18*'2. Dienstverlening'!$C$6</f>
        <v>111.99999999999982</v>
      </c>
    </row>
    <row r="19" spans="1:3" x14ac:dyDescent="0.25">
      <c r="A19" s="68">
        <v>5.7</v>
      </c>
      <c r="B19" s="69">
        <v>0.56999999999999895</v>
      </c>
      <c r="C19">
        <f>B19*'2. Dienstverlening'!$C$6</f>
        <v>113.99999999999979</v>
      </c>
    </row>
    <row r="20" spans="1:3" x14ac:dyDescent="0.25">
      <c r="A20" s="68">
        <v>5.8</v>
      </c>
      <c r="B20" s="69">
        <v>0.57999999999999896</v>
      </c>
      <c r="C20">
        <f>B20*'2. Dienstverlening'!$C$6</f>
        <v>115.99999999999979</v>
      </c>
    </row>
    <row r="21" spans="1:3" x14ac:dyDescent="0.25">
      <c r="A21" s="68">
        <v>5.9</v>
      </c>
      <c r="B21" s="69">
        <v>0.58999999999999897</v>
      </c>
      <c r="C21">
        <f>B21*'2. Dienstverlening'!$C$6</f>
        <v>117.9999999999998</v>
      </c>
    </row>
    <row r="22" spans="1:3" x14ac:dyDescent="0.25">
      <c r="A22" s="68">
        <v>6</v>
      </c>
      <c r="B22" s="69">
        <v>0.59999999999999898</v>
      </c>
      <c r="C22">
        <f>B22*'2. Dienstverlening'!$C$6</f>
        <v>119.9999999999998</v>
      </c>
    </row>
    <row r="23" spans="1:3" x14ac:dyDescent="0.25">
      <c r="A23" s="67">
        <v>6.1</v>
      </c>
      <c r="B23" s="69">
        <v>0.60999999999999899</v>
      </c>
      <c r="C23">
        <f>B23*'2. Dienstverlening'!$C$6</f>
        <v>121.9999999999998</v>
      </c>
    </row>
    <row r="24" spans="1:3" x14ac:dyDescent="0.25">
      <c r="A24" s="67">
        <v>6.2</v>
      </c>
      <c r="B24" s="69">
        <v>0.619999999999999</v>
      </c>
      <c r="C24">
        <f>B24*'2. Dienstverlening'!$C$6</f>
        <v>123.9999999999998</v>
      </c>
    </row>
    <row r="25" spans="1:3" x14ac:dyDescent="0.25">
      <c r="A25" s="67">
        <v>6.3</v>
      </c>
      <c r="B25" s="69">
        <v>0.62999999999999901</v>
      </c>
      <c r="C25">
        <f>B25*'2. Dienstverlening'!$C$6</f>
        <v>125.9999999999998</v>
      </c>
    </row>
    <row r="26" spans="1:3" x14ac:dyDescent="0.25">
      <c r="A26" s="67">
        <v>6.4</v>
      </c>
      <c r="B26" s="69">
        <v>0.63999999999999901</v>
      </c>
      <c r="C26">
        <f>B26*'2. Dienstverlening'!$C$6</f>
        <v>127.9999999999998</v>
      </c>
    </row>
    <row r="27" spans="1:3" x14ac:dyDescent="0.25">
      <c r="A27" s="67">
        <v>6.5</v>
      </c>
      <c r="B27" s="69">
        <v>0.64999999999999902</v>
      </c>
      <c r="C27">
        <f>B27*'2. Dienstverlening'!$C$6</f>
        <v>129.9999999999998</v>
      </c>
    </row>
    <row r="28" spans="1:3" x14ac:dyDescent="0.25">
      <c r="A28" s="67">
        <v>6.6</v>
      </c>
      <c r="B28" s="69">
        <v>0.65999999999999903</v>
      </c>
      <c r="C28">
        <f>B28*'2. Dienstverlening'!$C$6</f>
        <v>131.9999999999998</v>
      </c>
    </row>
    <row r="29" spans="1:3" x14ac:dyDescent="0.25">
      <c r="A29" s="67">
        <v>6.7</v>
      </c>
      <c r="B29" s="69">
        <v>0.66999999999999904</v>
      </c>
      <c r="C29">
        <f>B29*'2. Dienstverlening'!$C$6</f>
        <v>133.9999999999998</v>
      </c>
    </row>
    <row r="30" spans="1:3" x14ac:dyDescent="0.25">
      <c r="A30" s="67">
        <v>6.8</v>
      </c>
      <c r="B30" s="69">
        <v>0.67999999999999905</v>
      </c>
      <c r="C30">
        <f>B30*'2. Dienstverlening'!$C$6</f>
        <v>135.9999999999998</v>
      </c>
    </row>
    <row r="31" spans="1:3" x14ac:dyDescent="0.25">
      <c r="A31" s="67">
        <v>6.9</v>
      </c>
      <c r="B31" s="69">
        <v>0.68999999999999895</v>
      </c>
      <c r="C31">
        <f>B31*'2. Dienstverlening'!$C$6</f>
        <v>137.9999999999998</v>
      </c>
    </row>
    <row r="32" spans="1:3" x14ac:dyDescent="0.25">
      <c r="A32" s="67">
        <v>7</v>
      </c>
      <c r="B32" s="69">
        <v>0.69999999999999896</v>
      </c>
      <c r="C32">
        <f>B32*'2. Dienstverlening'!$C$6</f>
        <v>139.9999999999998</v>
      </c>
    </row>
    <row r="33" spans="1:3" x14ac:dyDescent="0.25">
      <c r="A33" s="67">
        <v>7.1</v>
      </c>
      <c r="B33" s="69">
        <v>0.70999999999999897</v>
      </c>
      <c r="C33">
        <f>B33*'2. Dienstverlening'!$C$6</f>
        <v>141.9999999999998</v>
      </c>
    </row>
    <row r="34" spans="1:3" x14ac:dyDescent="0.25">
      <c r="A34" s="67">
        <v>7.2</v>
      </c>
      <c r="B34" s="69">
        <v>0.71999999999999897</v>
      </c>
      <c r="C34">
        <f>B34*'2. Dienstverlening'!$C$6</f>
        <v>143.9999999999998</v>
      </c>
    </row>
    <row r="35" spans="1:3" x14ac:dyDescent="0.25">
      <c r="A35" s="67">
        <v>7.3</v>
      </c>
      <c r="B35" s="69">
        <v>0.72999999999999798</v>
      </c>
      <c r="C35">
        <f>B35*'2. Dienstverlening'!$C$6</f>
        <v>145.9999999999996</v>
      </c>
    </row>
    <row r="36" spans="1:3" x14ac:dyDescent="0.25">
      <c r="A36" s="67">
        <v>7.4</v>
      </c>
      <c r="B36" s="69">
        <v>0.73999999999999799</v>
      </c>
      <c r="C36">
        <f>B36*'2. Dienstverlening'!$C$6</f>
        <v>147.9999999999996</v>
      </c>
    </row>
    <row r="37" spans="1:3" x14ac:dyDescent="0.25">
      <c r="A37" s="67">
        <v>7.5</v>
      </c>
      <c r="B37" s="69">
        <v>0.749999999999998</v>
      </c>
      <c r="C37">
        <f>B37*'2. Dienstverlening'!$C$6</f>
        <v>149.9999999999996</v>
      </c>
    </row>
    <row r="38" spans="1:3" x14ac:dyDescent="0.25">
      <c r="A38" s="67">
        <v>7.6</v>
      </c>
      <c r="B38" s="69">
        <v>0.75999999999999801</v>
      </c>
      <c r="C38">
        <f>B38*'2. Dienstverlening'!$C$6</f>
        <v>151.9999999999996</v>
      </c>
    </row>
    <row r="39" spans="1:3" x14ac:dyDescent="0.25">
      <c r="A39" s="67">
        <v>7.7</v>
      </c>
      <c r="B39" s="69">
        <v>0.76999999999999802</v>
      </c>
      <c r="C39">
        <f>B39*'2. Dienstverlening'!$C$6</f>
        <v>153.9999999999996</v>
      </c>
    </row>
    <row r="40" spans="1:3" x14ac:dyDescent="0.25">
      <c r="A40" s="67">
        <v>7.8</v>
      </c>
      <c r="B40" s="69">
        <v>0.77999999999999803</v>
      </c>
      <c r="C40">
        <f>B40*'2. Dienstverlening'!$C$6</f>
        <v>155.9999999999996</v>
      </c>
    </row>
    <row r="41" spans="1:3" x14ac:dyDescent="0.25">
      <c r="A41" s="67">
        <v>7.9</v>
      </c>
      <c r="B41" s="69">
        <v>0.78999999999999804</v>
      </c>
      <c r="C41">
        <f>B41*'2. Dienstverlening'!$C$6</f>
        <v>157.9999999999996</v>
      </c>
    </row>
    <row r="42" spans="1:3" x14ac:dyDescent="0.25">
      <c r="A42" s="67">
        <v>8</v>
      </c>
      <c r="B42" s="69">
        <v>0.79999999999999805</v>
      </c>
      <c r="C42">
        <f>B42*'2. Dienstverlening'!$C$6</f>
        <v>159.9999999999996</v>
      </c>
    </row>
    <row r="43" spans="1:3" x14ac:dyDescent="0.25">
      <c r="A43" s="67">
        <v>8.1</v>
      </c>
      <c r="B43" s="69">
        <v>0.80999999999999805</v>
      </c>
      <c r="C43">
        <f>B43*'2. Dienstverlening'!$C$6</f>
        <v>161.9999999999996</v>
      </c>
    </row>
    <row r="44" spans="1:3" x14ac:dyDescent="0.25">
      <c r="A44" s="67">
        <v>8.1999999999999993</v>
      </c>
      <c r="B44" s="69">
        <v>0.81999999999999795</v>
      </c>
      <c r="C44">
        <f>B44*'2. Dienstverlening'!$C$6</f>
        <v>163.9999999999996</v>
      </c>
    </row>
    <row r="45" spans="1:3" x14ac:dyDescent="0.25">
      <c r="A45" s="67">
        <v>8.3000000000000007</v>
      </c>
      <c r="B45" s="69">
        <v>0.82999999999999796</v>
      </c>
      <c r="C45">
        <f>B45*'2. Dienstverlening'!$C$6</f>
        <v>165.9999999999996</v>
      </c>
    </row>
    <row r="46" spans="1:3" x14ac:dyDescent="0.25">
      <c r="A46" s="67">
        <v>8.4</v>
      </c>
      <c r="B46" s="69">
        <v>0.83999999999999797</v>
      </c>
      <c r="C46">
        <f>B46*'2. Dienstverlening'!$C$6</f>
        <v>167.9999999999996</v>
      </c>
    </row>
    <row r="47" spans="1:3" x14ac:dyDescent="0.25">
      <c r="A47" s="67">
        <v>8.5</v>
      </c>
      <c r="B47" s="69">
        <v>0.84999999999999798</v>
      </c>
      <c r="C47">
        <f>B47*'2. Dienstverlening'!$C$6</f>
        <v>169.9999999999996</v>
      </c>
    </row>
    <row r="48" spans="1:3" x14ac:dyDescent="0.25">
      <c r="A48" s="67">
        <v>8.6</v>
      </c>
      <c r="B48" s="69">
        <v>0.85999999999999799</v>
      </c>
      <c r="C48">
        <f>B48*'2. Dienstverlening'!$C$6</f>
        <v>171.9999999999996</v>
      </c>
    </row>
    <row r="49" spans="1:3" x14ac:dyDescent="0.25">
      <c r="A49" s="67">
        <v>8.6999999999999993</v>
      </c>
      <c r="B49" s="69">
        <v>0.869999999999998</v>
      </c>
      <c r="C49">
        <f>B49*'2. Dienstverlening'!$C$6</f>
        <v>173.9999999999996</v>
      </c>
    </row>
    <row r="50" spans="1:3" x14ac:dyDescent="0.25">
      <c r="A50" s="67">
        <v>8.8000000000000007</v>
      </c>
      <c r="B50" s="69">
        <v>0.87999999999999801</v>
      </c>
      <c r="C50">
        <f>B50*'2. Dienstverlening'!$C$6</f>
        <v>175.9999999999996</v>
      </c>
    </row>
    <row r="51" spans="1:3" x14ac:dyDescent="0.25">
      <c r="A51" s="67">
        <v>8.9</v>
      </c>
      <c r="B51" s="69">
        <v>0.88999999999999801</v>
      </c>
      <c r="C51">
        <f>B51*'2. Dienstverlening'!$C$6</f>
        <v>177.9999999999996</v>
      </c>
    </row>
    <row r="52" spans="1:3" x14ac:dyDescent="0.25">
      <c r="A52" s="67">
        <v>9</v>
      </c>
      <c r="B52" s="69">
        <v>0.89999999999999802</v>
      </c>
      <c r="C52">
        <f>B52*'2. Dienstverlening'!$C$6</f>
        <v>179.9999999999996</v>
      </c>
    </row>
    <row r="53" spans="1:3" x14ac:dyDescent="0.25">
      <c r="A53" s="67">
        <v>9.1</v>
      </c>
      <c r="B53" s="69">
        <v>0.90999999999999803</v>
      </c>
      <c r="C53">
        <f>B53*'2. Dienstverlening'!$C$6</f>
        <v>181.9999999999996</v>
      </c>
    </row>
    <row r="54" spans="1:3" x14ac:dyDescent="0.25">
      <c r="A54" s="67">
        <v>9.1999999999999993</v>
      </c>
      <c r="B54" s="69">
        <v>0.91999999999999804</v>
      </c>
      <c r="C54">
        <f>B54*'2. Dienstverlening'!$C$6</f>
        <v>183.9999999999996</v>
      </c>
    </row>
    <row r="55" spans="1:3" x14ac:dyDescent="0.25">
      <c r="A55" s="67">
        <v>9.3000000000000007</v>
      </c>
      <c r="B55" s="69">
        <v>0.92999999999999805</v>
      </c>
      <c r="C55">
        <f>B55*'2. Dienstverlening'!$C$6</f>
        <v>185.9999999999996</v>
      </c>
    </row>
    <row r="56" spans="1:3" x14ac:dyDescent="0.25">
      <c r="A56" s="67">
        <v>9.4</v>
      </c>
      <c r="B56" s="69">
        <v>0.93999999999999695</v>
      </c>
      <c r="C56">
        <f>B56*'2. Dienstverlening'!$C$6</f>
        <v>187.9999999999994</v>
      </c>
    </row>
    <row r="57" spans="1:3" x14ac:dyDescent="0.25">
      <c r="A57" s="67">
        <v>9.5</v>
      </c>
      <c r="B57" s="69">
        <v>0.94999999999999696</v>
      </c>
      <c r="C57">
        <f>B57*'2. Dienstverlening'!$C$6</f>
        <v>189.9999999999994</v>
      </c>
    </row>
    <row r="58" spans="1:3" x14ac:dyDescent="0.25">
      <c r="A58" s="67">
        <v>9.6</v>
      </c>
      <c r="B58" s="69">
        <v>0.95999999999999697</v>
      </c>
      <c r="C58">
        <f>B58*'2. Dienstverlening'!$C$6</f>
        <v>191.9999999999994</v>
      </c>
    </row>
    <row r="59" spans="1:3" x14ac:dyDescent="0.25">
      <c r="A59" s="67">
        <v>9.6999999999999993</v>
      </c>
      <c r="B59" s="69">
        <v>0.96999999999999698</v>
      </c>
      <c r="C59">
        <f>B59*'2. Dienstverlening'!$C$6</f>
        <v>193.9999999999994</v>
      </c>
    </row>
    <row r="60" spans="1:3" x14ac:dyDescent="0.25">
      <c r="A60" s="67">
        <v>9.8000000000000007</v>
      </c>
      <c r="B60" s="69">
        <v>0.97999999999999698</v>
      </c>
      <c r="C60">
        <f>B60*'2. Dienstverlening'!$C$6</f>
        <v>195.9999999999994</v>
      </c>
    </row>
    <row r="61" spans="1:3" x14ac:dyDescent="0.25">
      <c r="A61" s="67">
        <v>9.9</v>
      </c>
      <c r="B61" s="69">
        <v>0.98999999999999699</v>
      </c>
      <c r="C61">
        <f>B61*'2. Dienstverlening'!$C$6</f>
        <v>197.9999999999994</v>
      </c>
    </row>
    <row r="62" spans="1:3" x14ac:dyDescent="0.25">
      <c r="A62" s="67">
        <v>10</v>
      </c>
      <c r="B62" s="69">
        <v>0.999999999999997</v>
      </c>
      <c r="C62">
        <f>B62*'2. Dienstverlening'!$C$6</f>
        <v>199.9999999999994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F300-E86D-40AD-A7AD-91B65855DD7D}">
  <dimension ref="A1:C62"/>
  <sheetViews>
    <sheetView workbookViewId="0">
      <selection sqref="A1:C1048576"/>
    </sheetView>
  </sheetViews>
  <sheetFormatPr defaultRowHeight="12.5" x14ac:dyDescent="0.25"/>
  <cols>
    <col min="3" max="3" width="8.7265625" style="68"/>
  </cols>
  <sheetData>
    <row r="1" spans="1:3" x14ac:dyDescent="0.25">
      <c r="A1" s="67">
        <v>0</v>
      </c>
      <c r="B1" s="69">
        <v>0</v>
      </c>
      <c r="C1" s="68">
        <f>B1*'2. Dienstverlening'!$C$19</f>
        <v>0</v>
      </c>
    </row>
    <row r="2" spans="1:3" x14ac:dyDescent="0.25">
      <c r="A2" s="67">
        <v>4</v>
      </c>
      <c r="B2" s="69">
        <v>0.4</v>
      </c>
      <c r="C2" s="68">
        <f>B2*'2. Dienstverlening'!$C$19</f>
        <v>10</v>
      </c>
    </row>
    <row r="3" spans="1:3" x14ac:dyDescent="0.25">
      <c r="A3" s="68">
        <v>4.0999999999999996</v>
      </c>
      <c r="B3" s="69">
        <v>0.41</v>
      </c>
      <c r="C3" s="68">
        <f>B3*'2. Dienstverlening'!$C$19</f>
        <v>10.25</v>
      </c>
    </row>
    <row r="4" spans="1:3" x14ac:dyDescent="0.25">
      <c r="A4" s="68">
        <v>4.2</v>
      </c>
      <c r="B4" s="69">
        <v>0.42</v>
      </c>
      <c r="C4" s="68">
        <f>B4*'2. Dienstverlening'!$C$19</f>
        <v>10.5</v>
      </c>
    </row>
    <row r="5" spans="1:3" x14ac:dyDescent="0.25">
      <c r="A5" s="68">
        <v>4.3</v>
      </c>
      <c r="B5" s="69">
        <v>0.43</v>
      </c>
      <c r="C5" s="68">
        <f>B5*'2. Dienstverlening'!$C$19</f>
        <v>10.75</v>
      </c>
    </row>
    <row r="6" spans="1:3" x14ac:dyDescent="0.25">
      <c r="A6" s="68">
        <v>4.4000000000000004</v>
      </c>
      <c r="B6" s="69">
        <v>0.44</v>
      </c>
      <c r="C6" s="68">
        <f>B6*'2. Dienstverlening'!$C$19</f>
        <v>11</v>
      </c>
    </row>
    <row r="7" spans="1:3" x14ac:dyDescent="0.25">
      <c r="A7" s="68">
        <v>4.5</v>
      </c>
      <c r="B7" s="69">
        <v>0.45</v>
      </c>
      <c r="C7" s="68">
        <f>B7*'2. Dienstverlening'!$C$19</f>
        <v>11.25</v>
      </c>
    </row>
    <row r="8" spans="1:3" x14ac:dyDescent="0.25">
      <c r="A8" s="68">
        <v>4.5999999999999996</v>
      </c>
      <c r="B8" s="69">
        <v>0.46</v>
      </c>
      <c r="C8" s="68">
        <f>B8*'2. Dienstverlening'!$C$19</f>
        <v>11.5</v>
      </c>
    </row>
    <row r="9" spans="1:3" x14ac:dyDescent="0.25">
      <c r="A9" s="68">
        <v>4.7</v>
      </c>
      <c r="B9" s="69">
        <v>0.47</v>
      </c>
      <c r="C9" s="68">
        <f>B9*'2. Dienstverlening'!$C$19</f>
        <v>11.75</v>
      </c>
    </row>
    <row r="10" spans="1:3" x14ac:dyDescent="0.25">
      <c r="A10" s="68">
        <v>4.8</v>
      </c>
      <c r="B10" s="69">
        <v>0.48</v>
      </c>
      <c r="C10" s="68">
        <f>B10*'2. Dienstverlening'!$C$19</f>
        <v>12</v>
      </c>
    </row>
    <row r="11" spans="1:3" x14ac:dyDescent="0.25">
      <c r="A11" s="68">
        <v>4.9000000000000004</v>
      </c>
      <c r="B11" s="69">
        <v>0.49</v>
      </c>
      <c r="C11" s="68">
        <f>B11*'2. Dienstverlening'!$C$19</f>
        <v>12.25</v>
      </c>
    </row>
    <row r="12" spans="1:3" x14ac:dyDescent="0.25">
      <c r="A12" s="68">
        <v>5</v>
      </c>
      <c r="B12" s="69">
        <v>0.5</v>
      </c>
      <c r="C12" s="68">
        <f>B12*'2. Dienstverlening'!$C$19</f>
        <v>12.5</v>
      </c>
    </row>
    <row r="13" spans="1:3" x14ac:dyDescent="0.25">
      <c r="A13" s="68">
        <v>5.0999999999999996</v>
      </c>
      <c r="B13" s="69">
        <v>0.50999999999999901</v>
      </c>
      <c r="C13" s="68">
        <f>B13*'2. Dienstverlening'!$C$19</f>
        <v>12.749999999999975</v>
      </c>
    </row>
    <row r="14" spans="1:3" x14ac:dyDescent="0.25">
      <c r="A14" s="68">
        <v>5.2</v>
      </c>
      <c r="B14" s="69">
        <v>0.51999999999999902</v>
      </c>
      <c r="C14" s="68">
        <f>B14*'2. Dienstverlening'!$C$19</f>
        <v>12.999999999999975</v>
      </c>
    </row>
    <row r="15" spans="1:3" x14ac:dyDescent="0.25">
      <c r="A15" s="68">
        <v>5.3</v>
      </c>
      <c r="B15" s="69">
        <v>0.52999999999999903</v>
      </c>
      <c r="C15" s="68">
        <f>B15*'2. Dienstverlening'!$C$19</f>
        <v>13.249999999999975</v>
      </c>
    </row>
    <row r="16" spans="1:3" x14ac:dyDescent="0.25">
      <c r="A16" s="68">
        <v>5.4</v>
      </c>
      <c r="B16" s="69">
        <v>0.53999999999999904</v>
      </c>
      <c r="C16" s="68">
        <f>B16*'2. Dienstverlening'!$C$19</f>
        <v>13.499999999999975</v>
      </c>
    </row>
    <row r="17" spans="1:3" x14ac:dyDescent="0.25">
      <c r="A17" s="68">
        <v>5.5</v>
      </c>
      <c r="B17" s="69">
        <v>0.54999999999999905</v>
      </c>
      <c r="C17" s="68">
        <f>B17*'2. Dienstverlening'!$C$19</f>
        <v>13.749999999999977</v>
      </c>
    </row>
    <row r="18" spans="1:3" x14ac:dyDescent="0.25">
      <c r="A18" s="68">
        <v>5.6</v>
      </c>
      <c r="B18" s="69">
        <v>0.55999999999999905</v>
      </c>
      <c r="C18" s="68">
        <f>B18*'2. Dienstverlening'!$C$19</f>
        <v>13.999999999999977</v>
      </c>
    </row>
    <row r="19" spans="1:3" x14ac:dyDescent="0.25">
      <c r="A19" s="68">
        <v>5.7</v>
      </c>
      <c r="B19" s="69">
        <v>0.56999999999999895</v>
      </c>
      <c r="C19" s="68">
        <f>B19*'2. Dienstverlening'!$C$19</f>
        <v>14.249999999999973</v>
      </c>
    </row>
    <row r="20" spans="1:3" x14ac:dyDescent="0.25">
      <c r="A20" s="68">
        <v>5.8</v>
      </c>
      <c r="B20" s="69">
        <v>0.57999999999999896</v>
      </c>
      <c r="C20" s="68">
        <f>B20*'2. Dienstverlening'!$C$19</f>
        <v>14.499999999999973</v>
      </c>
    </row>
    <row r="21" spans="1:3" x14ac:dyDescent="0.25">
      <c r="A21" s="68">
        <v>5.9</v>
      </c>
      <c r="B21" s="69">
        <v>0.58999999999999897</v>
      </c>
      <c r="C21" s="68">
        <f>B21*'2. Dienstverlening'!$C$19</f>
        <v>14.749999999999975</v>
      </c>
    </row>
    <row r="22" spans="1:3" x14ac:dyDescent="0.25">
      <c r="A22" s="68">
        <v>6</v>
      </c>
      <c r="B22" s="69">
        <v>0.59999999999999898</v>
      </c>
      <c r="C22" s="68">
        <f>B22*'2. Dienstverlening'!$C$19</f>
        <v>14.999999999999975</v>
      </c>
    </row>
    <row r="23" spans="1:3" x14ac:dyDescent="0.25">
      <c r="A23" s="67">
        <v>6.1</v>
      </c>
      <c r="B23" s="69">
        <v>0.60999999999999899</v>
      </c>
      <c r="C23" s="68">
        <f>B23*'2. Dienstverlening'!$C$19</f>
        <v>15.249999999999975</v>
      </c>
    </row>
    <row r="24" spans="1:3" x14ac:dyDescent="0.25">
      <c r="A24" s="67">
        <v>6.2</v>
      </c>
      <c r="B24" s="69">
        <v>0.619999999999999</v>
      </c>
      <c r="C24" s="68">
        <f>B24*'2. Dienstverlening'!$C$19</f>
        <v>15.499999999999975</v>
      </c>
    </row>
    <row r="25" spans="1:3" x14ac:dyDescent="0.25">
      <c r="A25" s="67">
        <v>6.3</v>
      </c>
      <c r="B25" s="69">
        <v>0.62999999999999901</v>
      </c>
      <c r="C25" s="68">
        <f>B25*'2. Dienstverlening'!$C$19</f>
        <v>15.749999999999975</v>
      </c>
    </row>
    <row r="26" spans="1:3" x14ac:dyDescent="0.25">
      <c r="A26" s="67">
        <v>6.4</v>
      </c>
      <c r="B26" s="69">
        <v>0.63999999999999901</v>
      </c>
      <c r="C26" s="68">
        <f>B26*'2. Dienstverlening'!$C$19</f>
        <v>15.999999999999975</v>
      </c>
    </row>
    <row r="27" spans="1:3" x14ac:dyDescent="0.25">
      <c r="A27" s="67">
        <v>6.5</v>
      </c>
      <c r="B27" s="69">
        <v>0.64999999999999902</v>
      </c>
      <c r="C27" s="68">
        <f>B27*'2. Dienstverlening'!$C$19</f>
        <v>16.249999999999975</v>
      </c>
    </row>
    <row r="28" spans="1:3" x14ac:dyDescent="0.25">
      <c r="A28" s="67">
        <v>6.6</v>
      </c>
      <c r="B28" s="69">
        <v>0.65999999999999903</v>
      </c>
      <c r="C28" s="68">
        <f>B28*'2. Dienstverlening'!$C$19</f>
        <v>16.499999999999975</v>
      </c>
    </row>
    <row r="29" spans="1:3" x14ac:dyDescent="0.25">
      <c r="A29" s="67">
        <v>6.7</v>
      </c>
      <c r="B29" s="69">
        <v>0.66999999999999904</v>
      </c>
      <c r="C29" s="68">
        <f>B29*'2. Dienstverlening'!$C$19</f>
        <v>16.749999999999975</v>
      </c>
    </row>
    <row r="30" spans="1:3" x14ac:dyDescent="0.25">
      <c r="A30" s="67">
        <v>6.8</v>
      </c>
      <c r="B30" s="69">
        <v>0.67999999999999905</v>
      </c>
      <c r="C30" s="68">
        <f>B30*'2. Dienstverlening'!$C$19</f>
        <v>16.999999999999975</v>
      </c>
    </row>
    <row r="31" spans="1:3" x14ac:dyDescent="0.25">
      <c r="A31" s="67">
        <v>6.9</v>
      </c>
      <c r="B31" s="69">
        <v>0.68999999999999895</v>
      </c>
      <c r="C31" s="68">
        <f>B31*'2. Dienstverlening'!$C$19</f>
        <v>17.249999999999975</v>
      </c>
    </row>
    <row r="32" spans="1:3" x14ac:dyDescent="0.25">
      <c r="A32" s="67">
        <v>7</v>
      </c>
      <c r="B32" s="69">
        <v>0.69999999999999896</v>
      </c>
      <c r="C32" s="68">
        <f>B32*'2. Dienstverlening'!$C$19</f>
        <v>17.499999999999975</v>
      </c>
    </row>
    <row r="33" spans="1:3" x14ac:dyDescent="0.25">
      <c r="A33" s="67">
        <v>7.1</v>
      </c>
      <c r="B33" s="69">
        <v>0.70999999999999897</v>
      </c>
      <c r="C33" s="68">
        <f>B33*'2. Dienstverlening'!$C$19</f>
        <v>17.749999999999975</v>
      </c>
    </row>
    <row r="34" spans="1:3" x14ac:dyDescent="0.25">
      <c r="A34" s="67">
        <v>7.2</v>
      </c>
      <c r="B34" s="69">
        <v>0.71999999999999897</v>
      </c>
      <c r="C34" s="68">
        <f>B34*'2. Dienstverlening'!$C$19</f>
        <v>17.999999999999975</v>
      </c>
    </row>
    <row r="35" spans="1:3" x14ac:dyDescent="0.25">
      <c r="A35" s="67">
        <v>7.3</v>
      </c>
      <c r="B35" s="69">
        <v>0.72999999999999798</v>
      </c>
      <c r="C35" s="68">
        <f>B35*'2. Dienstverlening'!$C$19</f>
        <v>18.24999999999995</v>
      </c>
    </row>
    <row r="36" spans="1:3" x14ac:dyDescent="0.25">
      <c r="A36" s="67">
        <v>7.4</v>
      </c>
      <c r="B36" s="69">
        <v>0.73999999999999799</v>
      </c>
      <c r="C36" s="68">
        <f>B36*'2. Dienstverlening'!$C$19</f>
        <v>18.49999999999995</v>
      </c>
    </row>
    <row r="37" spans="1:3" x14ac:dyDescent="0.25">
      <c r="A37" s="67">
        <v>7.5</v>
      </c>
      <c r="B37" s="69">
        <v>0.749999999999998</v>
      </c>
      <c r="C37" s="68">
        <f>B37*'2. Dienstverlening'!$C$19</f>
        <v>18.74999999999995</v>
      </c>
    </row>
    <row r="38" spans="1:3" x14ac:dyDescent="0.25">
      <c r="A38" s="67">
        <v>7.6</v>
      </c>
      <c r="B38" s="69">
        <v>0.75999999999999801</v>
      </c>
      <c r="C38" s="68">
        <f>B38*'2. Dienstverlening'!$C$19</f>
        <v>18.99999999999995</v>
      </c>
    </row>
    <row r="39" spans="1:3" x14ac:dyDescent="0.25">
      <c r="A39" s="67">
        <v>7.7</v>
      </c>
      <c r="B39" s="69">
        <v>0.76999999999999802</v>
      </c>
      <c r="C39" s="68">
        <f>B39*'2. Dienstverlening'!$C$19</f>
        <v>19.24999999999995</v>
      </c>
    </row>
    <row r="40" spans="1:3" x14ac:dyDescent="0.25">
      <c r="A40" s="67">
        <v>7.8</v>
      </c>
      <c r="B40" s="69">
        <v>0.77999999999999803</v>
      </c>
      <c r="C40" s="68">
        <f>B40*'2. Dienstverlening'!$C$19</f>
        <v>19.49999999999995</v>
      </c>
    </row>
    <row r="41" spans="1:3" x14ac:dyDescent="0.25">
      <c r="A41" s="67">
        <v>7.9</v>
      </c>
      <c r="B41" s="69">
        <v>0.78999999999999804</v>
      </c>
      <c r="C41" s="68">
        <f>B41*'2. Dienstverlening'!$C$19</f>
        <v>19.74999999999995</v>
      </c>
    </row>
    <row r="42" spans="1:3" x14ac:dyDescent="0.25">
      <c r="A42" s="67">
        <v>8</v>
      </c>
      <c r="B42" s="69">
        <v>0.79999999999999805</v>
      </c>
      <c r="C42" s="68">
        <f>B42*'2. Dienstverlening'!$C$19</f>
        <v>19.99999999999995</v>
      </c>
    </row>
    <row r="43" spans="1:3" x14ac:dyDescent="0.25">
      <c r="A43" s="67">
        <v>8.1</v>
      </c>
      <c r="B43" s="69">
        <v>0.80999999999999805</v>
      </c>
      <c r="C43" s="68">
        <f>B43*'2. Dienstverlening'!$C$19</f>
        <v>20.24999999999995</v>
      </c>
    </row>
    <row r="44" spans="1:3" x14ac:dyDescent="0.25">
      <c r="A44" s="67">
        <v>8.1999999999999993</v>
      </c>
      <c r="B44" s="69">
        <v>0.81999999999999795</v>
      </c>
      <c r="C44" s="68">
        <f>B44*'2. Dienstverlening'!$C$19</f>
        <v>20.49999999999995</v>
      </c>
    </row>
    <row r="45" spans="1:3" x14ac:dyDescent="0.25">
      <c r="A45" s="67">
        <v>8.3000000000000007</v>
      </c>
      <c r="B45" s="69">
        <v>0.82999999999999796</v>
      </c>
      <c r="C45" s="68">
        <f>B45*'2. Dienstverlening'!$C$19</f>
        <v>20.74999999999995</v>
      </c>
    </row>
    <row r="46" spans="1:3" x14ac:dyDescent="0.25">
      <c r="A46" s="67">
        <v>8.4</v>
      </c>
      <c r="B46" s="69">
        <v>0.83999999999999797</v>
      </c>
      <c r="C46" s="68">
        <f>B46*'2. Dienstverlening'!$C$19</f>
        <v>20.99999999999995</v>
      </c>
    </row>
    <row r="47" spans="1:3" x14ac:dyDescent="0.25">
      <c r="A47" s="67">
        <v>8.5</v>
      </c>
      <c r="B47" s="69">
        <v>0.84999999999999798</v>
      </c>
      <c r="C47" s="68">
        <f>B47*'2. Dienstverlening'!$C$19</f>
        <v>21.24999999999995</v>
      </c>
    </row>
    <row r="48" spans="1:3" x14ac:dyDescent="0.25">
      <c r="A48" s="67">
        <v>8.6</v>
      </c>
      <c r="B48" s="69">
        <v>0.85999999999999799</v>
      </c>
      <c r="C48" s="68">
        <f>B48*'2. Dienstverlening'!$C$19</f>
        <v>21.49999999999995</v>
      </c>
    </row>
    <row r="49" spans="1:3" x14ac:dyDescent="0.25">
      <c r="A49" s="67">
        <v>8.6999999999999993</v>
      </c>
      <c r="B49" s="69">
        <v>0.869999999999998</v>
      </c>
      <c r="C49" s="68">
        <f>B49*'2. Dienstverlening'!$C$19</f>
        <v>21.74999999999995</v>
      </c>
    </row>
    <row r="50" spans="1:3" x14ac:dyDescent="0.25">
      <c r="A50" s="67">
        <v>8.8000000000000007</v>
      </c>
      <c r="B50" s="69">
        <v>0.87999999999999801</v>
      </c>
      <c r="C50" s="68">
        <f>B50*'2. Dienstverlening'!$C$19</f>
        <v>21.99999999999995</v>
      </c>
    </row>
    <row r="51" spans="1:3" x14ac:dyDescent="0.25">
      <c r="A51" s="67">
        <v>8.9</v>
      </c>
      <c r="B51" s="69">
        <v>0.88999999999999801</v>
      </c>
      <c r="C51" s="68">
        <f>B51*'2. Dienstverlening'!$C$19</f>
        <v>22.24999999999995</v>
      </c>
    </row>
    <row r="52" spans="1:3" x14ac:dyDescent="0.25">
      <c r="A52" s="67">
        <v>9</v>
      </c>
      <c r="B52" s="69">
        <v>0.89999999999999802</v>
      </c>
      <c r="C52" s="68">
        <f>B52*'2. Dienstverlening'!$C$19</f>
        <v>22.49999999999995</v>
      </c>
    </row>
    <row r="53" spans="1:3" x14ac:dyDescent="0.25">
      <c r="A53" s="67">
        <v>9.1</v>
      </c>
      <c r="B53" s="69">
        <v>0.90999999999999803</v>
      </c>
      <c r="C53" s="68">
        <f>B53*'2. Dienstverlening'!$C$19</f>
        <v>22.74999999999995</v>
      </c>
    </row>
    <row r="54" spans="1:3" x14ac:dyDescent="0.25">
      <c r="A54" s="67">
        <v>9.1999999999999993</v>
      </c>
      <c r="B54" s="69">
        <v>0.91999999999999804</v>
      </c>
      <c r="C54" s="68">
        <f>B54*'2. Dienstverlening'!$C$19</f>
        <v>22.99999999999995</v>
      </c>
    </row>
    <row r="55" spans="1:3" x14ac:dyDescent="0.25">
      <c r="A55" s="67">
        <v>9.3000000000000007</v>
      </c>
      <c r="B55" s="69">
        <v>0.92999999999999805</v>
      </c>
      <c r="C55" s="68">
        <f>B55*'2. Dienstverlening'!$C$19</f>
        <v>23.24999999999995</v>
      </c>
    </row>
    <row r="56" spans="1:3" x14ac:dyDescent="0.25">
      <c r="A56" s="67">
        <v>9.4</v>
      </c>
      <c r="B56" s="69">
        <v>0.93999999999999695</v>
      </c>
      <c r="C56" s="68">
        <f>B56*'2. Dienstverlening'!$C$19</f>
        <v>23.499999999999925</v>
      </c>
    </row>
    <row r="57" spans="1:3" x14ac:dyDescent="0.25">
      <c r="A57" s="67">
        <v>9.5</v>
      </c>
      <c r="B57" s="69">
        <v>0.94999999999999696</v>
      </c>
      <c r="C57" s="68">
        <f>B57*'2. Dienstverlening'!$C$19</f>
        <v>23.749999999999925</v>
      </c>
    </row>
    <row r="58" spans="1:3" x14ac:dyDescent="0.25">
      <c r="A58" s="67">
        <v>9.6</v>
      </c>
      <c r="B58" s="69">
        <v>0.95999999999999697</v>
      </c>
      <c r="C58" s="68">
        <f>B58*'2. Dienstverlening'!$C$19</f>
        <v>23.999999999999925</v>
      </c>
    </row>
    <row r="59" spans="1:3" x14ac:dyDescent="0.25">
      <c r="A59" s="67">
        <v>9.6999999999999993</v>
      </c>
      <c r="B59" s="69">
        <v>0.96999999999999698</v>
      </c>
      <c r="C59" s="68">
        <f>B59*'2. Dienstverlening'!$C$19</f>
        <v>24.249999999999925</v>
      </c>
    </row>
    <row r="60" spans="1:3" x14ac:dyDescent="0.25">
      <c r="A60" s="67">
        <v>9.8000000000000007</v>
      </c>
      <c r="B60" s="69">
        <v>0.97999999999999698</v>
      </c>
      <c r="C60" s="68">
        <f>B60*'2. Dienstverlening'!$C$19</f>
        <v>24.499999999999925</v>
      </c>
    </row>
    <row r="61" spans="1:3" x14ac:dyDescent="0.25">
      <c r="A61" s="67">
        <v>9.9</v>
      </c>
      <c r="B61" s="69">
        <v>0.98999999999999699</v>
      </c>
      <c r="C61" s="68">
        <f>B61*'2. Dienstverlening'!$C$19</f>
        <v>24.749999999999925</v>
      </c>
    </row>
    <row r="62" spans="1:3" x14ac:dyDescent="0.25">
      <c r="A62" s="67">
        <v>10</v>
      </c>
      <c r="B62" s="69">
        <v>0.999999999999997</v>
      </c>
      <c r="C62" s="68">
        <f>B62*'2. Dienstverlening'!$C$19</f>
        <v>24.999999999999925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2700fc-533d-4ff5-ad7f-d1a237e8c9e7" xsi:nil="true"/>
    <lcf76f155ced4ddcb4097134ff3c332f xmlns="2b766c82-9b97-4f58-a38c-0a03bf5a079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96DD0C31EDF941A226331F91207658" ma:contentTypeVersion="8" ma:contentTypeDescription="Create a new document." ma:contentTypeScope="" ma:versionID="e369f0b9e1a1359c89a747a5f8621df2">
  <xsd:schema xmlns:xsd="http://www.w3.org/2001/XMLSchema" xmlns:xs="http://www.w3.org/2001/XMLSchema" xmlns:p="http://schemas.microsoft.com/office/2006/metadata/properties" xmlns:ns2="2b766c82-9b97-4f58-a38c-0a03bf5a0798" xmlns:ns3="652700fc-533d-4ff5-ad7f-d1a237e8c9e7" targetNamespace="http://schemas.microsoft.com/office/2006/metadata/properties" ma:root="true" ma:fieldsID="17352494062f1eaf995f267140cf5b45" ns2:_="" ns3:_="">
    <xsd:import namespace="2b766c82-9b97-4f58-a38c-0a03bf5a0798"/>
    <xsd:import namespace="652700fc-533d-4ff5-ad7f-d1a237e8c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66c82-9b97-4f58-a38c-0a03bf5a0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700fc-533d-4ff5-ad7f-d1a237e8c9e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37dd480-f4ba-40e3-b829-27076a1c7e07}" ma:internalName="TaxCatchAll" ma:showField="CatchAllData" ma:web="652700fc-533d-4ff5-ad7f-d1a237e8c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46D50-5156-4DB6-85A8-87E4FFFF74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A76436-BD82-4D28-8172-93EF1D671BB8}">
  <ds:schemaRefs>
    <ds:schemaRef ds:uri="http://schemas.microsoft.com/office/2006/metadata/properties"/>
    <ds:schemaRef ds:uri="http://schemas.microsoft.com/office/infopath/2007/PartnerControls"/>
    <ds:schemaRef ds:uri="2cf4c95b-4e68-4195-a006-549e85cd0f6d"/>
    <ds:schemaRef ds:uri="aeba0015-9939-4c72-9c20-6b77aa70d98e"/>
  </ds:schemaRefs>
</ds:datastoreItem>
</file>

<file path=customXml/itemProps3.xml><?xml version="1.0" encoding="utf-8"?>
<ds:datastoreItem xmlns:ds="http://schemas.openxmlformats.org/officeDocument/2006/customXml" ds:itemID="{0E0EEBF7-D2C0-499F-93F1-A840F5A3770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Overzicht beoordelingsmatrix </vt:lpstr>
      <vt:lpstr>Formaliteiten</vt:lpstr>
      <vt:lpstr>Schema puntentoekenning</vt:lpstr>
      <vt:lpstr>1. Duurzaamheid</vt:lpstr>
      <vt:lpstr>2. Dienstverlening</vt:lpstr>
      <vt:lpstr>3. Smaaktest</vt:lpstr>
      <vt:lpstr>Prijs</vt:lpstr>
      <vt:lpstr>Punten duurzaamheid</vt:lpstr>
      <vt:lpstr>Punten dienstverlening 2.1-2.4</vt:lpstr>
      <vt:lpstr>Punten dienstverlening 2.5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Huijser-de Haij, M.E. (Marije)</cp:lastModifiedBy>
  <cp:revision/>
  <dcterms:created xsi:type="dcterms:W3CDTF">1996-11-27T13:48:17Z</dcterms:created>
  <dcterms:modified xsi:type="dcterms:W3CDTF">2023-03-16T09:01:26Z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0x0101007D96DD0C31EDF941A226331F91207658</vt:lpwstr>
  </property>
  <property fmtid="{D5CDD505-2E9C-101B-9397-08002B2CF9AE}" pid="3" name="MediaServiceImageTags">
    <vt:lpwstr/>
  </property>
</Properties>
</file>