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BV-Middelen/Inkoop/00 Aanbesteden/P22-064 Verzekering Wagenpark/02 Inkooptraject/02 TenderNed/Bijlagen/"/>
    </mc:Choice>
  </mc:AlternateContent>
  <xr:revisionPtr revIDLastSave="90" documentId="8_{A1A0D249-6A9A-433F-9B72-C0B9875E054A}" xr6:coauthVersionLast="47" xr6:coauthVersionMax="47" xr10:uidLastSave="{99680581-7A50-4E60-A36C-17448BA60A47}"/>
  <bookViews>
    <workbookView xWindow="-108" yWindow="-108" windowWidth="23256" windowHeight="14016" xr2:uid="{00000000-000D-0000-FFFF-FFFF00000000}"/>
  </bookViews>
  <sheets>
    <sheet name="Prijzenblad" sheetId="1" r:id="rId1"/>
    <sheet name="Tabblad fin. gegevens" sheetId="2" r:id="rId2"/>
    <sheet name="Tabblad aantallen" sheetId="3" r:id="rId3"/>
  </sheets>
  <definedNames>
    <definedName name="_xlnm._FilterDatabase" localSheetId="0" hidden="1">Prijzenblad!$L$8:$AB$1770</definedName>
    <definedName name="_Toc419285428" localSheetId="0">Prijzenblad!$A$1</definedName>
    <definedName name="_xlnm.Print_Area" localSheetId="0">Prijzenblad!$A$1:$I$60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3" l="1"/>
  <c r="G50" i="1"/>
  <c r="G35" i="1"/>
  <c r="G20" i="1"/>
  <c r="E49" i="1"/>
  <c r="G49" i="1" s="1"/>
  <c r="H49" i="1" s="1"/>
  <c r="E34" i="1"/>
  <c r="G34" i="1" s="1"/>
  <c r="H34" i="1" s="1"/>
  <c r="E19" i="1"/>
  <c r="G19" i="1" s="1"/>
  <c r="H19" i="1" s="1"/>
  <c r="O10" i="3"/>
  <c r="O8" i="3"/>
  <c r="O7" i="3"/>
  <c r="O6" i="3"/>
  <c r="O5" i="3"/>
  <c r="O4" i="3"/>
  <c r="O3" i="3"/>
  <c r="O2" i="3"/>
  <c r="L13" i="2"/>
  <c r="M13" i="2"/>
  <c r="L15" i="2"/>
  <c r="M15" i="2"/>
  <c r="S16" i="2"/>
  <c r="R16" i="2"/>
  <c r="Q16" i="2"/>
  <c r="P16" i="2"/>
  <c r="O16" i="2"/>
  <c r="N16" i="2"/>
  <c r="E16" i="2"/>
  <c r="S11" i="2"/>
  <c r="R11" i="2"/>
  <c r="Q11" i="2"/>
  <c r="P11" i="2"/>
  <c r="O11" i="2"/>
  <c r="N11" i="2"/>
  <c r="K11" i="2"/>
  <c r="J11" i="2"/>
  <c r="I11" i="2"/>
  <c r="H11" i="2"/>
  <c r="G11" i="2"/>
  <c r="F11" i="2"/>
  <c r="E11" i="2"/>
  <c r="D11" i="2"/>
  <c r="C11" i="2"/>
  <c r="K15" i="2"/>
  <c r="J15" i="2"/>
  <c r="H15" i="2"/>
  <c r="G15" i="2"/>
  <c r="F15" i="2"/>
  <c r="D15" i="2"/>
  <c r="D16" i="2" s="1"/>
  <c r="C15" i="2"/>
  <c r="C16" i="2" s="1"/>
  <c r="K13" i="2"/>
  <c r="J13" i="2"/>
  <c r="I13" i="2"/>
  <c r="G13" i="2"/>
  <c r="F13" i="2"/>
  <c r="F16" i="2" l="1"/>
  <c r="M16" i="2"/>
  <c r="L16" i="2"/>
  <c r="I16" i="2"/>
  <c r="N18" i="2"/>
  <c r="J16" i="2"/>
  <c r="J18" i="2" s="1"/>
  <c r="L18" i="2"/>
  <c r="E18" i="2"/>
  <c r="K16" i="2"/>
  <c r="M18" i="2"/>
  <c r="P18" i="2"/>
  <c r="O18" i="2"/>
  <c r="Q18" i="2"/>
  <c r="H16" i="2"/>
  <c r="H18" i="2" s="1"/>
  <c r="S18" i="2"/>
  <c r="R18" i="2"/>
  <c r="G16" i="2"/>
  <c r="G18" i="2" s="1"/>
  <c r="C18" i="2"/>
  <c r="D18" i="2"/>
  <c r="F18" i="2"/>
  <c r="I18" i="2"/>
  <c r="K18" i="2"/>
  <c r="E48" i="1"/>
  <c r="E47" i="1"/>
  <c r="E46" i="1"/>
  <c r="E45" i="1"/>
  <c r="E44" i="1"/>
  <c r="E43" i="1"/>
  <c r="E42" i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N22" i="2" l="1"/>
  <c r="R22" i="2" s="1"/>
  <c r="R23" i="2" s="1"/>
  <c r="H52" i="1" s="1"/>
  <c r="B42" i="1"/>
  <c r="B27" i="1"/>
  <c r="B12" i="1"/>
  <c r="H12" i="1" s="1"/>
  <c r="B43" i="1"/>
  <c r="B28" i="1"/>
  <c r="B13" i="1"/>
  <c r="H13" i="1" s="1"/>
  <c r="B44" i="1"/>
  <c r="B29" i="1"/>
  <c r="B14" i="1"/>
  <c r="H29" i="1" s="1"/>
  <c r="B45" i="1"/>
  <c r="B30" i="1"/>
  <c r="B15" i="1"/>
  <c r="H15" i="1" s="1"/>
  <c r="B46" i="1"/>
  <c r="B31" i="1"/>
  <c r="B16" i="1"/>
  <c r="H31" i="1" s="1"/>
  <c r="B47" i="1"/>
  <c r="B32" i="1"/>
  <c r="B17" i="1"/>
  <c r="H32" i="1" s="1"/>
  <c r="B48" i="1"/>
  <c r="B33" i="1"/>
  <c r="B18" i="1"/>
  <c r="H33" i="1" s="1"/>
  <c r="B50" i="1"/>
  <c r="H50" i="1" s="1"/>
  <c r="B35" i="1"/>
  <c r="H35" i="1" s="1"/>
  <c r="B20" i="1"/>
  <c r="H20" i="1" s="1"/>
  <c r="G44" i="1"/>
  <c r="G46" i="1"/>
  <c r="G48" i="1"/>
  <c r="G43" i="1"/>
  <c r="G42" i="1"/>
  <c r="G45" i="1"/>
  <c r="G47" i="1"/>
  <c r="E27" i="1"/>
  <c r="G27" i="1" s="1"/>
  <c r="H17" i="1" l="1"/>
  <c r="H47" i="1"/>
  <c r="H27" i="1"/>
  <c r="P22" i="2"/>
  <c r="P23" i="2" s="1"/>
  <c r="H37" i="1" s="1"/>
  <c r="N23" i="2"/>
  <c r="H22" i="1" s="1"/>
  <c r="H42" i="1"/>
  <c r="H14" i="1"/>
  <c r="H18" i="1"/>
  <c r="H30" i="1"/>
  <c r="H46" i="1"/>
  <c r="H44" i="1"/>
  <c r="H48" i="1"/>
  <c r="H43" i="1"/>
  <c r="H28" i="1"/>
  <c r="H45" i="1"/>
  <c r="H16" i="1"/>
  <c r="H36" i="1" l="1"/>
  <c r="I38" i="1" s="1"/>
  <c r="H21" i="1"/>
  <c r="I23" i="1" s="1"/>
  <c r="H51" i="1"/>
  <c r="I53" i="1" s="1"/>
</calcChain>
</file>

<file path=xl/sharedStrings.xml><?xml version="1.0" encoding="utf-8"?>
<sst xmlns="http://schemas.openxmlformats.org/spreadsheetml/2006/main" count="137" uniqueCount="84">
  <si>
    <t>Bijlage Prijzenblad V4_0</t>
  </si>
  <si>
    <t>Inschrijver vult de gele velden in en print en ondertekent het geheel.</t>
  </si>
  <si>
    <t xml:space="preserve">De prijzen in dit prijzenblad dienen ter beoordeling van gunningscriterium Prijs Verder wijst de aanbestedende dienst uitdrukkelijk op de anti-manipulatiebepalingen </t>
  </si>
  <si>
    <t>Bij het invullen van het prijzenblad en het bepalen van de te offreren prijzen, moet de inschrijver (combinatie) de volgende uitgangspunten in acht nemen:</t>
  </si>
  <si>
    <t>- Alle prijzen moeten worden afgerond tot twee cijfers achter de komma.</t>
  </si>
  <si>
    <t>- Alle prijzen moeten worden opgegeven in Euro’s.</t>
  </si>
  <si>
    <t>- Alle prijzen moeten worden opgegeven exclusief en inclusief assurantiebelasting.</t>
  </si>
  <si>
    <t>- Inschrijver dient voor alle prijzen aan te geven wat de bijbehorende assurantie-percentages zijn.</t>
  </si>
  <si>
    <t>- Alle prijzen zijn inclusief alle bijkomende kosten, zoals inclusief  (maar niet uitsluitend) eventuele provisie-inkomsten voor intermediair/makelaarsdiensten en inclusief schadebehandeling, polisopmaak (per deelnemer), contractbeheer en overige kosten. Dit betekent dat de Aanbestedende Dienst, behalve de door Inschrijver geoffreerde tarieven, niets aan Inschrijver verschuldigd is.</t>
  </si>
  <si>
    <t>Eigenrisico 1.000</t>
  </si>
  <si>
    <t>Onderdeel:</t>
  </si>
  <si>
    <t>Aantal</t>
  </si>
  <si>
    <t>Prijs WA per stuk excl. belasting in Euro</t>
  </si>
  <si>
    <t>Prijs CASCO per stuk excl. belasting in Euro</t>
  </si>
  <si>
    <t>Prijs totaal (WA+CASCO) stuk excl. belasting in Euro</t>
  </si>
  <si>
    <t>Assurantie belasting percentage</t>
  </si>
  <si>
    <t>Prijs per stuk incl. belasting in Euro</t>
  </si>
  <si>
    <t>Totaal</t>
  </si>
  <si>
    <t>Bromfiets (€500,-ER)</t>
  </si>
  <si>
    <t>Personenauto</t>
  </si>
  <si>
    <t>Oldtimer</t>
  </si>
  <si>
    <t>Motor</t>
  </si>
  <si>
    <t>Bestelauto</t>
  </si>
  <si>
    <t>Vrachtwagen</t>
  </si>
  <si>
    <t>Ambulance</t>
  </si>
  <si>
    <t>Quad</t>
  </si>
  <si>
    <t>SVI</t>
  </si>
  <si>
    <t>Totaal premie</t>
  </si>
  <si>
    <t>Totale eigenrisico (gem per jaar)</t>
  </si>
  <si>
    <t>Kosten per jaar</t>
  </si>
  <si>
    <t>Eigenrisico 2.500</t>
  </si>
  <si>
    <t>Prijs WA per stuk excl. Belasting in Euro</t>
  </si>
  <si>
    <t>Eigenrisico 5.000</t>
  </si>
  <si>
    <t>Statutaire naam inschrijver</t>
  </si>
  <si>
    <t>Naam ondertekenaar</t>
  </si>
  <si>
    <t>Functie ondertekenaar</t>
  </si>
  <si>
    <t>Handtekening</t>
  </si>
  <si>
    <t>Plaats en datum</t>
  </si>
  <si>
    <t>Nummer</t>
  </si>
  <si>
    <t>Rijlabels</t>
  </si>
  <si>
    <t>Som van
Reserve
WA *</t>
  </si>
  <si>
    <t>Som van
Reserve
Casco *</t>
  </si>
  <si>
    <t>Som van
Reserve
Kosten *</t>
  </si>
  <si>
    <t>Som van
Betaald
WA *</t>
  </si>
  <si>
    <t>Som van
Betaald
Casco *</t>
  </si>
  <si>
    <t>Som van
Betaald
Kosten *</t>
  </si>
  <si>
    <t>Som van
ERCasco *</t>
  </si>
  <si>
    <t>Som van
Er WA *</t>
  </si>
  <si>
    <t>Som van
Verhaald *</t>
  </si>
  <si>
    <t>Som van Totaal regio 10 t/m 13 eigen risico &lt; € 1.000 *</t>
  </si>
  <si>
    <t>Aantal dossiers *</t>
  </si>
  <si>
    <t>Som van
Totaal regio
1 t/m 9 eigen risico € 1.000 *</t>
  </si>
  <si>
    <t>eigen risico
€ 2.500 *</t>
  </si>
  <si>
    <t>eigen risico
€ 5.000 *</t>
  </si>
  <si>
    <t xml:space="preserve">Brabant-Noord                                            </t>
  </si>
  <si>
    <t xml:space="preserve">Drenthe                                                  </t>
  </si>
  <si>
    <t xml:space="preserve">Friesland                                                </t>
  </si>
  <si>
    <t xml:space="preserve">Groningen                                                </t>
  </si>
  <si>
    <t xml:space="preserve">IJsselland                                               </t>
  </si>
  <si>
    <t xml:space="preserve">Noord- en Oost-Gelderland                                </t>
  </si>
  <si>
    <t xml:space="preserve">Noord-Holland Noord                                      </t>
  </si>
  <si>
    <t xml:space="preserve">Twente                                                   </t>
  </si>
  <si>
    <t xml:space="preserve">Zaanstreek-Waterland                                     </t>
  </si>
  <si>
    <t>Subtotaal</t>
  </si>
  <si>
    <t>Brabant-Zuidoost</t>
  </si>
  <si>
    <t>Gelderland-Zuid</t>
  </si>
  <si>
    <t>Zuid-Limburg</t>
  </si>
  <si>
    <t>Eindtotaal</t>
  </si>
  <si>
    <t>totaal eigen risico
(5 jaren)</t>
  </si>
  <si>
    <t>totaal eigen risico (gem per jaar)</t>
  </si>
  <si>
    <r>
      <rPr>
        <b/>
        <sz val="11"/>
        <color rgb="FF000000"/>
        <rFont val="Calibri"/>
      </rPr>
      <t>*</t>
    </r>
    <r>
      <rPr>
        <sz val="11"/>
        <color rgb="FF000000"/>
        <rFont val="Calibri"/>
      </rPr>
      <t xml:space="preserve"> de schadecijfers zijn exclusief de aanvullende schadecijfers van december 2022 die in het aparte bestand "20230428 Schadeoverzicht MR 12 Veiligheidsregio's dec 2022" staan.</t>
    </r>
  </si>
  <si>
    <t>VR Fryslân</t>
  </si>
  <si>
    <t>VR Drenthe</t>
  </si>
  <si>
    <t>VR IJsselland</t>
  </si>
  <si>
    <t>VR Noord- en
Oost-Gelderland</t>
  </si>
  <si>
    <t>VR Noord-
Holland Noord</t>
  </si>
  <si>
    <t>VR Zaanstreek-
Waterland</t>
  </si>
  <si>
    <t>VR Brabant-
Noord</t>
  </si>
  <si>
    <t>VR Twente</t>
  </si>
  <si>
    <t>VR Groningen</t>
  </si>
  <si>
    <t>VR Brabant-
Zuidoost</t>
  </si>
  <si>
    <t>VR Zuid-Limburg</t>
  </si>
  <si>
    <t xml:space="preserve">VR Gelderland-
Zuid    </t>
  </si>
  <si>
    <t>Bromfiets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</si>
</sst>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_ &quot;€&quot;\ * #,##0_ ;_ &quot;€&quot;\ * \-#,##0_ ;_ &quot;€&quot;\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28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/>
    <xf numFmtId="0" fontId="0" fillId="0" borderId="1" xfId="0" applyBorder="1" applyAlignment="1">
      <alignment textRotation="45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6" fillId="8" borderId="1" xfId="0" applyFont="1" applyFill="1" applyBorder="1" applyAlignment="1">
      <alignment vertical="center" wrapText="1"/>
    </xf>
    <xf numFmtId="43" fontId="0" fillId="4" borderId="1" xfId="1" applyFont="1" applyFill="1" applyBorder="1" applyAlignment="1">
      <alignment vertical="center" wrapText="1"/>
    </xf>
    <xf numFmtId="43" fontId="0" fillId="0" borderId="1" xfId="0" applyNumberFormat="1" applyBorder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0" applyNumberFormat="1"/>
    <xf numFmtId="43" fontId="0" fillId="4" borderId="1" xfId="0" applyNumberFormat="1" applyFill="1" applyBorder="1"/>
    <xf numFmtId="0" fontId="0" fillId="0" borderId="0" xfId="0" applyAlignment="1">
      <alignment wrapText="1"/>
    </xf>
    <xf numFmtId="0" fontId="8" fillId="0" borderId="0" xfId="0" applyFont="1" applyAlignment="1">
      <alignment vertical="center"/>
    </xf>
    <xf numFmtId="0" fontId="0" fillId="10" borderId="1" xfId="0" applyFill="1" applyBorder="1"/>
    <xf numFmtId="43" fontId="0" fillId="10" borderId="1" xfId="1" applyFont="1" applyFill="1" applyBorder="1" applyAlignment="1">
      <alignment vertical="center" wrapText="1"/>
    </xf>
    <xf numFmtId="43" fontId="0" fillId="10" borderId="1" xfId="0" applyNumberFormat="1" applyFill="1" applyBorder="1"/>
    <xf numFmtId="0" fontId="7" fillId="10" borderId="1" xfId="0" applyFont="1" applyFill="1" applyBorder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42" fontId="2" fillId="0" borderId="1" xfId="0" applyNumberFormat="1" applyFont="1" applyBorder="1"/>
    <xf numFmtId="1" fontId="2" fillId="0" borderId="1" xfId="0" applyNumberFormat="1" applyFont="1" applyBorder="1"/>
    <xf numFmtId="42" fontId="2" fillId="0" borderId="0" xfId="0" applyNumberFormat="1" applyFont="1"/>
    <xf numFmtId="1" fontId="2" fillId="0" borderId="0" xfId="0" applyNumberFormat="1" applyFont="1"/>
    <xf numFmtId="0" fontId="3" fillId="0" borderId="1" xfId="0" applyFont="1" applyBorder="1"/>
    <xf numFmtId="1" fontId="2" fillId="0" borderId="6" xfId="0" applyNumberFormat="1" applyFont="1" applyBorder="1"/>
    <xf numFmtId="0" fontId="2" fillId="0" borderId="7" xfId="0" applyFont="1" applyBorder="1"/>
    <xf numFmtId="164" fontId="2" fillId="9" borderId="1" xfId="0" applyNumberFormat="1" applyFont="1" applyFill="1" applyBorder="1" applyAlignment="1">
      <alignment horizontal="left" vertical="center" wrapText="1"/>
    </xf>
    <xf numFmtId="164" fontId="2" fillId="9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wrapText="1"/>
    </xf>
    <xf numFmtId="0" fontId="3" fillId="11" borderId="1" xfId="0" applyFont="1" applyFill="1" applyBorder="1" applyAlignment="1">
      <alignment horizontal="left" vertical="top" wrapText="1"/>
    </xf>
    <xf numFmtId="0" fontId="2" fillId="11" borderId="1" xfId="0" applyFont="1" applyFill="1" applyBorder="1"/>
    <xf numFmtId="0" fontId="3" fillId="11" borderId="1" xfId="0" applyFont="1" applyFill="1" applyBorder="1"/>
    <xf numFmtId="42" fontId="3" fillId="11" borderId="1" xfId="0" applyNumberFormat="1" applyFont="1" applyFill="1" applyBorder="1"/>
    <xf numFmtId="1" fontId="3" fillId="11" borderId="1" xfId="0" applyNumberFormat="1" applyFont="1" applyFill="1" applyBorder="1"/>
    <xf numFmtId="42" fontId="0" fillId="0" borderId="0" xfId="0" applyNumberFormat="1"/>
    <xf numFmtId="164" fontId="0" fillId="0" borderId="0" xfId="0" applyNumberFormat="1"/>
    <xf numFmtId="0" fontId="3" fillId="12" borderId="1" xfId="0" applyFont="1" applyFill="1" applyBorder="1"/>
    <xf numFmtId="42" fontId="3" fillId="12" borderId="1" xfId="0" applyNumberFormat="1" applyFont="1" applyFill="1" applyBorder="1"/>
    <xf numFmtId="1" fontId="3" fillId="12" borderId="1" xfId="0" applyNumberFormat="1" applyFont="1" applyFill="1" applyBorder="1"/>
    <xf numFmtId="0" fontId="2" fillId="12" borderId="1" xfId="0" applyFont="1" applyFill="1" applyBorder="1"/>
    <xf numFmtId="42" fontId="2" fillId="12" borderId="1" xfId="0" applyNumberFormat="1" applyFont="1" applyFill="1" applyBorder="1"/>
    <xf numFmtId="1" fontId="2" fillId="12" borderId="1" xfId="0" applyNumberFormat="1" applyFont="1" applyFill="1" applyBorder="1"/>
    <xf numFmtId="0" fontId="0" fillId="0" borderId="1" xfId="0" applyBorder="1" applyAlignment="1">
      <alignment textRotation="45" wrapText="1"/>
    </xf>
    <xf numFmtId="0" fontId="0" fillId="13" borderId="1" xfId="0" applyFill="1" applyBorder="1"/>
    <xf numFmtId="0" fontId="0" fillId="0" borderId="0" xfId="0" applyAlignment="1">
      <alignment textRotation="45"/>
    </xf>
    <xf numFmtId="0" fontId="0" fillId="0" borderId="3" xfId="0" applyBorder="1" applyAlignment="1">
      <alignment textRotation="45" wrapText="1"/>
    </xf>
    <xf numFmtId="9" fontId="0" fillId="4" borderId="1" xfId="2" applyFont="1" applyFill="1" applyBorder="1" applyAlignment="1">
      <alignment vertical="center" wrapText="1"/>
    </xf>
    <xf numFmtId="0" fontId="2" fillId="13" borderId="8" xfId="0" applyFont="1" applyFill="1" applyBorder="1"/>
    <xf numFmtId="0" fontId="2" fillId="13" borderId="3" xfId="0" applyFont="1" applyFill="1" applyBorder="1"/>
    <xf numFmtId="0" fontId="2" fillId="14" borderId="1" xfId="0" applyFont="1" applyFill="1" applyBorder="1"/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0" fillId="0" borderId="5" xfId="0" quotePrefix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11" fillId="0" borderId="0" xfId="0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colors>
    <mruColors>
      <color rgb="FFC6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592455</xdr:colOff>
      <xdr:row>0</xdr:row>
      <xdr:rowOff>9525</xdr:rowOff>
    </xdr:from>
    <xdr:to>
      <xdr:col>7</xdr:col>
      <xdr:colOff>963930</xdr:colOff>
      <xdr:row>2</xdr:row>
      <xdr:rowOff>146050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5480" y="9525"/>
          <a:ext cx="2882265" cy="95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1"/>
  <sheetViews>
    <sheetView tabSelected="1" zoomScaleNormal="100" workbookViewId="0"/>
  </sheetViews>
  <sheetFormatPr defaultColWidth="8.7109375" defaultRowHeight="14.45"/>
  <cols>
    <col min="1" max="1" width="18.5703125" customWidth="1"/>
    <col min="2" max="2" width="7.42578125" customWidth="1"/>
    <col min="3" max="8" width="18.28515625" customWidth="1"/>
    <col min="9" max="9" width="14" customWidth="1"/>
    <col min="10" max="10" width="15.42578125" customWidth="1"/>
    <col min="11" max="11" width="11.42578125" customWidth="1"/>
    <col min="13" max="13" width="14.28515625" customWidth="1"/>
    <col min="14" max="16" width="15.42578125" customWidth="1"/>
    <col min="19" max="19" width="13.5703125" customWidth="1"/>
    <col min="20" max="20" width="15.42578125" customWidth="1"/>
    <col min="25" max="26" width="14" bestFit="1" customWidth="1"/>
    <col min="28" max="28" width="14" bestFit="1" customWidth="1"/>
  </cols>
  <sheetData>
    <row r="1" spans="1:28" ht="36.6" customHeight="1">
      <c r="A1" s="21" t="s">
        <v>0</v>
      </c>
      <c r="J1" s="74" t="s">
        <v>1</v>
      </c>
      <c r="K1" s="74"/>
      <c r="L1" s="74"/>
    </row>
    <row r="2" spans="1:28" s="5" customFormat="1" ht="30" customHeight="1">
      <c r="A2" s="75" t="s">
        <v>2</v>
      </c>
      <c r="B2" s="75"/>
      <c r="C2" s="75"/>
      <c r="D2" s="75"/>
      <c r="E2" s="75"/>
      <c r="F2" s="6"/>
      <c r="G2" s="6"/>
    </row>
    <row r="3" spans="1:28" s="5" customFormat="1"/>
    <row r="4" spans="1:28" s="5" customFormat="1" ht="29.25" customHeight="1">
      <c r="A4" s="75" t="s">
        <v>3</v>
      </c>
      <c r="B4" s="75"/>
      <c r="C4" s="75"/>
      <c r="D4" s="75"/>
      <c r="E4" s="75"/>
      <c r="F4" s="75"/>
      <c r="G4" s="6"/>
    </row>
    <row r="5" spans="1:28" s="5" customFormat="1">
      <c r="A5" s="76" t="s">
        <v>4</v>
      </c>
      <c r="B5" s="75"/>
      <c r="C5" s="75"/>
      <c r="D5" s="75"/>
      <c r="E5" s="75"/>
      <c r="F5" s="75"/>
      <c r="G5" s="75"/>
    </row>
    <row r="6" spans="1:28" s="5" customFormat="1">
      <c r="A6" s="76" t="s">
        <v>5</v>
      </c>
      <c r="B6" s="75"/>
      <c r="C6" s="75"/>
      <c r="D6" s="75"/>
      <c r="E6" s="75"/>
      <c r="F6" s="75"/>
      <c r="G6" s="75"/>
    </row>
    <row r="7" spans="1:28" s="5" customFormat="1">
      <c r="A7" s="76" t="s">
        <v>6</v>
      </c>
      <c r="B7" s="75"/>
      <c r="C7" s="75"/>
      <c r="D7" s="75"/>
      <c r="E7" s="75"/>
      <c r="F7" s="75"/>
      <c r="G7" s="75"/>
    </row>
    <row r="8" spans="1:28" s="5" customFormat="1">
      <c r="A8" s="76" t="s">
        <v>7</v>
      </c>
      <c r="B8" s="75"/>
      <c r="C8" s="75"/>
      <c r="D8" s="75"/>
      <c r="E8" s="75"/>
      <c r="F8" s="75"/>
      <c r="G8" s="75"/>
      <c r="L8"/>
      <c r="M8"/>
      <c r="N8"/>
      <c r="O8"/>
      <c r="P8"/>
      <c r="Q8"/>
      <c r="R8"/>
      <c r="S8"/>
      <c r="T8"/>
      <c r="U8"/>
      <c r="V8"/>
      <c r="W8"/>
    </row>
    <row r="9" spans="1:28" s="5" customFormat="1" ht="45.75" customHeight="1">
      <c r="A9" s="60" t="s">
        <v>8</v>
      </c>
      <c r="B9" s="61"/>
      <c r="C9" s="61"/>
      <c r="D9" s="61"/>
      <c r="E9" s="61"/>
      <c r="F9" s="61"/>
      <c r="G9" s="61"/>
      <c r="H9" s="61"/>
      <c r="L9"/>
      <c r="M9"/>
      <c r="N9"/>
      <c r="O9"/>
      <c r="P9"/>
      <c r="Q9"/>
      <c r="R9"/>
      <c r="S9"/>
      <c r="T9"/>
      <c r="U9"/>
      <c r="V9"/>
      <c r="W9"/>
    </row>
    <row r="10" spans="1:28">
      <c r="A10" s="62"/>
      <c r="B10" s="63"/>
      <c r="C10" s="64" t="s">
        <v>9</v>
      </c>
      <c r="D10" s="64"/>
      <c r="E10" s="64"/>
      <c r="F10" s="64"/>
      <c r="G10" s="64"/>
      <c r="H10" s="64"/>
      <c r="U10" s="5"/>
      <c r="V10" s="5"/>
      <c r="W10" s="5"/>
    </row>
    <row r="11" spans="1:28" ht="57.6">
      <c r="A11" s="7" t="s">
        <v>10</v>
      </c>
      <c r="B11" s="7" t="s">
        <v>11</v>
      </c>
      <c r="C11" s="22" t="s">
        <v>12</v>
      </c>
      <c r="D11" s="22" t="s">
        <v>13</v>
      </c>
      <c r="E11" s="22" t="s">
        <v>14</v>
      </c>
      <c r="F11" s="22" t="s">
        <v>15</v>
      </c>
      <c r="G11" s="22" t="s">
        <v>16</v>
      </c>
      <c r="H11" s="22" t="s">
        <v>17</v>
      </c>
      <c r="U11" s="5"/>
      <c r="V11" s="5"/>
      <c r="W11" s="5"/>
    </row>
    <row r="12" spans="1:28">
      <c r="A12" s="19" t="s">
        <v>18</v>
      </c>
      <c r="B12" s="16">
        <f>'Tabblad aantallen'!O2</f>
        <v>137</v>
      </c>
      <c r="C12" s="8">
        <v>100</v>
      </c>
      <c r="D12" s="8">
        <v>200</v>
      </c>
      <c r="E12" s="17">
        <f>C12+D12</f>
        <v>300</v>
      </c>
      <c r="F12" s="51">
        <v>0.21</v>
      </c>
      <c r="G12" s="17">
        <f>E12+(E12*F12)</f>
        <v>363</v>
      </c>
      <c r="H12" s="18">
        <f t="shared" ref="H12:H20" si="0">G12*B12</f>
        <v>49731</v>
      </c>
      <c r="U12" s="5"/>
      <c r="V12" s="5"/>
      <c r="W12" s="5"/>
      <c r="Z12" s="5"/>
      <c r="AA12" s="5"/>
      <c r="AB12" s="5"/>
    </row>
    <row r="13" spans="1:28">
      <c r="A13" s="19" t="s">
        <v>19</v>
      </c>
      <c r="B13" s="16">
        <f>'Tabblad aantallen'!O3</f>
        <v>909</v>
      </c>
      <c r="C13" s="8">
        <v>100</v>
      </c>
      <c r="D13" s="8">
        <v>300</v>
      </c>
      <c r="E13" s="17">
        <f t="shared" ref="E13:E18" si="1">C13+D13</f>
        <v>400</v>
      </c>
      <c r="F13" s="51">
        <v>0.21</v>
      </c>
      <c r="G13" s="17">
        <f t="shared" ref="G13:G18" si="2">E13+(E13*F13)</f>
        <v>484</v>
      </c>
      <c r="H13" s="18">
        <f t="shared" si="0"/>
        <v>439956</v>
      </c>
      <c r="U13" s="5"/>
      <c r="V13" s="5"/>
      <c r="W13" s="5"/>
      <c r="Z13" s="5"/>
      <c r="AA13" s="5"/>
      <c r="AB13" s="5"/>
    </row>
    <row r="14" spans="1:28">
      <c r="A14" s="19" t="s">
        <v>20</v>
      </c>
      <c r="B14" s="16">
        <f>'Tabblad aantallen'!O4</f>
        <v>8</v>
      </c>
      <c r="C14" s="8">
        <v>100</v>
      </c>
      <c r="D14" s="8">
        <v>200</v>
      </c>
      <c r="E14" s="17">
        <f t="shared" si="1"/>
        <v>300</v>
      </c>
      <c r="F14" s="51">
        <v>0.21</v>
      </c>
      <c r="G14" s="17">
        <f t="shared" si="2"/>
        <v>363</v>
      </c>
      <c r="H14" s="18">
        <f t="shared" si="0"/>
        <v>2904</v>
      </c>
      <c r="U14" s="5"/>
      <c r="V14" s="5"/>
      <c r="W14" s="5"/>
      <c r="Z14" s="5"/>
      <c r="AA14" s="5"/>
      <c r="AB14" s="5"/>
    </row>
    <row r="15" spans="1:28">
      <c r="A15" s="19" t="s">
        <v>21</v>
      </c>
      <c r="B15" s="16">
        <f>'Tabblad aantallen'!O5</f>
        <v>0</v>
      </c>
      <c r="C15" s="8">
        <v>100</v>
      </c>
      <c r="D15" s="8">
        <v>200</v>
      </c>
      <c r="E15" s="17">
        <f t="shared" si="1"/>
        <v>300</v>
      </c>
      <c r="F15" s="51">
        <v>0.21</v>
      </c>
      <c r="G15" s="17">
        <f t="shared" si="2"/>
        <v>363</v>
      </c>
      <c r="H15" s="18">
        <f t="shared" si="0"/>
        <v>0</v>
      </c>
      <c r="U15" s="5"/>
      <c r="V15" s="5"/>
      <c r="W15" s="5"/>
      <c r="Z15" s="5"/>
      <c r="AA15" s="5"/>
      <c r="AB15" s="5"/>
    </row>
    <row r="16" spans="1:28">
      <c r="A16" s="19" t="s">
        <v>22</v>
      </c>
      <c r="B16" s="16">
        <f>'Tabblad aantallen'!O6</f>
        <v>436</v>
      </c>
      <c r="C16" s="8">
        <v>200</v>
      </c>
      <c r="D16" s="8">
        <v>300</v>
      </c>
      <c r="E16" s="17">
        <f t="shared" si="1"/>
        <v>500</v>
      </c>
      <c r="F16" s="51">
        <v>0.21</v>
      </c>
      <c r="G16" s="17">
        <f t="shared" si="2"/>
        <v>605</v>
      </c>
      <c r="H16" s="18">
        <f t="shared" si="0"/>
        <v>263780</v>
      </c>
      <c r="U16" s="5"/>
      <c r="V16" s="5"/>
      <c r="W16" s="5"/>
      <c r="X16" s="5"/>
      <c r="Y16" s="5"/>
      <c r="Z16" s="5"/>
      <c r="AA16" s="5"/>
      <c r="AB16" s="5"/>
    </row>
    <row r="17" spans="1:28">
      <c r="A17" s="19" t="s">
        <v>23</v>
      </c>
      <c r="B17" s="16">
        <f>'Tabblad aantallen'!O7</f>
        <v>1153</v>
      </c>
      <c r="C17" s="8">
        <v>300</v>
      </c>
      <c r="D17" s="8">
        <v>500</v>
      </c>
      <c r="E17" s="17">
        <f t="shared" si="1"/>
        <v>800</v>
      </c>
      <c r="F17" s="51">
        <v>0.21</v>
      </c>
      <c r="G17" s="17">
        <f t="shared" si="2"/>
        <v>968</v>
      </c>
      <c r="H17" s="18">
        <f t="shared" si="0"/>
        <v>1116104</v>
      </c>
      <c r="U17" s="5"/>
      <c r="V17" s="5"/>
      <c r="W17" s="5"/>
      <c r="X17" s="5"/>
      <c r="Y17" s="5"/>
      <c r="Z17" s="5"/>
      <c r="AA17" s="5"/>
      <c r="AB17" s="5"/>
    </row>
    <row r="18" spans="1:28">
      <c r="A18" s="19" t="s">
        <v>24</v>
      </c>
      <c r="B18" s="16">
        <f>'Tabblad aantallen'!O8</f>
        <v>61</v>
      </c>
      <c r="C18" s="8">
        <v>500</v>
      </c>
      <c r="D18" s="8">
        <v>1250</v>
      </c>
      <c r="E18" s="17">
        <f t="shared" si="1"/>
        <v>1750</v>
      </c>
      <c r="F18" s="51">
        <v>0.21</v>
      </c>
      <c r="G18" s="17">
        <f t="shared" si="2"/>
        <v>2117.5</v>
      </c>
      <c r="H18" s="18">
        <f t="shared" si="0"/>
        <v>129167.5</v>
      </c>
      <c r="U18" s="5"/>
      <c r="V18" s="5"/>
      <c r="W18" s="5"/>
      <c r="X18" s="5"/>
      <c r="Y18" s="5"/>
      <c r="Z18" s="5"/>
      <c r="AA18" s="5"/>
      <c r="AB18" s="5"/>
    </row>
    <row r="19" spans="1:28">
      <c r="A19" s="19" t="s">
        <v>25</v>
      </c>
      <c r="B19" s="16">
        <v>1</v>
      </c>
      <c r="C19" s="8">
        <v>100</v>
      </c>
      <c r="D19" s="8">
        <v>300</v>
      </c>
      <c r="E19" s="17">
        <f t="shared" ref="E19" si="3">C19+D19</f>
        <v>400</v>
      </c>
      <c r="F19" s="51">
        <v>0.21</v>
      </c>
      <c r="G19" s="17">
        <f t="shared" ref="G19" si="4">E19+(E19*F19)</f>
        <v>484</v>
      </c>
      <c r="H19" s="18">
        <f t="shared" ref="H19" si="5">G19*B19</f>
        <v>484</v>
      </c>
      <c r="U19" s="5"/>
      <c r="V19" s="5"/>
      <c r="W19" s="5"/>
      <c r="X19" s="5"/>
      <c r="Y19" s="5"/>
      <c r="Z19" s="5"/>
      <c r="AA19" s="5"/>
      <c r="AB19" s="5"/>
    </row>
    <row r="20" spans="1:28">
      <c r="A20" s="20" t="s">
        <v>26</v>
      </c>
      <c r="B20" s="16">
        <f>'Tabblad aantallen'!O10</f>
        <v>501</v>
      </c>
      <c r="C20" s="8">
        <v>100</v>
      </c>
      <c r="D20" s="17">
        <v>0</v>
      </c>
      <c r="E20" s="17">
        <v>0</v>
      </c>
      <c r="F20" s="51">
        <v>0.21</v>
      </c>
      <c r="G20" s="17">
        <f>C20+(C20*F20)</f>
        <v>121</v>
      </c>
      <c r="H20" s="18">
        <f t="shared" si="0"/>
        <v>60621</v>
      </c>
      <c r="U20" s="5"/>
      <c r="V20" s="5"/>
      <c r="W20" s="5"/>
      <c r="X20" s="5"/>
      <c r="Y20" s="5"/>
      <c r="Z20" s="5"/>
      <c r="AA20" s="5"/>
      <c r="AB20" s="5"/>
    </row>
    <row r="21" spans="1:28">
      <c r="A21" s="57" t="s">
        <v>27</v>
      </c>
      <c r="B21" s="58"/>
      <c r="C21" s="58"/>
      <c r="D21" s="58"/>
      <c r="E21" s="58"/>
      <c r="F21" s="58"/>
      <c r="G21" s="59"/>
      <c r="H21" s="18">
        <f>SUM(H12:H20)</f>
        <v>2062747.5</v>
      </c>
    </row>
    <row r="22" spans="1:28">
      <c r="A22" s="57" t="s">
        <v>28</v>
      </c>
      <c r="B22" s="58"/>
      <c r="C22" s="58"/>
      <c r="D22" s="58"/>
      <c r="E22" s="58"/>
      <c r="F22" s="58"/>
      <c r="G22" s="59"/>
      <c r="H22" s="18">
        <f>'Tabblad fin. gegevens'!N23</f>
        <v>340023.83829999994</v>
      </c>
    </row>
    <row r="23" spans="1:28">
      <c r="A23" s="57" t="s">
        <v>29</v>
      </c>
      <c r="B23" s="58"/>
      <c r="C23" s="58"/>
      <c r="D23" s="58"/>
      <c r="E23" s="58"/>
      <c r="F23" s="58"/>
      <c r="G23" s="58"/>
      <c r="H23" s="59"/>
      <c r="I23" s="9">
        <f>SUM(H21:H22)</f>
        <v>2402771.3382999999</v>
      </c>
    </row>
    <row r="24" spans="1:28" ht="9.75" customHeight="1">
      <c r="A24" s="10"/>
      <c r="B24" s="10"/>
      <c r="C24" s="11"/>
      <c r="D24" s="11"/>
      <c r="E24" s="11"/>
      <c r="F24" s="11"/>
      <c r="G24" s="11"/>
      <c r="H24" s="12"/>
      <c r="I24" s="12"/>
      <c r="J24" s="12"/>
      <c r="K24" s="11"/>
      <c r="L24" s="11"/>
      <c r="M24" s="11"/>
      <c r="N24" s="12"/>
      <c r="O24" s="12"/>
      <c r="P24" s="12"/>
      <c r="Q24" s="11"/>
      <c r="R24" s="11"/>
      <c r="S24" s="11"/>
      <c r="T24" s="12"/>
    </row>
    <row r="25" spans="1:28">
      <c r="A25" s="62"/>
      <c r="B25" s="63"/>
      <c r="C25" s="68" t="s">
        <v>30</v>
      </c>
      <c r="D25" s="69"/>
      <c r="E25" s="69"/>
      <c r="F25" s="69"/>
      <c r="G25" s="69"/>
      <c r="H25" s="70"/>
      <c r="I25" s="12"/>
      <c r="J25" s="12"/>
      <c r="K25" s="11"/>
      <c r="L25" s="11"/>
      <c r="M25" s="11"/>
      <c r="N25" s="12"/>
      <c r="O25" s="12"/>
      <c r="P25" s="12"/>
      <c r="Q25" s="11"/>
      <c r="R25" s="11"/>
      <c r="S25" s="11"/>
      <c r="T25" s="12"/>
    </row>
    <row r="26" spans="1:28" ht="57.6">
      <c r="A26" s="7" t="s">
        <v>10</v>
      </c>
      <c r="B26" s="7" t="s">
        <v>11</v>
      </c>
      <c r="C26" s="22" t="s">
        <v>31</v>
      </c>
      <c r="D26" s="22" t="s">
        <v>13</v>
      </c>
      <c r="E26" s="22" t="s">
        <v>14</v>
      </c>
      <c r="F26" s="22" t="s">
        <v>15</v>
      </c>
      <c r="G26" s="22" t="s">
        <v>16</v>
      </c>
      <c r="H26" s="22" t="s">
        <v>17</v>
      </c>
      <c r="I26" s="12"/>
      <c r="J26" s="12"/>
      <c r="K26" s="11"/>
      <c r="L26" s="11"/>
      <c r="M26" s="11"/>
      <c r="N26" s="12"/>
      <c r="O26" s="12"/>
      <c r="P26" s="12"/>
      <c r="Q26" s="11"/>
      <c r="R26" s="11"/>
      <c r="S26" s="11"/>
      <c r="T26" s="12"/>
    </row>
    <row r="27" spans="1:28">
      <c r="A27" s="19" t="s">
        <v>18</v>
      </c>
      <c r="B27" s="16">
        <f>'Tabblad aantallen'!O2</f>
        <v>137</v>
      </c>
      <c r="C27" s="13">
        <v>75</v>
      </c>
      <c r="D27" s="13">
        <v>150</v>
      </c>
      <c r="E27" s="17">
        <f>C27+D27</f>
        <v>225</v>
      </c>
      <c r="F27" s="51">
        <v>0.21</v>
      </c>
      <c r="G27" s="17">
        <f>E27+(E27*F27)</f>
        <v>272.25</v>
      </c>
      <c r="H27" s="18">
        <f t="shared" ref="H27:H33" si="6">G27*B12</f>
        <v>37298.25</v>
      </c>
      <c r="I27" s="12"/>
      <c r="J27" s="12"/>
      <c r="K27" s="11"/>
      <c r="L27" s="11"/>
      <c r="M27" s="11"/>
      <c r="N27" s="12"/>
      <c r="O27" s="12"/>
      <c r="P27" s="12"/>
      <c r="Q27" s="11"/>
      <c r="R27" s="11"/>
      <c r="S27" s="11"/>
      <c r="T27" s="12"/>
    </row>
    <row r="28" spans="1:28">
      <c r="A28" s="19" t="s">
        <v>19</v>
      </c>
      <c r="B28" s="16">
        <f>'Tabblad aantallen'!O3</f>
        <v>909</v>
      </c>
      <c r="C28" s="13">
        <v>75</v>
      </c>
      <c r="D28" s="13">
        <v>225</v>
      </c>
      <c r="E28" s="17">
        <f t="shared" ref="E28:E34" si="7">C28+D28</f>
        <v>300</v>
      </c>
      <c r="F28" s="51">
        <v>0.21</v>
      </c>
      <c r="G28" s="17">
        <f t="shared" ref="G28:G34" si="8">E28+(E28*F28)</f>
        <v>363</v>
      </c>
      <c r="H28" s="18">
        <f t="shared" si="6"/>
        <v>329967</v>
      </c>
      <c r="I28" s="12"/>
      <c r="J28" s="12"/>
      <c r="K28" s="11"/>
      <c r="L28" s="11"/>
      <c r="M28" s="11"/>
      <c r="N28" s="12"/>
      <c r="O28" s="12"/>
      <c r="P28" s="12"/>
      <c r="Q28" s="11"/>
      <c r="R28" s="11"/>
      <c r="S28" s="11"/>
      <c r="T28" s="12"/>
    </row>
    <row r="29" spans="1:28">
      <c r="A29" s="19" t="s">
        <v>20</v>
      </c>
      <c r="B29" s="16">
        <f>'Tabblad aantallen'!O4</f>
        <v>8</v>
      </c>
      <c r="C29" s="13">
        <v>75</v>
      </c>
      <c r="D29" s="13">
        <v>150</v>
      </c>
      <c r="E29" s="17">
        <f t="shared" si="7"/>
        <v>225</v>
      </c>
      <c r="F29" s="51">
        <v>0.21</v>
      </c>
      <c r="G29" s="17">
        <f t="shared" si="8"/>
        <v>272.25</v>
      </c>
      <c r="H29" s="18">
        <f t="shared" si="6"/>
        <v>2178</v>
      </c>
      <c r="I29" s="12"/>
      <c r="J29" s="12"/>
      <c r="K29" s="11"/>
      <c r="L29" s="11"/>
      <c r="M29" s="11"/>
      <c r="N29" s="12"/>
      <c r="O29" s="12"/>
      <c r="P29" s="12"/>
      <c r="Q29" s="11"/>
      <c r="R29" s="11"/>
      <c r="S29" s="11"/>
      <c r="T29" s="12"/>
    </row>
    <row r="30" spans="1:28">
      <c r="A30" s="19" t="s">
        <v>21</v>
      </c>
      <c r="B30" s="16">
        <f>'Tabblad aantallen'!O5</f>
        <v>0</v>
      </c>
      <c r="C30" s="13">
        <v>75</v>
      </c>
      <c r="D30" s="13">
        <v>150</v>
      </c>
      <c r="E30" s="17">
        <f t="shared" si="7"/>
        <v>225</v>
      </c>
      <c r="F30" s="51">
        <v>0.21</v>
      </c>
      <c r="G30" s="17">
        <f t="shared" si="8"/>
        <v>272.25</v>
      </c>
      <c r="H30" s="18">
        <f t="shared" si="6"/>
        <v>0</v>
      </c>
      <c r="I30" s="12"/>
      <c r="J30" s="12"/>
      <c r="K30" s="11"/>
      <c r="L30" s="11"/>
      <c r="M30" s="11"/>
      <c r="N30" s="12"/>
      <c r="O30" s="12"/>
      <c r="P30" s="12"/>
      <c r="Q30" s="11"/>
      <c r="R30" s="11"/>
      <c r="S30" s="11"/>
      <c r="T30" s="12"/>
    </row>
    <row r="31" spans="1:28">
      <c r="A31" s="19" t="s">
        <v>22</v>
      </c>
      <c r="B31" s="16">
        <f>'Tabblad aantallen'!O6</f>
        <v>436</v>
      </c>
      <c r="C31" s="13">
        <v>150</v>
      </c>
      <c r="D31" s="13">
        <v>225</v>
      </c>
      <c r="E31" s="17">
        <f t="shared" si="7"/>
        <v>375</v>
      </c>
      <c r="F31" s="51">
        <v>0.21</v>
      </c>
      <c r="G31" s="17">
        <f t="shared" si="8"/>
        <v>453.75</v>
      </c>
      <c r="H31" s="18">
        <f t="shared" si="6"/>
        <v>197835</v>
      </c>
      <c r="I31" s="12"/>
      <c r="J31" s="12"/>
      <c r="K31" s="11"/>
      <c r="L31" s="11"/>
      <c r="M31" s="11"/>
      <c r="N31" s="12"/>
      <c r="O31" s="12"/>
      <c r="P31" s="12"/>
      <c r="Q31" s="11"/>
      <c r="R31" s="11"/>
      <c r="S31" s="11"/>
      <c r="T31" s="12"/>
    </row>
    <row r="32" spans="1:28">
      <c r="A32" s="19" t="s">
        <v>23</v>
      </c>
      <c r="B32" s="16">
        <f>'Tabblad aantallen'!O7</f>
        <v>1153</v>
      </c>
      <c r="C32" s="13">
        <v>225</v>
      </c>
      <c r="D32" s="13">
        <v>375</v>
      </c>
      <c r="E32" s="17">
        <f t="shared" si="7"/>
        <v>600</v>
      </c>
      <c r="F32" s="51">
        <v>0.21</v>
      </c>
      <c r="G32" s="17">
        <f t="shared" si="8"/>
        <v>726</v>
      </c>
      <c r="H32" s="18">
        <f t="shared" si="6"/>
        <v>837078</v>
      </c>
      <c r="I32" s="12"/>
      <c r="J32" s="12"/>
      <c r="K32" s="11"/>
      <c r="L32" s="11"/>
      <c r="M32" s="11"/>
      <c r="N32" s="12"/>
      <c r="O32" s="12"/>
      <c r="P32" s="12"/>
      <c r="Q32" s="11"/>
      <c r="R32" s="11"/>
      <c r="S32" s="11"/>
      <c r="T32" s="12"/>
    </row>
    <row r="33" spans="1:28">
      <c r="A33" s="19" t="s">
        <v>24</v>
      </c>
      <c r="B33" s="16">
        <f>'Tabblad aantallen'!O8</f>
        <v>61</v>
      </c>
      <c r="C33" s="13">
        <v>375</v>
      </c>
      <c r="D33" s="13">
        <v>937.5</v>
      </c>
      <c r="E33" s="17">
        <f t="shared" si="7"/>
        <v>1312.5</v>
      </c>
      <c r="F33" s="51">
        <v>0.21</v>
      </c>
      <c r="G33" s="17">
        <f t="shared" si="8"/>
        <v>1588.125</v>
      </c>
      <c r="H33" s="18">
        <f t="shared" si="6"/>
        <v>96875.625</v>
      </c>
      <c r="I33" s="12"/>
      <c r="J33" s="12"/>
      <c r="K33" s="11"/>
      <c r="L33" s="11"/>
      <c r="M33" s="11"/>
      <c r="N33" s="12"/>
      <c r="O33" s="12"/>
      <c r="P33" s="12"/>
      <c r="Q33" s="11"/>
      <c r="R33" s="11"/>
      <c r="S33" s="11"/>
      <c r="T33" s="12"/>
    </row>
    <row r="34" spans="1:28">
      <c r="A34" s="19" t="s">
        <v>25</v>
      </c>
      <c r="B34" s="16">
        <v>1</v>
      </c>
      <c r="C34" s="8">
        <v>100</v>
      </c>
      <c r="D34" s="8">
        <v>300</v>
      </c>
      <c r="E34" s="17">
        <f t="shared" si="7"/>
        <v>400</v>
      </c>
      <c r="F34" s="51">
        <v>0.21</v>
      </c>
      <c r="G34" s="17">
        <f t="shared" si="8"/>
        <v>484</v>
      </c>
      <c r="H34" s="18">
        <f t="shared" ref="H34:H35" si="9">G34*B34</f>
        <v>484</v>
      </c>
      <c r="U34" s="5"/>
      <c r="V34" s="5"/>
      <c r="W34" s="5"/>
      <c r="X34" s="5"/>
      <c r="Y34" s="5"/>
      <c r="Z34" s="5"/>
      <c r="AA34" s="5"/>
      <c r="AB34" s="5"/>
    </row>
    <row r="35" spans="1:28">
      <c r="A35" s="20" t="s">
        <v>26</v>
      </c>
      <c r="B35" s="16">
        <f>'Tabblad aantallen'!O10</f>
        <v>501</v>
      </c>
      <c r="C35" s="8">
        <v>100</v>
      </c>
      <c r="D35" s="17">
        <v>0</v>
      </c>
      <c r="E35" s="17">
        <v>0</v>
      </c>
      <c r="F35" s="51">
        <v>0.21</v>
      </c>
      <c r="G35" s="17">
        <f>C35+(C35*F35)</f>
        <v>121</v>
      </c>
      <c r="H35" s="18">
        <f t="shared" si="9"/>
        <v>60621</v>
      </c>
      <c r="I35" s="12"/>
      <c r="J35" s="12"/>
      <c r="K35" s="11"/>
      <c r="L35" s="11"/>
      <c r="M35" s="11"/>
      <c r="N35" s="12"/>
      <c r="O35" s="12"/>
      <c r="P35" s="12"/>
      <c r="Q35" s="11"/>
      <c r="R35" s="11"/>
      <c r="S35" s="11"/>
      <c r="T35" s="12"/>
    </row>
    <row r="36" spans="1:28">
      <c r="A36" s="57" t="s">
        <v>27</v>
      </c>
      <c r="B36" s="58"/>
      <c r="C36" s="58"/>
      <c r="D36" s="58"/>
      <c r="E36" s="58"/>
      <c r="F36" s="58"/>
      <c r="G36" s="59"/>
      <c r="H36" s="18">
        <f>SUM(H27:H35)</f>
        <v>1562336.875</v>
      </c>
      <c r="I36" s="12"/>
      <c r="J36" s="12"/>
      <c r="K36" s="11"/>
      <c r="L36" s="11"/>
      <c r="M36" s="11"/>
      <c r="N36" s="12"/>
      <c r="O36" s="12"/>
      <c r="P36" s="12"/>
      <c r="Q36" s="11"/>
      <c r="R36" s="11"/>
      <c r="S36" s="11"/>
      <c r="T36" s="12"/>
    </row>
    <row r="37" spans="1:28">
      <c r="A37" s="57" t="s">
        <v>28</v>
      </c>
      <c r="B37" s="58"/>
      <c r="C37" s="58"/>
      <c r="D37" s="58"/>
      <c r="E37" s="58"/>
      <c r="F37" s="58"/>
      <c r="G37" s="59"/>
      <c r="H37" s="18">
        <f>'Tabblad fin. gegevens'!P23</f>
        <v>688197.38630000001</v>
      </c>
      <c r="I37" s="12"/>
      <c r="J37" s="12"/>
      <c r="K37" s="11"/>
      <c r="L37" s="11"/>
      <c r="M37" s="11"/>
      <c r="N37" s="12"/>
      <c r="O37" s="12"/>
      <c r="P37" s="12"/>
      <c r="Q37" s="11"/>
      <c r="R37" s="11"/>
      <c r="S37" s="11"/>
      <c r="T37" s="12"/>
    </row>
    <row r="38" spans="1:28">
      <c r="A38" s="57" t="s">
        <v>29</v>
      </c>
      <c r="B38" s="58"/>
      <c r="C38" s="58"/>
      <c r="D38" s="58"/>
      <c r="E38" s="58"/>
      <c r="F38" s="58"/>
      <c r="G38" s="58"/>
      <c r="H38" s="59"/>
      <c r="I38" s="9">
        <f>SUM(H36:H37)</f>
        <v>2250534.2612999999</v>
      </c>
      <c r="J38" s="12"/>
      <c r="K38" s="11"/>
      <c r="L38" s="11"/>
      <c r="M38" s="11"/>
      <c r="N38" s="12"/>
      <c r="O38" s="12"/>
      <c r="P38" s="12"/>
      <c r="Q38" s="11"/>
      <c r="R38" s="11"/>
      <c r="S38" s="11"/>
      <c r="T38" s="12"/>
    </row>
    <row r="39" spans="1:28" ht="9.75" customHeight="1">
      <c r="A39" s="10"/>
      <c r="B39" s="10"/>
      <c r="C39" s="11"/>
      <c r="D39" s="11"/>
      <c r="E39" s="11"/>
      <c r="F39" s="11"/>
      <c r="G39" s="11"/>
      <c r="H39" s="12"/>
      <c r="I39" s="12"/>
      <c r="J39" s="12"/>
      <c r="K39" s="11"/>
      <c r="L39" s="11"/>
      <c r="M39" s="11"/>
      <c r="N39" s="12"/>
      <c r="O39" s="12"/>
      <c r="P39" s="12"/>
      <c r="Q39" s="11"/>
      <c r="R39" s="11"/>
      <c r="S39" s="11"/>
      <c r="T39" s="12"/>
    </row>
    <row r="40" spans="1:28">
      <c r="A40" s="62"/>
      <c r="B40" s="63"/>
      <c r="C40" s="65" t="s">
        <v>32</v>
      </c>
      <c r="D40" s="66"/>
      <c r="E40" s="66"/>
      <c r="F40" s="66"/>
      <c r="G40" s="66"/>
      <c r="H40" s="67"/>
      <c r="I40" s="12"/>
      <c r="J40" s="12"/>
      <c r="K40" s="11"/>
      <c r="L40" s="11"/>
      <c r="M40" s="11"/>
      <c r="N40" s="12"/>
      <c r="O40" s="12"/>
      <c r="P40" s="12"/>
      <c r="Q40" s="11"/>
      <c r="R40" s="11"/>
      <c r="S40" s="11"/>
      <c r="T40" s="12"/>
    </row>
    <row r="41" spans="1:28" ht="57.6">
      <c r="A41" s="7" t="s">
        <v>10</v>
      </c>
      <c r="B41" s="7" t="s">
        <v>11</v>
      </c>
      <c r="C41" s="22" t="s">
        <v>31</v>
      </c>
      <c r="D41" s="22" t="s">
        <v>13</v>
      </c>
      <c r="E41" s="22" t="s">
        <v>14</v>
      </c>
      <c r="F41" s="22" t="s">
        <v>15</v>
      </c>
      <c r="G41" s="22" t="s">
        <v>16</v>
      </c>
      <c r="H41" s="22" t="s">
        <v>17</v>
      </c>
      <c r="I41" s="12"/>
      <c r="J41" s="12"/>
      <c r="K41" s="11"/>
      <c r="L41" s="11"/>
      <c r="M41" s="11"/>
      <c r="N41" s="12"/>
      <c r="O41" s="12"/>
      <c r="P41" s="12"/>
      <c r="Q41" s="11"/>
      <c r="R41" s="11"/>
      <c r="S41" s="11"/>
      <c r="T41" s="12"/>
    </row>
    <row r="42" spans="1:28">
      <c r="A42" s="19" t="s">
        <v>18</v>
      </c>
      <c r="B42" s="19">
        <f>'Tabblad aantallen'!O2</f>
        <v>137</v>
      </c>
      <c r="C42" s="13">
        <v>50</v>
      </c>
      <c r="D42" s="13">
        <v>100</v>
      </c>
      <c r="E42" s="17">
        <f>C42+D42</f>
        <v>150</v>
      </c>
      <c r="F42" s="51">
        <v>0.21</v>
      </c>
      <c r="G42" s="17">
        <f t="shared" ref="G42:G49" si="10">E42+(E42*F42)</f>
        <v>181.5</v>
      </c>
      <c r="H42" s="18">
        <f t="shared" ref="H42:H48" si="11">G42*B12</f>
        <v>24865.5</v>
      </c>
      <c r="I42" s="12"/>
      <c r="J42" s="12"/>
      <c r="K42" s="11"/>
      <c r="L42" s="11"/>
      <c r="M42" s="11"/>
      <c r="N42" s="12"/>
      <c r="O42" s="12"/>
      <c r="P42" s="12"/>
      <c r="Q42" s="11"/>
      <c r="R42" s="11"/>
      <c r="S42" s="11"/>
      <c r="T42" s="12"/>
    </row>
    <row r="43" spans="1:28">
      <c r="A43" s="19" t="s">
        <v>19</v>
      </c>
      <c r="B43" s="19">
        <f>'Tabblad aantallen'!O3</f>
        <v>909</v>
      </c>
      <c r="C43" s="13">
        <v>50</v>
      </c>
      <c r="D43" s="13">
        <v>150</v>
      </c>
      <c r="E43" s="17">
        <f t="shared" ref="E43:E49" si="12">C43+D43</f>
        <v>200</v>
      </c>
      <c r="F43" s="51">
        <v>0.21</v>
      </c>
      <c r="G43" s="17">
        <f t="shared" si="10"/>
        <v>242</v>
      </c>
      <c r="H43" s="18">
        <f t="shared" si="11"/>
        <v>219978</v>
      </c>
      <c r="I43" s="12"/>
      <c r="J43" s="12"/>
      <c r="K43" s="11"/>
      <c r="L43" s="11"/>
      <c r="M43" s="11"/>
      <c r="N43" s="12"/>
      <c r="O43" s="12"/>
      <c r="P43" s="12"/>
      <c r="Q43" s="11"/>
      <c r="R43" s="11"/>
      <c r="S43" s="11"/>
      <c r="T43" s="12"/>
    </row>
    <row r="44" spans="1:28">
      <c r="A44" s="19" t="s">
        <v>20</v>
      </c>
      <c r="B44" s="19">
        <f>'Tabblad aantallen'!O4</f>
        <v>8</v>
      </c>
      <c r="C44" s="13">
        <v>50</v>
      </c>
      <c r="D44" s="13">
        <v>100</v>
      </c>
      <c r="E44" s="17">
        <f t="shared" si="12"/>
        <v>150</v>
      </c>
      <c r="F44" s="51">
        <v>0.21</v>
      </c>
      <c r="G44" s="17">
        <f t="shared" si="10"/>
        <v>181.5</v>
      </c>
      <c r="H44" s="18">
        <f t="shared" si="11"/>
        <v>1452</v>
      </c>
      <c r="I44" s="12"/>
      <c r="J44" s="12"/>
      <c r="K44" s="11"/>
      <c r="L44" s="11"/>
      <c r="M44" s="11"/>
      <c r="N44" s="12"/>
      <c r="O44" s="12"/>
      <c r="P44" s="12"/>
      <c r="Q44" s="11"/>
      <c r="R44" s="11"/>
      <c r="S44" s="11"/>
      <c r="T44" s="12"/>
    </row>
    <row r="45" spans="1:28">
      <c r="A45" s="19" t="s">
        <v>21</v>
      </c>
      <c r="B45" s="19">
        <f>'Tabblad aantallen'!O5</f>
        <v>0</v>
      </c>
      <c r="C45" s="13">
        <v>50</v>
      </c>
      <c r="D45" s="13">
        <v>100</v>
      </c>
      <c r="E45" s="17">
        <f t="shared" si="12"/>
        <v>150</v>
      </c>
      <c r="F45" s="51">
        <v>0.21</v>
      </c>
      <c r="G45" s="17">
        <f t="shared" si="10"/>
        <v>181.5</v>
      </c>
      <c r="H45" s="18">
        <f t="shared" si="11"/>
        <v>0</v>
      </c>
      <c r="I45" s="12"/>
      <c r="J45" s="12"/>
      <c r="K45" s="11"/>
      <c r="L45" s="11"/>
      <c r="M45" s="11"/>
      <c r="N45" s="12"/>
      <c r="O45" s="12"/>
      <c r="P45" s="12"/>
      <c r="Q45" s="11"/>
      <c r="R45" s="11"/>
      <c r="S45" s="11"/>
      <c r="T45" s="12"/>
    </row>
    <row r="46" spans="1:28">
      <c r="A46" s="19" t="s">
        <v>22</v>
      </c>
      <c r="B46" s="19">
        <f>'Tabblad aantallen'!O6</f>
        <v>436</v>
      </c>
      <c r="C46" s="13">
        <v>100</v>
      </c>
      <c r="D46" s="13">
        <v>150</v>
      </c>
      <c r="E46" s="17">
        <f t="shared" si="12"/>
        <v>250</v>
      </c>
      <c r="F46" s="51">
        <v>0.21</v>
      </c>
      <c r="G46" s="17">
        <f t="shared" si="10"/>
        <v>302.5</v>
      </c>
      <c r="H46" s="18">
        <f t="shared" si="11"/>
        <v>131890</v>
      </c>
      <c r="I46" s="12"/>
      <c r="J46" s="12"/>
      <c r="K46" s="11"/>
      <c r="L46" s="11"/>
      <c r="M46" s="11"/>
      <c r="N46" s="12"/>
      <c r="O46" s="12"/>
      <c r="P46" s="12"/>
      <c r="Q46" s="11"/>
      <c r="R46" s="11"/>
      <c r="S46" s="11"/>
      <c r="T46" s="12"/>
    </row>
    <row r="47" spans="1:28">
      <c r="A47" s="19" t="s">
        <v>23</v>
      </c>
      <c r="B47" s="19">
        <f>'Tabblad aantallen'!O7</f>
        <v>1153</v>
      </c>
      <c r="C47" s="13">
        <v>150</v>
      </c>
      <c r="D47" s="13">
        <v>250</v>
      </c>
      <c r="E47" s="17">
        <f t="shared" si="12"/>
        <v>400</v>
      </c>
      <c r="F47" s="51">
        <v>0.21</v>
      </c>
      <c r="G47" s="17">
        <f t="shared" si="10"/>
        <v>484</v>
      </c>
      <c r="H47" s="18">
        <f t="shared" si="11"/>
        <v>558052</v>
      </c>
      <c r="I47" s="12"/>
      <c r="J47" s="12"/>
      <c r="K47" s="11"/>
      <c r="L47" s="11"/>
      <c r="M47" s="11"/>
      <c r="N47" s="12"/>
      <c r="O47" s="12"/>
      <c r="P47" s="12"/>
      <c r="Q47" s="11"/>
      <c r="R47" s="11"/>
      <c r="S47" s="11"/>
      <c r="T47" s="12"/>
    </row>
    <row r="48" spans="1:28">
      <c r="A48" s="19" t="s">
        <v>24</v>
      </c>
      <c r="B48" s="19">
        <f>'Tabblad aantallen'!O8</f>
        <v>61</v>
      </c>
      <c r="C48" s="13">
        <v>250</v>
      </c>
      <c r="D48" s="13">
        <v>625</v>
      </c>
      <c r="E48" s="17">
        <f t="shared" si="12"/>
        <v>875</v>
      </c>
      <c r="F48" s="51">
        <v>0.21</v>
      </c>
      <c r="G48" s="17">
        <f t="shared" si="10"/>
        <v>1058.75</v>
      </c>
      <c r="H48" s="18">
        <f t="shared" si="11"/>
        <v>64583.75</v>
      </c>
      <c r="I48" s="12"/>
      <c r="J48" s="12"/>
      <c r="K48" s="11"/>
      <c r="L48" s="11"/>
      <c r="M48" s="11"/>
      <c r="N48" s="12"/>
      <c r="O48" s="12"/>
      <c r="P48" s="12"/>
      <c r="Q48" s="11"/>
      <c r="R48" s="11"/>
      <c r="S48" s="11"/>
      <c r="T48" s="12"/>
    </row>
    <row r="49" spans="1:28">
      <c r="A49" s="19" t="s">
        <v>25</v>
      </c>
      <c r="B49" s="16">
        <v>1</v>
      </c>
      <c r="C49" s="8">
        <v>100</v>
      </c>
      <c r="D49" s="8">
        <v>300</v>
      </c>
      <c r="E49" s="17">
        <f t="shared" si="12"/>
        <v>400</v>
      </c>
      <c r="F49" s="51">
        <v>0.21</v>
      </c>
      <c r="G49" s="17">
        <f t="shared" si="10"/>
        <v>484</v>
      </c>
      <c r="H49" s="18">
        <f t="shared" ref="H49:H50" si="13">G49*B49</f>
        <v>484</v>
      </c>
      <c r="U49" s="5"/>
      <c r="V49" s="5"/>
      <c r="W49" s="5"/>
      <c r="X49" s="5"/>
      <c r="Y49" s="5"/>
      <c r="Z49" s="5"/>
      <c r="AA49" s="5"/>
      <c r="AB49" s="5"/>
    </row>
    <row r="50" spans="1:28">
      <c r="A50" s="19" t="s">
        <v>26</v>
      </c>
      <c r="B50" s="19">
        <f>'Tabblad aantallen'!O10</f>
        <v>501</v>
      </c>
      <c r="C50" s="8">
        <v>100</v>
      </c>
      <c r="D50" s="17">
        <v>0</v>
      </c>
      <c r="E50" s="17">
        <v>0</v>
      </c>
      <c r="F50" s="51">
        <v>0.21</v>
      </c>
      <c r="G50" s="17">
        <f>C50+(C50*F50)</f>
        <v>121</v>
      </c>
      <c r="H50" s="18">
        <f t="shared" si="13"/>
        <v>60621</v>
      </c>
      <c r="I50" s="12"/>
      <c r="J50" s="12"/>
      <c r="K50" s="11"/>
      <c r="L50" s="11"/>
      <c r="M50" s="11"/>
      <c r="N50" s="12"/>
      <c r="O50" s="12"/>
      <c r="P50" s="12"/>
      <c r="Q50" s="11"/>
      <c r="R50" s="11"/>
      <c r="S50" s="11"/>
      <c r="T50" s="12"/>
    </row>
    <row r="51" spans="1:28">
      <c r="A51" s="57" t="s">
        <v>27</v>
      </c>
      <c r="B51" s="58"/>
      <c r="C51" s="58"/>
      <c r="D51" s="58"/>
      <c r="E51" s="58"/>
      <c r="F51" s="58"/>
      <c r="G51" s="59"/>
      <c r="H51" s="18">
        <f>SUM(H42:H50)</f>
        <v>1061926.25</v>
      </c>
      <c r="I51" s="12"/>
      <c r="J51" s="12"/>
      <c r="K51" s="11"/>
      <c r="L51" s="11"/>
      <c r="M51" s="11"/>
      <c r="N51" s="12"/>
      <c r="O51" s="12"/>
      <c r="P51" s="12"/>
      <c r="Q51" s="11"/>
      <c r="R51" s="11"/>
      <c r="S51" s="11"/>
      <c r="T51" s="12"/>
    </row>
    <row r="52" spans="1:28">
      <c r="A52" s="57" t="s">
        <v>28</v>
      </c>
      <c r="B52" s="58"/>
      <c r="C52" s="58"/>
      <c r="D52" s="58"/>
      <c r="E52" s="58"/>
      <c r="F52" s="58"/>
      <c r="G52" s="59"/>
      <c r="H52" s="18">
        <f>'Tabblad fin. gegevens'!R23</f>
        <v>910998.29629999993</v>
      </c>
      <c r="I52" s="12"/>
      <c r="J52" s="12"/>
      <c r="K52" s="11"/>
      <c r="L52" s="11"/>
      <c r="M52" s="11"/>
      <c r="N52" s="12"/>
      <c r="O52" s="12"/>
      <c r="P52" s="12"/>
      <c r="Q52" s="11"/>
      <c r="R52" s="11"/>
      <c r="S52" s="11"/>
      <c r="T52" s="12"/>
    </row>
    <row r="53" spans="1:28">
      <c r="A53" s="71" t="s">
        <v>29</v>
      </c>
      <c r="B53" s="71"/>
      <c r="C53" s="71"/>
      <c r="D53" s="71"/>
      <c r="E53" s="71"/>
      <c r="F53" s="71"/>
      <c r="G53" s="71"/>
      <c r="H53" s="71"/>
      <c r="I53" s="9">
        <f>SUM(H51:H52)</f>
        <v>1972924.5463</v>
      </c>
      <c r="J53" s="12"/>
      <c r="K53" s="11"/>
      <c r="L53" s="11"/>
      <c r="M53" s="11"/>
      <c r="N53" s="12"/>
      <c r="O53" s="12"/>
      <c r="P53" s="12"/>
      <c r="Q53" s="11"/>
      <c r="R53" s="11"/>
      <c r="S53" s="11"/>
      <c r="T53" s="12"/>
    </row>
    <row r="54" spans="1:28">
      <c r="A54" s="11"/>
      <c r="B54" s="11"/>
      <c r="C54" s="11"/>
      <c r="D54" s="11"/>
      <c r="E54" s="11"/>
      <c r="F54" s="11"/>
      <c r="G54" s="23"/>
      <c r="H54" s="23"/>
      <c r="I54" s="12"/>
      <c r="J54" s="12"/>
      <c r="K54" s="11"/>
      <c r="L54" s="11"/>
      <c r="M54" s="11"/>
      <c r="N54" s="12"/>
      <c r="O54" s="12"/>
      <c r="P54" s="12"/>
      <c r="Q54" s="11"/>
      <c r="R54" s="11"/>
      <c r="S54" s="11"/>
      <c r="T54" s="12"/>
    </row>
    <row r="55" spans="1:28" ht="9.75" customHeight="1">
      <c r="A55" s="10"/>
      <c r="B55" s="10"/>
      <c r="C55" s="11"/>
      <c r="D55" s="11"/>
      <c r="E55" s="11"/>
      <c r="F55" s="11"/>
      <c r="G55" s="11"/>
      <c r="H55" s="12"/>
      <c r="I55" s="12"/>
      <c r="J55" s="12"/>
      <c r="K55" s="11"/>
      <c r="L55" s="11"/>
      <c r="M55" s="11"/>
      <c r="N55" s="12"/>
      <c r="O55" s="12"/>
      <c r="P55" s="12"/>
      <c r="Q55" s="11"/>
      <c r="R55" s="11"/>
      <c r="S55" s="11"/>
      <c r="T55" s="12"/>
    </row>
    <row r="56" spans="1:28" ht="26.45" customHeight="1">
      <c r="A56" s="72" t="s">
        <v>33</v>
      </c>
      <c r="B56" s="72"/>
      <c r="C56" s="73"/>
      <c r="D56" s="73"/>
      <c r="E56" s="73"/>
    </row>
    <row r="57" spans="1:28" ht="26.45" customHeight="1">
      <c r="A57" s="72" t="s">
        <v>34</v>
      </c>
      <c r="B57" s="72"/>
      <c r="C57" s="73"/>
      <c r="D57" s="73"/>
      <c r="E57" s="73"/>
    </row>
    <row r="58" spans="1:28" ht="26.45" customHeight="1">
      <c r="A58" s="72" t="s">
        <v>35</v>
      </c>
      <c r="B58" s="72"/>
      <c r="C58" s="73"/>
      <c r="D58" s="73"/>
      <c r="E58" s="73"/>
      <c r="L58" s="14"/>
      <c r="M58" s="14"/>
    </row>
    <row r="59" spans="1:28" ht="45.6" customHeight="1">
      <c r="A59" s="72" t="s">
        <v>36</v>
      </c>
      <c r="B59" s="72"/>
      <c r="C59" s="73"/>
      <c r="D59" s="73"/>
      <c r="E59" s="73"/>
    </row>
    <row r="60" spans="1:28" ht="26.45" customHeight="1">
      <c r="A60" s="72" t="s">
        <v>37</v>
      </c>
      <c r="B60" s="72"/>
      <c r="C60" s="73"/>
      <c r="D60" s="73"/>
      <c r="E60" s="73"/>
    </row>
    <row r="61" spans="1:28">
      <c r="A61" s="15"/>
    </row>
  </sheetData>
  <sortState xmlns:xlrd2="http://schemas.microsoft.com/office/spreadsheetml/2017/richdata2" ref="L2:AB1770">
    <sortCondition ref="L2:L1770"/>
  </sortState>
  <mergeCells count="33">
    <mergeCell ref="J1:L1"/>
    <mergeCell ref="A2:E2"/>
    <mergeCell ref="A23:H23"/>
    <mergeCell ref="A36:G36"/>
    <mergeCell ref="A21:G21"/>
    <mergeCell ref="A22:G22"/>
    <mergeCell ref="A4:F4"/>
    <mergeCell ref="A8:G8"/>
    <mergeCell ref="A5:G5"/>
    <mergeCell ref="A6:G6"/>
    <mergeCell ref="A7:G7"/>
    <mergeCell ref="A53:H53"/>
    <mergeCell ref="A60:B60"/>
    <mergeCell ref="C56:E56"/>
    <mergeCell ref="C57:E57"/>
    <mergeCell ref="C58:E58"/>
    <mergeCell ref="C59:E59"/>
    <mergeCell ref="C60:E60"/>
    <mergeCell ref="A59:B59"/>
    <mergeCell ref="A56:B56"/>
    <mergeCell ref="A57:B57"/>
    <mergeCell ref="A58:B58"/>
    <mergeCell ref="A51:G51"/>
    <mergeCell ref="A52:G52"/>
    <mergeCell ref="A9:H9"/>
    <mergeCell ref="A40:B40"/>
    <mergeCell ref="A25:B25"/>
    <mergeCell ref="A10:B10"/>
    <mergeCell ref="C10:H10"/>
    <mergeCell ref="C40:H40"/>
    <mergeCell ref="C25:H25"/>
    <mergeCell ref="A37:G37"/>
    <mergeCell ref="A38:H38"/>
  </mergeCells>
  <conditionalFormatting sqref="I53:I54 I38 I2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5"/>
  <sheetViews>
    <sheetView showGridLines="0" workbookViewId="0">
      <pane ySplit="1" topLeftCell="A14" activePane="bottomLeft" state="frozen"/>
      <selection pane="bottomLeft" activeCell="A26" sqref="A26"/>
    </sheetView>
  </sheetViews>
  <sheetFormatPr defaultRowHeight="14.45"/>
  <cols>
    <col min="1" max="1" width="9" customWidth="1"/>
    <col min="2" max="2" width="25.5703125" customWidth="1"/>
    <col min="3" max="4" width="10.7109375" bestFit="1" customWidth="1"/>
    <col min="6" max="7" width="13.28515625" bestFit="1" customWidth="1"/>
    <col min="8" max="8" width="11.42578125" bestFit="1" customWidth="1"/>
    <col min="9" max="10" width="10.7109375" bestFit="1" customWidth="1"/>
    <col min="11" max="11" width="11.42578125" bestFit="1" customWidth="1"/>
    <col min="12" max="12" width="13.28515625" bestFit="1" customWidth="1"/>
    <col min="13" max="13" width="9.28515625" customWidth="1"/>
    <col min="14" max="14" width="14.28515625" customWidth="1"/>
    <col min="15" max="15" width="9.28515625" customWidth="1"/>
    <col min="16" max="16" width="13.28515625" bestFit="1" customWidth="1"/>
    <col min="17" max="17" width="11.140625" customWidth="1"/>
    <col min="18" max="18" width="13.28515625" bestFit="1" customWidth="1"/>
    <col min="19" max="19" width="9.5703125" customWidth="1"/>
    <col min="21" max="21" width="12.140625" bestFit="1" customWidth="1"/>
  </cols>
  <sheetData>
    <row r="1" spans="1:21" ht="76.5">
      <c r="A1" s="33" t="s">
        <v>38</v>
      </c>
      <c r="B1" s="33" t="s">
        <v>39</v>
      </c>
      <c r="C1" s="34" t="s">
        <v>40</v>
      </c>
      <c r="D1" s="34" t="s">
        <v>41</v>
      </c>
      <c r="E1" s="34" t="s">
        <v>42</v>
      </c>
      <c r="F1" s="34" t="s">
        <v>43</v>
      </c>
      <c r="G1" s="34" t="s">
        <v>44</v>
      </c>
      <c r="H1" s="34" t="s">
        <v>45</v>
      </c>
      <c r="I1" s="34" t="s">
        <v>46</v>
      </c>
      <c r="J1" s="34" t="s">
        <v>47</v>
      </c>
      <c r="K1" s="34" t="s">
        <v>48</v>
      </c>
      <c r="L1" s="34" t="s">
        <v>49</v>
      </c>
      <c r="M1" s="34" t="s">
        <v>50</v>
      </c>
      <c r="N1" s="34" t="s">
        <v>51</v>
      </c>
      <c r="O1" s="34" t="s">
        <v>50</v>
      </c>
      <c r="P1" s="34" t="s">
        <v>52</v>
      </c>
      <c r="Q1" s="34" t="s">
        <v>50</v>
      </c>
      <c r="R1" s="34" t="s">
        <v>53</v>
      </c>
      <c r="S1" s="34" t="s">
        <v>50</v>
      </c>
    </row>
    <row r="2" spans="1:21">
      <c r="A2" s="3">
        <v>1</v>
      </c>
      <c r="B2" s="3" t="s">
        <v>54</v>
      </c>
      <c r="C2" s="24">
        <v>3380.7799999999997</v>
      </c>
      <c r="D2" s="24">
        <v>2000</v>
      </c>
      <c r="E2" s="24">
        <v>0</v>
      </c>
      <c r="F2" s="24">
        <v>-134290.88</v>
      </c>
      <c r="G2" s="24">
        <v>-226651.15</v>
      </c>
      <c r="H2" s="24">
        <v>-10199.270000000004</v>
      </c>
      <c r="I2" s="24">
        <v>58250</v>
      </c>
      <c r="J2" s="24">
        <v>45620.71</v>
      </c>
      <c r="K2" s="24">
        <v>27489.669999999995</v>
      </c>
      <c r="L2" s="24"/>
      <c r="M2" s="24"/>
      <c r="N2" s="24">
        <v>-245161.69999999998</v>
      </c>
      <c r="O2" s="25">
        <v>158</v>
      </c>
      <c r="P2" s="24">
        <v>-131308</v>
      </c>
      <c r="Q2" s="3">
        <v>41</v>
      </c>
      <c r="R2" s="24">
        <v>-62833.14</v>
      </c>
      <c r="S2" s="3">
        <v>15</v>
      </c>
      <c r="T2" s="1"/>
    </row>
    <row r="3" spans="1:21">
      <c r="A3" s="3">
        <v>2</v>
      </c>
      <c r="B3" s="3" t="s">
        <v>55</v>
      </c>
      <c r="C3" s="24">
        <v>14425.56</v>
      </c>
      <c r="D3" s="24">
        <v>11969</v>
      </c>
      <c r="E3" s="24">
        <v>0</v>
      </c>
      <c r="F3" s="24">
        <v>-99576.75</v>
      </c>
      <c r="G3" s="24">
        <v>-188511.68</v>
      </c>
      <c r="H3" s="24">
        <v>-13715.810000000001</v>
      </c>
      <c r="I3" s="24">
        <v>45850</v>
      </c>
      <c r="J3" s="24">
        <v>31670.77</v>
      </c>
      <c r="K3" s="24">
        <v>7083.5</v>
      </c>
      <c r="L3" s="24"/>
      <c r="M3" s="24"/>
      <c r="N3" s="24">
        <v>-243594.53000000003</v>
      </c>
      <c r="O3" s="25">
        <v>127</v>
      </c>
      <c r="P3" s="24">
        <v>-138865</v>
      </c>
      <c r="Q3" s="3">
        <v>49</v>
      </c>
      <c r="R3" s="24">
        <v>-61975.54</v>
      </c>
      <c r="S3" s="3">
        <v>19</v>
      </c>
      <c r="T3" s="1"/>
    </row>
    <row r="4" spans="1:21">
      <c r="A4" s="3">
        <v>3</v>
      </c>
      <c r="B4" s="3" t="s">
        <v>56</v>
      </c>
      <c r="C4" s="24">
        <v>14720.61</v>
      </c>
      <c r="D4" s="24">
        <v>16228</v>
      </c>
      <c r="E4" s="24">
        <v>0</v>
      </c>
      <c r="F4" s="24">
        <v>-109824.72999999997</v>
      </c>
      <c r="G4" s="24">
        <v>-255725.71999999991</v>
      </c>
      <c r="H4" s="24">
        <v>-13769.120000000006</v>
      </c>
      <c r="I4" s="24">
        <v>67110.100000000006</v>
      </c>
      <c r="J4" s="24">
        <v>45833.29</v>
      </c>
      <c r="K4" s="24">
        <v>25553.84</v>
      </c>
      <c r="L4" s="24"/>
      <c r="M4" s="24"/>
      <c r="N4" s="24">
        <v>-271770.95</v>
      </c>
      <c r="O4" s="25">
        <v>201</v>
      </c>
      <c r="P4" s="24">
        <v>-122103</v>
      </c>
      <c r="Q4" s="3">
        <v>53</v>
      </c>
      <c r="R4" s="24">
        <v>-47056.98000000001</v>
      </c>
      <c r="S4" s="3">
        <v>15</v>
      </c>
      <c r="T4" s="1"/>
    </row>
    <row r="5" spans="1:21">
      <c r="A5" s="3">
        <v>4</v>
      </c>
      <c r="B5" s="3" t="s">
        <v>57</v>
      </c>
      <c r="C5" s="24">
        <v>18024.370000000003</v>
      </c>
      <c r="D5" s="24">
        <v>13000</v>
      </c>
      <c r="E5" s="24">
        <v>0</v>
      </c>
      <c r="F5" s="24">
        <v>-123231.93000000002</v>
      </c>
      <c r="G5" s="24">
        <v>-361181.31000000011</v>
      </c>
      <c r="H5" s="24">
        <v>-15193.539999999995</v>
      </c>
      <c r="I5" s="24">
        <v>45000</v>
      </c>
      <c r="J5" s="24">
        <v>44145.060000000005</v>
      </c>
      <c r="K5" s="24">
        <v>28560.240000000002</v>
      </c>
      <c r="L5" s="24"/>
      <c r="M5" s="24"/>
      <c r="N5" s="24">
        <v>-412925.84999999992</v>
      </c>
      <c r="O5" s="25">
        <v>167</v>
      </c>
      <c r="P5" s="24">
        <v>-310014</v>
      </c>
      <c r="Q5" s="3">
        <v>37</v>
      </c>
      <c r="R5" s="24">
        <v>-244748.68999999997</v>
      </c>
      <c r="S5" s="3">
        <v>19</v>
      </c>
      <c r="T5" s="2"/>
    </row>
    <row r="6" spans="1:21">
      <c r="A6" s="3">
        <v>5</v>
      </c>
      <c r="B6" s="3" t="s">
        <v>58</v>
      </c>
      <c r="C6" s="24">
        <v>8001</v>
      </c>
      <c r="D6" s="24">
        <v>7172</v>
      </c>
      <c r="E6" s="24">
        <v>0</v>
      </c>
      <c r="F6" s="24">
        <v>-128305.48</v>
      </c>
      <c r="G6" s="24">
        <v>-210164.00999999995</v>
      </c>
      <c r="H6" s="24">
        <v>-16919.82</v>
      </c>
      <c r="I6" s="24">
        <v>42000</v>
      </c>
      <c r="J6" s="24">
        <v>32896.9</v>
      </c>
      <c r="K6" s="24">
        <v>20127.650000000001</v>
      </c>
      <c r="L6" s="24"/>
      <c r="M6" s="24"/>
      <c r="N6" s="24">
        <v>-275537.75999999995</v>
      </c>
      <c r="O6" s="25">
        <v>133</v>
      </c>
      <c r="P6" s="24">
        <v>-170009</v>
      </c>
      <c r="Q6" s="3">
        <v>35</v>
      </c>
      <c r="R6" s="24">
        <v>-105721</v>
      </c>
      <c r="S6" s="3">
        <v>22</v>
      </c>
      <c r="T6" s="2"/>
    </row>
    <row r="7" spans="1:21">
      <c r="A7" s="3">
        <v>6</v>
      </c>
      <c r="B7" s="3" t="s">
        <v>59</v>
      </c>
      <c r="C7" s="24">
        <v>96300</v>
      </c>
      <c r="D7" s="24">
        <v>500</v>
      </c>
      <c r="E7" s="24">
        <v>0</v>
      </c>
      <c r="F7" s="24">
        <v>-271122.17000000004</v>
      </c>
      <c r="G7" s="24">
        <v>-435211.99999999977</v>
      </c>
      <c r="H7" s="24">
        <v>-25834.46</v>
      </c>
      <c r="I7" s="24">
        <v>85610.49</v>
      </c>
      <c r="J7" s="24">
        <v>69031.25</v>
      </c>
      <c r="K7" s="24">
        <v>27734.820000000003</v>
      </c>
      <c r="L7" s="24"/>
      <c r="M7" s="24"/>
      <c r="N7" s="24">
        <v>-646592.07000000041</v>
      </c>
      <c r="O7" s="25">
        <v>250</v>
      </c>
      <c r="P7" s="24">
        <v>-456602</v>
      </c>
      <c r="Q7" s="3">
        <v>75</v>
      </c>
      <c r="R7" s="24">
        <v>-328062.26</v>
      </c>
      <c r="S7" s="3">
        <v>35</v>
      </c>
      <c r="T7" s="2"/>
      <c r="U7" s="39"/>
    </row>
    <row r="8" spans="1:21">
      <c r="A8" s="3">
        <v>7</v>
      </c>
      <c r="B8" s="3" t="s">
        <v>60</v>
      </c>
      <c r="C8" s="24">
        <v>14926</v>
      </c>
      <c r="D8" s="24">
        <v>10370.59</v>
      </c>
      <c r="E8" s="24">
        <v>0</v>
      </c>
      <c r="F8" s="24">
        <v>-182711</v>
      </c>
      <c r="G8" s="24">
        <v>-744366.98999999941</v>
      </c>
      <c r="H8" s="24">
        <v>-26404.790000000005</v>
      </c>
      <c r="I8" s="24">
        <v>118173.31999999999</v>
      </c>
      <c r="J8" s="24">
        <v>65533.069999999992</v>
      </c>
      <c r="K8" s="24">
        <v>16076.48</v>
      </c>
      <c r="L8" s="24"/>
      <c r="M8" s="24"/>
      <c r="N8" s="24">
        <v>-778997</v>
      </c>
      <c r="O8" s="25">
        <v>335</v>
      </c>
      <c r="P8" s="24">
        <v>-553640</v>
      </c>
      <c r="Q8" s="3">
        <v>80</v>
      </c>
      <c r="R8" s="24">
        <v>-429704</v>
      </c>
      <c r="S8" s="3">
        <v>32</v>
      </c>
      <c r="T8" s="2"/>
      <c r="U8" s="39"/>
    </row>
    <row r="9" spans="1:21">
      <c r="A9" s="3">
        <v>8</v>
      </c>
      <c r="B9" s="3" t="s">
        <v>61</v>
      </c>
      <c r="C9" s="24">
        <v>8600</v>
      </c>
      <c r="D9" s="24">
        <v>15889.73</v>
      </c>
      <c r="E9" s="24">
        <v>0</v>
      </c>
      <c r="F9" s="24">
        <v>-146954.81999999998</v>
      </c>
      <c r="G9" s="24">
        <v>-371863.3000000001</v>
      </c>
      <c r="H9" s="24">
        <v>-15364.320000000005</v>
      </c>
      <c r="I9" s="24">
        <v>70976</v>
      </c>
      <c r="J9" s="24">
        <v>43598.430000000008</v>
      </c>
      <c r="K9" s="24">
        <v>37956.369999999995</v>
      </c>
      <c r="L9" s="24"/>
      <c r="M9" s="24"/>
      <c r="N9" s="24">
        <v>-406141.37</v>
      </c>
      <c r="O9" s="25">
        <v>219</v>
      </c>
      <c r="P9" s="24">
        <v>-249348</v>
      </c>
      <c r="Q9" s="3">
        <v>69</v>
      </c>
      <c r="R9" s="24">
        <v>-137332.58999999997</v>
      </c>
      <c r="S9" s="3">
        <v>29</v>
      </c>
      <c r="T9" s="2"/>
      <c r="U9" s="39"/>
    </row>
    <row r="10" spans="1:21">
      <c r="A10" s="3">
        <v>9</v>
      </c>
      <c r="B10" s="3" t="s">
        <v>62</v>
      </c>
      <c r="C10" s="24">
        <v>8404.51</v>
      </c>
      <c r="D10" s="24">
        <v>15063.76</v>
      </c>
      <c r="E10" s="24">
        <v>0</v>
      </c>
      <c r="F10" s="24">
        <v>-103256.48</v>
      </c>
      <c r="G10" s="24">
        <v>-192660.35</v>
      </c>
      <c r="H10" s="24">
        <v>-9521.7500000000018</v>
      </c>
      <c r="I10" s="24">
        <v>51150</v>
      </c>
      <c r="J10" s="24">
        <v>28967.449999999997</v>
      </c>
      <c r="K10" s="24">
        <v>16010.75</v>
      </c>
      <c r="L10" s="24"/>
      <c r="M10" s="24"/>
      <c r="N10" s="24">
        <v>-232778.65000000002</v>
      </c>
      <c r="O10" s="25">
        <v>133</v>
      </c>
      <c r="P10" s="24">
        <v>-139933</v>
      </c>
      <c r="Q10" s="3">
        <v>33</v>
      </c>
      <c r="R10" s="24">
        <v>-88108.77</v>
      </c>
      <c r="S10" s="3">
        <v>12</v>
      </c>
      <c r="T10" s="2"/>
    </row>
    <row r="11" spans="1:21">
      <c r="A11" s="41"/>
      <c r="B11" s="41" t="s">
        <v>63</v>
      </c>
      <c r="C11" s="42">
        <f>SUM(C2:C10)</f>
        <v>186782.83000000002</v>
      </c>
      <c r="D11" s="42">
        <f t="shared" ref="D11:K11" si="0">SUM(D2:D10)</f>
        <v>92193.079999999987</v>
      </c>
      <c r="E11" s="42">
        <f t="shared" si="0"/>
        <v>0</v>
      </c>
      <c r="F11" s="42">
        <f t="shared" si="0"/>
        <v>-1299274.24</v>
      </c>
      <c r="G11" s="42">
        <f t="shared" si="0"/>
        <v>-2986336.5099999993</v>
      </c>
      <c r="H11" s="42">
        <f t="shared" si="0"/>
        <v>-146922.88</v>
      </c>
      <c r="I11" s="42">
        <f t="shared" si="0"/>
        <v>584119.91</v>
      </c>
      <c r="J11" s="42">
        <f t="shared" si="0"/>
        <v>407296.93</v>
      </c>
      <c r="K11" s="42">
        <f t="shared" si="0"/>
        <v>206593.32</v>
      </c>
      <c r="L11" s="42"/>
      <c r="M11" s="42"/>
      <c r="N11" s="42">
        <f t="shared" ref="N11:S11" si="1">SUM(N2:N10)</f>
        <v>-3513499.8800000004</v>
      </c>
      <c r="O11" s="43">
        <f t="shared" si="1"/>
        <v>1723</v>
      </c>
      <c r="P11" s="42">
        <f t="shared" si="1"/>
        <v>-2271822</v>
      </c>
      <c r="Q11" s="41">
        <f t="shared" si="1"/>
        <v>472</v>
      </c>
      <c r="R11" s="42">
        <f t="shared" si="1"/>
        <v>-1505542.9699999997</v>
      </c>
      <c r="S11" s="41">
        <f t="shared" si="1"/>
        <v>198</v>
      </c>
      <c r="T11" s="2"/>
    </row>
    <row r="12" spans="1:21">
      <c r="A12" s="3"/>
      <c r="B12" s="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5"/>
      <c r="P12" s="24"/>
      <c r="Q12" s="3"/>
      <c r="R12" s="24"/>
      <c r="S12" s="3"/>
      <c r="T12" s="2"/>
    </row>
    <row r="13" spans="1:21">
      <c r="A13" s="54">
        <v>10</v>
      </c>
      <c r="B13" s="54" t="s">
        <v>64</v>
      </c>
      <c r="C13" s="24">
        <v>165812.15</v>
      </c>
      <c r="D13" s="24">
        <v>37039.11</v>
      </c>
      <c r="E13" s="24">
        <v>0</v>
      </c>
      <c r="F13" s="24">
        <f>-153741.76-44306</f>
        <v>-198047.76</v>
      </c>
      <c r="G13" s="24">
        <f>-587986.7-116366</f>
        <v>-704352.7</v>
      </c>
      <c r="H13" s="24">
        <v>-36375.520000000004</v>
      </c>
      <c r="I13" s="24">
        <f>71300+11000</f>
        <v>82300</v>
      </c>
      <c r="J13" s="24">
        <f>22366.35+8087</f>
        <v>30453.35</v>
      </c>
      <c r="K13" s="24">
        <f>94253.4+29277-11000-8087</f>
        <v>104443.4</v>
      </c>
      <c r="L13" s="24">
        <f>-793035.49-131395</f>
        <v>-924430.49</v>
      </c>
      <c r="M13" s="25">
        <f>293+57</f>
        <v>350</v>
      </c>
      <c r="N13" s="24">
        <v>-777746</v>
      </c>
      <c r="O13" s="25">
        <v>206</v>
      </c>
      <c r="P13" s="24">
        <v>-572492</v>
      </c>
      <c r="Q13" s="3">
        <v>88</v>
      </c>
      <c r="R13" s="24">
        <v>-418517</v>
      </c>
      <c r="S13" s="3">
        <v>44</v>
      </c>
      <c r="T13" s="2"/>
      <c r="U13" s="39"/>
    </row>
    <row r="14" spans="1:21">
      <c r="A14" s="54">
        <v>11</v>
      </c>
      <c r="B14" s="54" t="s">
        <v>65</v>
      </c>
      <c r="C14" s="24">
        <v>40795.550000000003</v>
      </c>
      <c r="D14" s="24">
        <v>22066</v>
      </c>
      <c r="E14" s="24">
        <v>0</v>
      </c>
      <c r="F14" s="24">
        <v>-196555.73999999996</v>
      </c>
      <c r="G14" s="24">
        <v>-539574.38000000024</v>
      </c>
      <c r="H14" s="24">
        <v>-14270.850000000006</v>
      </c>
      <c r="I14" s="24">
        <v>41000</v>
      </c>
      <c r="J14" s="24">
        <v>20671.689999999999</v>
      </c>
      <c r="K14" s="24">
        <v>25990.979999999996</v>
      </c>
      <c r="L14" s="24">
        <v>-725599.85</v>
      </c>
      <c r="M14" s="25">
        <v>430</v>
      </c>
      <c r="N14" s="24">
        <v>-476900.73000000021</v>
      </c>
      <c r="O14" s="25">
        <v>223</v>
      </c>
      <c r="P14" s="24">
        <v>-275186.42999999993</v>
      </c>
      <c r="Q14" s="3">
        <v>81</v>
      </c>
      <c r="R14" s="24">
        <v>-155703.99000000002</v>
      </c>
      <c r="S14" s="3">
        <v>26</v>
      </c>
      <c r="T14" s="2"/>
      <c r="U14" s="39"/>
    </row>
    <row r="15" spans="1:21">
      <c r="A15" s="54">
        <v>12</v>
      </c>
      <c r="B15" s="54" t="s">
        <v>66</v>
      </c>
      <c r="C15" s="24">
        <f>0+6603</f>
        <v>6603</v>
      </c>
      <c r="D15" s="24">
        <f>25300+62750</f>
        <v>88050</v>
      </c>
      <c r="E15" s="24">
        <v>0</v>
      </c>
      <c r="F15" s="24">
        <f>-75875.83-17324</f>
        <v>-93199.83</v>
      </c>
      <c r="G15" s="24">
        <f>-355474.73-19070</f>
        <v>-374544.73</v>
      </c>
      <c r="H15" s="24">
        <f>-9265.84-836</f>
        <v>-10101.84</v>
      </c>
      <c r="I15" s="24">
        <v>33507.261500000001</v>
      </c>
      <c r="J15" s="24">
        <f>14674.5+6500</f>
        <v>21174.5</v>
      </c>
      <c r="K15" s="24">
        <f>36613.23+0</f>
        <v>36613.230000000003</v>
      </c>
      <c r="L15" s="24">
        <f>-381121.41-98582</f>
        <v>-479703.41</v>
      </c>
      <c r="M15" s="25">
        <f>170+40</f>
        <v>210</v>
      </c>
      <c r="N15" s="24">
        <v>-395491.47</v>
      </c>
      <c r="O15" s="25">
        <v>19</v>
      </c>
      <c r="P15" s="24">
        <v>-303269.91000000009</v>
      </c>
      <c r="Q15" s="3">
        <v>42</v>
      </c>
      <c r="R15" s="24">
        <v>-229001.83000000002</v>
      </c>
      <c r="S15" s="3">
        <v>20</v>
      </c>
      <c r="T15" s="2"/>
      <c r="U15" s="39"/>
    </row>
    <row r="16" spans="1:21">
      <c r="A16" s="44"/>
      <c r="B16" s="41" t="s">
        <v>63</v>
      </c>
      <c r="C16" s="45">
        <f t="shared" ref="C16:S16" si="2">SUM(C13:C15)</f>
        <v>213210.7</v>
      </c>
      <c r="D16" s="45">
        <f t="shared" si="2"/>
        <v>147155.10999999999</v>
      </c>
      <c r="E16" s="45">
        <f t="shared" si="2"/>
        <v>0</v>
      </c>
      <c r="F16" s="45">
        <f t="shared" si="2"/>
        <v>-487803.33</v>
      </c>
      <c r="G16" s="45">
        <f t="shared" si="2"/>
        <v>-1618471.81</v>
      </c>
      <c r="H16" s="45">
        <f t="shared" si="2"/>
        <v>-60748.210000000006</v>
      </c>
      <c r="I16" s="45">
        <f t="shared" si="2"/>
        <v>156807.26149999999</v>
      </c>
      <c r="J16" s="45">
        <f t="shared" si="2"/>
        <v>72299.539999999994</v>
      </c>
      <c r="K16" s="45">
        <f t="shared" si="2"/>
        <v>167047.60999999999</v>
      </c>
      <c r="L16" s="45">
        <f t="shared" si="2"/>
        <v>-2129733.75</v>
      </c>
      <c r="M16" s="46">
        <f t="shared" si="2"/>
        <v>990</v>
      </c>
      <c r="N16" s="45">
        <f t="shared" si="2"/>
        <v>-1650138.2000000002</v>
      </c>
      <c r="O16" s="46">
        <f t="shared" si="2"/>
        <v>448</v>
      </c>
      <c r="P16" s="45">
        <f t="shared" si="2"/>
        <v>-1150948.3400000001</v>
      </c>
      <c r="Q16" s="44">
        <f t="shared" si="2"/>
        <v>211</v>
      </c>
      <c r="R16" s="45">
        <f t="shared" si="2"/>
        <v>-803222.82000000007</v>
      </c>
      <c r="S16" s="44">
        <f t="shared" si="2"/>
        <v>90</v>
      </c>
      <c r="T16" s="2"/>
      <c r="U16" s="39"/>
    </row>
    <row r="17" spans="1:22">
      <c r="A17" s="3"/>
      <c r="B17" s="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24"/>
      <c r="O17" s="25"/>
      <c r="P17" s="24"/>
      <c r="Q17" s="3"/>
      <c r="R17" s="24"/>
      <c r="S17" s="3"/>
      <c r="T17" s="2"/>
      <c r="U17" s="39"/>
    </row>
    <row r="18" spans="1:22">
      <c r="A18" s="35"/>
      <c r="B18" s="36" t="s">
        <v>67</v>
      </c>
      <c r="C18" s="37">
        <f t="shared" ref="C18:K18" si="3">SUM(C2:C16)/2</f>
        <v>399993.53</v>
      </c>
      <c r="D18" s="37">
        <f t="shared" si="3"/>
        <v>239348.18999999997</v>
      </c>
      <c r="E18" s="37">
        <f t="shared" si="3"/>
        <v>0</v>
      </c>
      <c r="F18" s="37">
        <f t="shared" si="3"/>
        <v>-1787077.57</v>
      </c>
      <c r="G18" s="37">
        <f t="shared" si="3"/>
        <v>-4604808.3199999994</v>
      </c>
      <c r="H18" s="37">
        <f t="shared" si="3"/>
        <v>-207671.09000000003</v>
      </c>
      <c r="I18" s="37">
        <f t="shared" si="3"/>
        <v>740927.17150000005</v>
      </c>
      <c r="J18" s="37">
        <f t="shared" si="3"/>
        <v>479596.47</v>
      </c>
      <c r="K18" s="37">
        <f t="shared" si="3"/>
        <v>373640.93</v>
      </c>
      <c r="L18" s="37">
        <f>SUM(L13:L15)</f>
        <v>-2129733.75</v>
      </c>
      <c r="M18" s="38">
        <f>SUM(M13:M15)</f>
        <v>990</v>
      </c>
      <c r="N18" s="37">
        <f t="shared" ref="N18:S18" si="4">SUM(N2:N16)/2</f>
        <v>-5163638.08</v>
      </c>
      <c r="O18" s="38">
        <f t="shared" si="4"/>
        <v>2171</v>
      </c>
      <c r="P18" s="37">
        <f t="shared" si="4"/>
        <v>-3422770.34</v>
      </c>
      <c r="Q18" s="36">
        <f t="shared" si="4"/>
        <v>683</v>
      </c>
      <c r="R18" s="37">
        <f t="shared" si="4"/>
        <v>-2308765.79</v>
      </c>
      <c r="S18" s="36">
        <f t="shared" si="4"/>
        <v>288</v>
      </c>
      <c r="T18" s="2"/>
      <c r="U18" s="39"/>
    </row>
    <row r="19" spans="1:22">
      <c r="A19" s="1"/>
      <c r="B19" s="1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9"/>
      <c r="P19" s="26"/>
      <c r="Q19" s="1"/>
      <c r="R19" s="1"/>
      <c r="S19" s="1"/>
      <c r="T19" s="2"/>
      <c r="U19" s="40"/>
    </row>
    <row r="20" spans="1:22" ht="15">
      <c r="B20" s="1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7"/>
      <c r="R20" s="26"/>
      <c r="S20" s="1"/>
      <c r="T20" s="1"/>
      <c r="U20" s="2"/>
      <c r="V20" s="2"/>
    </row>
    <row r="21" spans="1:22">
      <c r="N21" s="28">
        <v>1000</v>
      </c>
      <c r="O21" s="30"/>
      <c r="P21" s="28">
        <v>2500</v>
      </c>
      <c r="R21" s="28">
        <v>5000</v>
      </c>
      <c r="T21" s="2"/>
      <c r="U21" s="2"/>
    </row>
    <row r="22" spans="1:22" ht="43.9" customHeight="1">
      <c r="L22" s="78" t="s">
        <v>68</v>
      </c>
      <c r="M22" s="79"/>
      <c r="N22" s="31">
        <f>I18+J18-SUM(L13:L15)+SUM(N13:N15)</f>
        <v>1700119.1914999997</v>
      </c>
      <c r="P22" s="32">
        <f>'Tabblad fin. gegevens'!P18-'Tabblad fin. gegevens'!N18+N22</f>
        <v>3440986.9314999999</v>
      </c>
      <c r="R22" s="32">
        <f>'Tabblad fin. gegevens'!R18-'Tabblad fin. gegevens'!N18+N22</f>
        <v>4554991.4814999998</v>
      </c>
      <c r="T22" s="77"/>
      <c r="U22" s="77"/>
    </row>
    <row r="23" spans="1:22" ht="33" customHeight="1">
      <c r="L23" s="78" t="s">
        <v>69</v>
      </c>
      <c r="M23" s="79"/>
      <c r="N23" s="31">
        <f>N22/5</f>
        <v>340023.83829999994</v>
      </c>
      <c r="P23" s="32">
        <f>P22/5</f>
        <v>688197.38630000001</v>
      </c>
      <c r="R23" s="32">
        <f>R22/5</f>
        <v>910998.29629999993</v>
      </c>
      <c r="T23" s="1"/>
      <c r="U23" s="1"/>
    </row>
    <row r="24" spans="1:22" ht="14.45" customHeight="1">
      <c r="O24" s="2"/>
      <c r="P24" s="2"/>
      <c r="Q24" s="2"/>
      <c r="R24" s="2"/>
      <c r="S24" s="2"/>
      <c r="U24" s="77"/>
      <c r="V24" s="77"/>
    </row>
    <row r="25" spans="1:22" ht="15">
      <c r="A25" s="84" t="s">
        <v>70</v>
      </c>
      <c r="U25" s="77"/>
      <c r="V25" s="77"/>
    </row>
  </sheetData>
  <mergeCells count="4">
    <mergeCell ref="U24:V25"/>
    <mergeCell ref="T22:U22"/>
    <mergeCell ref="L22:M22"/>
    <mergeCell ref="L23:M23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2424-718D-4F5D-99A3-9F5E4FA3D38A}">
  <dimension ref="A1:Q10"/>
  <sheetViews>
    <sheetView workbookViewId="0">
      <selection activeCell="A11" sqref="A11"/>
    </sheetView>
  </sheetViews>
  <sheetFormatPr defaultRowHeight="14.45"/>
  <sheetData>
    <row r="1" spans="1:17" ht="81" customHeight="1">
      <c r="A1" s="82" t="s">
        <v>10</v>
      </c>
      <c r="B1" s="83"/>
      <c r="C1" s="4" t="s">
        <v>71</v>
      </c>
      <c r="D1" s="4" t="s">
        <v>72</v>
      </c>
      <c r="E1" s="4" t="s">
        <v>73</v>
      </c>
      <c r="F1" s="47" t="s">
        <v>74</v>
      </c>
      <c r="G1" s="47" t="s">
        <v>75</v>
      </c>
      <c r="H1" s="47" t="s">
        <v>76</v>
      </c>
      <c r="I1" s="47" t="s">
        <v>77</v>
      </c>
      <c r="J1" s="4" t="s">
        <v>78</v>
      </c>
      <c r="K1" s="4" t="s">
        <v>79</v>
      </c>
      <c r="L1" s="47" t="s">
        <v>80</v>
      </c>
      <c r="M1" s="4" t="s">
        <v>81</v>
      </c>
      <c r="N1" s="50" t="s">
        <v>82</v>
      </c>
      <c r="O1" s="4" t="s">
        <v>17</v>
      </c>
      <c r="P1" s="49"/>
      <c r="Q1" s="49"/>
    </row>
    <row r="2" spans="1:17">
      <c r="A2" s="80" t="s">
        <v>83</v>
      </c>
      <c r="B2" s="81"/>
      <c r="C2" s="48">
        <v>25</v>
      </c>
      <c r="D2" s="48">
        <v>1</v>
      </c>
      <c r="E2" s="48">
        <v>19</v>
      </c>
      <c r="F2" s="48">
        <v>1</v>
      </c>
      <c r="G2" s="48">
        <v>47</v>
      </c>
      <c r="H2" s="48">
        <v>35</v>
      </c>
      <c r="I2" s="48"/>
      <c r="J2" s="48">
        <v>5</v>
      </c>
      <c r="K2" s="48">
        <v>0</v>
      </c>
      <c r="L2" s="48">
        <v>2</v>
      </c>
      <c r="M2" s="48">
        <v>2</v>
      </c>
      <c r="N2" s="48">
        <v>0</v>
      </c>
      <c r="O2" s="52">
        <f t="shared" ref="O2:O10" si="0">SUM(C2:N2)</f>
        <v>137</v>
      </c>
    </row>
    <row r="3" spans="1:17">
      <c r="A3" s="80" t="s">
        <v>19</v>
      </c>
      <c r="B3" s="81"/>
      <c r="C3" s="48">
        <v>116</v>
      </c>
      <c r="D3" s="48">
        <v>62</v>
      </c>
      <c r="E3" s="48">
        <v>66</v>
      </c>
      <c r="F3" s="48">
        <v>103</v>
      </c>
      <c r="G3" s="48">
        <v>65</v>
      </c>
      <c r="H3" s="48">
        <v>43</v>
      </c>
      <c r="I3" s="48">
        <v>76</v>
      </c>
      <c r="J3" s="48">
        <v>117</v>
      </c>
      <c r="K3" s="48">
        <v>69</v>
      </c>
      <c r="L3" s="48">
        <v>94</v>
      </c>
      <c r="M3" s="48">
        <v>2</v>
      </c>
      <c r="N3" s="48">
        <v>96</v>
      </c>
      <c r="O3" s="53">
        <f t="shared" si="0"/>
        <v>909</v>
      </c>
    </row>
    <row r="4" spans="1:17">
      <c r="A4" s="80" t="s">
        <v>20</v>
      </c>
      <c r="B4" s="81"/>
      <c r="C4" s="48">
        <v>0</v>
      </c>
      <c r="D4" s="48">
        <v>0</v>
      </c>
      <c r="E4" s="48">
        <v>0</v>
      </c>
      <c r="F4" s="48">
        <v>0</v>
      </c>
      <c r="G4" s="48">
        <v>1</v>
      </c>
      <c r="H4" s="48">
        <v>0</v>
      </c>
      <c r="I4" s="48">
        <v>3</v>
      </c>
      <c r="J4" s="48">
        <v>4</v>
      </c>
      <c r="K4" s="48">
        <v>0</v>
      </c>
      <c r="L4" s="48">
        <v>0</v>
      </c>
      <c r="M4" s="48">
        <v>0</v>
      </c>
      <c r="N4" s="48">
        <v>0</v>
      </c>
      <c r="O4" s="53">
        <f t="shared" si="0"/>
        <v>8</v>
      </c>
    </row>
    <row r="5" spans="1:17">
      <c r="A5" s="80" t="s">
        <v>21</v>
      </c>
      <c r="B5" s="81"/>
      <c r="C5" s="48">
        <v>0</v>
      </c>
      <c r="D5" s="48">
        <v>0</v>
      </c>
      <c r="E5" s="48">
        <v>0</v>
      </c>
      <c r="F5" s="48">
        <v>0</v>
      </c>
      <c r="G5" s="48">
        <v>0</v>
      </c>
      <c r="H5" s="48">
        <v>0</v>
      </c>
      <c r="I5" s="48"/>
      <c r="J5" s="48">
        <v>0</v>
      </c>
      <c r="K5" s="48">
        <v>0</v>
      </c>
      <c r="L5" s="48">
        <v>0</v>
      </c>
      <c r="M5" s="48">
        <v>0</v>
      </c>
      <c r="N5" s="48">
        <v>0</v>
      </c>
      <c r="O5" s="53">
        <f t="shared" si="0"/>
        <v>0</v>
      </c>
    </row>
    <row r="6" spans="1:17">
      <c r="A6" s="80" t="s">
        <v>22</v>
      </c>
      <c r="B6" s="81"/>
      <c r="C6" s="48">
        <v>36</v>
      </c>
      <c r="D6" s="48">
        <v>32</v>
      </c>
      <c r="E6" s="48">
        <v>35</v>
      </c>
      <c r="F6" s="48">
        <v>34</v>
      </c>
      <c r="G6" s="48">
        <v>41</v>
      </c>
      <c r="H6" s="48">
        <v>23</v>
      </c>
      <c r="I6" s="48">
        <v>12</v>
      </c>
      <c r="J6" s="48">
        <v>24</v>
      </c>
      <c r="K6" s="48">
        <v>43</v>
      </c>
      <c r="L6" s="48">
        <v>24</v>
      </c>
      <c r="M6" s="48">
        <v>69</v>
      </c>
      <c r="N6" s="48">
        <v>63</v>
      </c>
      <c r="O6" s="53">
        <f t="shared" si="0"/>
        <v>436</v>
      </c>
    </row>
    <row r="7" spans="1:17">
      <c r="A7" s="80" t="s">
        <v>23</v>
      </c>
      <c r="B7" s="81"/>
      <c r="C7" s="48">
        <v>129</v>
      </c>
      <c r="D7" s="48">
        <v>109</v>
      </c>
      <c r="E7" s="48">
        <v>103</v>
      </c>
      <c r="F7" s="48">
        <v>161</v>
      </c>
      <c r="G7" s="48">
        <v>108</v>
      </c>
      <c r="H7" s="48">
        <v>51</v>
      </c>
      <c r="I7" s="48">
        <v>94</v>
      </c>
      <c r="J7" s="48">
        <v>86</v>
      </c>
      <c r="K7" s="48">
        <v>87</v>
      </c>
      <c r="L7" s="48">
        <v>82</v>
      </c>
      <c r="M7" s="48">
        <v>66</v>
      </c>
      <c r="N7" s="48">
        <v>77</v>
      </c>
      <c r="O7" s="53">
        <f t="shared" si="0"/>
        <v>1153</v>
      </c>
    </row>
    <row r="8" spans="1:17">
      <c r="A8" s="80" t="s">
        <v>24</v>
      </c>
      <c r="B8" s="81"/>
      <c r="C8" s="48">
        <v>0</v>
      </c>
      <c r="D8" s="48">
        <v>0</v>
      </c>
      <c r="E8" s="48">
        <v>0</v>
      </c>
      <c r="F8" s="48">
        <v>0</v>
      </c>
      <c r="G8" s="48">
        <v>23</v>
      </c>
      <c r="H8" s="48">
        <v>0</v>
      </c>
      <c r="I8" s="48"/>
      <c r="J8" s="48">
        <v>0</v>
      </c>
      <c r="K8" s="48">
        <v>0</v>
      </c>
      <c r="L8" s="48">
        <v>0</v>
      </c>
      <c r="M8" s="48">
        <v>0</v>
      </c>
      <c r="N8" s="48">
        <v>38</v>
      </c>
      <c r="O8" s="53">
        <f t="shared" si="0"/>
        <v>61</v>
      </c>
    </row>
    <row r="9" spans="1:17">
      <c r="A9" s="55" t="s">
        <v>25</v>
      </c>
      <c r="B9" s="56"/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1</v>
      </c>
      <c r="K9" s="48">
        <v>0</v>
      </c>
      <c r="L9" s="48">
        <v>0</v>
      </c>
      <c r="M9" s="48">
        <v>0</v>
      </c>
      <c r="N9" s="48">
        <v>0</v>
      </c>
      <c r="O9" s="53">
        <f t="shared" si="0"/>
        <v>1</v>
      </c>
    </row>
    <row r="10" spans="1:17">
      <c r="A10" s="80" t="s">
        <v>26</v>
      </c>
      <c r="B10" s="81"/>
      <c r="C10" s="48">
        <v>78</v>
      </c>
      <c r="D10" s="48">
        <v>0</v>
      </c>
      <c r="E10" s="48">
        <v>0</v>
      </c>
      <c r="F10" s="48">
        <v>1</v>
      </c>
      <c r="G10" s="48">
        <v>237</v>
      </c>
      <c r="H10" s="48">
        <v>0</v>
      </c>
      <c r="I10" s="48">
        <v>185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53">
        <f t="shared" si="0"/>
        <v>501</v>
      </c>
    </row>
  </sheetData>
  <mergeCells count="9">
    <mergeCell ref="A8:B8"/>
    <mergeCell ref="A1:B1"/>
    <mergeCell ref="A2:B2"/>
    <mergeCell ref="A3:B3"/>
    <mergeCell ref="A10:B10"/>
    <mergeCell ref="A4:B4"/>
    <mergeCell ref="A5:B5"/>
    <mergeCell ref="A6:B6"/>
    <mergeCell ref="A7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33CB9FF4173A4395765C3DC20C4D03" ma:contentTypeVersion="15" ma:contentTypeDescription="Een nieuw document maken." ma:contentTypeScope="" ma:versionID="fda8fcad325d165e67b5af9b20327d46">
  <xsd:schema xmlns:xsd="http://www.w3.org/2001/XMLSchema" xmlns:xs="http://www.w3.org/2001/XMLSchema" xmlns:p="http://schemas.microsoft.com/office/2006/metadata/properties" xmlns:ns2="44b8b594-c753-45f6-a0c3-da2fc9e0374e" xmlns:ns3="ab76947c-e575-49dd-bcb5-ac91971cc960" targetNamespace="http://schemas.microsoft.com/office/2006/metadata/properties" ma:root="true" ma:fieldsID="4a2ae0ac61d60f2709bd31be0aa26812" ns2:_="" ns3:_="">
    <xsd:import namespace="44b8b594-c753-45f6-a0c3-da2fc9e0374e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8b594-c753-45f6-a0c3-da2fc9e03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d2d7b13-bbe9-4bb9-9f4e-59ada7b0d1f6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/>
        <AccountId xsi:nil="true"/>
        <AccountType/>
      </UserInfo>
    </SharedWithUsers>
    <lcf76f155ced4ddcb4097134ff3c332f xmlns="44b8b594-c753-45f6-a0c3-da2fc9e0374e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Props1.xml><?xml version="1.0" encoding="utf-8"?>
<ds:datastoreItem xmlns:ds="http://schemas.openxmlformats.org/officeDocument/2006/customXml" ds:itemID="{C5EC5B8B-A378-4CC3-9512-09CE271293C7}"/>
</file>

<file path=customXml/itemProps2.xml><?xml version="1.0" encoding="utf-8"?>
<ds:datastoreItem xmlns:ds="http://schemas.openxmlformats.org/officeDocument/2006/customXml" ds:itemID="{6D3877A1-5FF6-438F-9687-C702C9DEE5DA}"/>
</file>

<file path=customXml/itemProps3.xml><?xml version="1.0" encoding="utf-8"?>
<ds:datastoreItem xmlns:ds="http://schemas.openxmlformats.org/officeDocument/2006/customXml" ds:itemID="{80BDF922-4109-4DEA-95C2-DF4522385D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Veenhuizen</dc:creator>
  <cp:keywords/>
  <dc:description/>
  <cp:lastModifiedBy>Ron Slippens</cp:lastModifiedBy>
  <cp:revision/>
  <dcterms:created xsi:type="dcterms:W3CDTF">2017-02-22T10:40:26Z</dcterms:created>
  <dcterms:modified xsi:type="dcterms:W3CDTF">2023-05-12T10:21:50Z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0x010100FC39495C2C268147B83E38ADF2564EFB</vt:lpwstr>
  </property>
  <property fmtid="{D5CDD505-2E9C-101B-9397-08002B2CF9AE}" pid="3" name="Order">
    <vt:r8>560800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  <property fmtid="{D5CDD505-2E9C-101B-9397-08002B2CF9AE}" pid="8" name="MediaServiceImageTags">
    <vt:lpwstr/>
  </property>
</Properties>
</file>