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Heusden\Aanbesteding Schoonmaak 2023\Uitlever\"/>
    </mc:Choice>
  </mc:AlternateContent>
  <xr:revisionPtr revIDLastSave="0" documentId="13_ncr:1_{3BC7F898-40B1-42CC-8F05-10A620E14372}" xr6:coauthVersionLast="47" xr6:coauthVersionMax="47" xr10:uidLastSave="{00000000-0000-0000-0000-000000000000}"/>
  <bookViews>
    <workbookView xWindow="57480" yWindow="-120" windowWidth="29040" windowHeight="15720" firstSheet="7" activeTab="13" xr2:uid="{F01226F5-A03F-42C0-900E-35D0C175548E}"/>
  </bookViews>
  <sheets>
    <sheet name="Omreken" sheetId="1" r:id="rId1"/>
    <sheet name="Categorienormen" sheetId="2" r:id="rId2"/>
    <sheet name="Regulier werk" sheetId="3" r:id="rId3"/>
    <sheet name="Kostenplaatsinfo" sheetId="4" r:id="rId4"/>
    <sheet name="Kostenplaatsen" sheetId="5" r:id="rId5"/>
    <sheet name="LeidingPerKp" sheetId="6" r:id="rId6"/>
    <sheet name="Totaalblad Kostenplaatsen" sheetId="7" r:id="rId7"/>
    <sheet name="Additioneel werk" sheetId="8" r:id="rId8"/>
    <sheet name="Additioneel werk per kp-loc" sheetId="9" r:id="rId9"/>
    <sheet name="Afroep" sheetId="10" r:id="rId10"/>
    <sheet name="Afroep incidenteel" sheetId="11" r:id="rId11"/>
    <sheet name="Glas" sheetId="12" r:id="rId12"/>
    <sheet name="Glas per kostenplaats-locatie" sheetId="13" r:id="rId13"/>
    <sheet name="Totaal" sheetId="14" r:id="rId14"/>
  </sheets>
  <definedNames>
    <definedName name="_xlnm.Print_Titles" localSheetId="7">'Additioneel werk'!$1:$3</definedName>
    <definedName name="_xlnm.Print_Titles" localSheetId="8">'Additioneel werk per kp-loc'!$1:$3</definedName>
    <definedName name="_xlnm.Print_Titles" localSheetId="9">Afroep!$1:$3</definedName>
    <definedName name="_xlnm.Print_Titles" localSheetId="10">'Afroep incidenteel'!$1:$3</definedName>
    <definedName name="_xlnm.Print_Titles" localSheetId="1">Categorienormen!$1:$3</definedName>
    <definedName name="_xlnm.Print_Titles" localSheetId="11">Glas!$1:$3</definedName>
    <definedName name="_xlnm.Print_Titles" localSheetId="12">'Glas per kostenplaats-locatie'!$1:$3</definedName>
    <definedName name="_xlnm.Print_Titles" localSheetId="4">Kostenplaatsen!$1:$3</definedName>
    <definedName name="_xlnm.Print_Titles" localSheetId="3">Kostenplaatsinfo!$A:$D,Kostenplaatsinfo!$1:$4</definedName>
    <definedName name="_xlnm.Print_Titles" localSheetId="5">LeidingPerKp!$1:$3</definedName>
    <definedName name="_xlnm.Print_Titles" localSheetId="2">'Regulier werk'!$1:$3</definedName>
    <definedName name="_xlnm.Print_Titles" localSheetId="13">Totaal!$1:$3</definedName>
    <definedName name="_xlnm.Print_Titles" localSheetId="6">'Totaalblad Kostenplaatsen'!$1:$3</definedName>
    <definedName name="catdw_1_AHV_51">Categorienormen!$F$36</definedName>
    <definedName name="catdw_1_AZV_51">Categorienormen!$F$37</definedName>
    <definedName name="catdw_1_BHB_1">Categorienormen!$F$6</definedName>
    <definedName name="catdw_1_BHV_1">Categorienormen!$F$7</definedName>
    <definedName name="catdw_1_BHV_26">Categorienormen!$F$8</definedName>
    <definedName name="catdw_1_BHV_49">Categorienormen!$F$9</definedName>
    <definedName name="catdw_1_BHV_51">Categorienormen!$F$10</definedName>
    <definedName name="catdw_1_BZB_1">Categorienormen!$F$11</definedName>
    <definedName name="catdw_1_BZV_49">Categorienormen!$F$12</definedName>
    <definedName name="catdw_1_BZV_51">Categorienormen!$F$13</definedName>
    <definedName name="catdw_1_DHB_1">Categorienormen!$F$27</definedName>
    <definedName name="catdw_1_DHV_26">Categorienormen!$F$28</definedName>
    <definedName name="catdw_1_DHV_49">Categorienormen!$F$29</definedName>
    <definedName name="catdw_1_EHB_1">Categorienormen!$F$38</definedName>
    <definedName name="catdw_1_EHV_49">Categorienormen!$F$39</definedName>
    <definedName name="catdw_1_EHV_51">Categorienormen!$F$40</definedName>
    <definedName name="catdw_1_EZB_1">Categorienormen!$F$41</definedName>
    <definedName name="catdw_1_EZV_49">Categorienormen!$F$42</definedName>
    <definedName name="catdw_1_EZV_51">Categorienormen!$F$43</definedName>
    <definedName name="catdw_1_GHB_1">Categorienormen!$F$25</definedName>
    <definedName name="catdw_1_GHV_49">Categorienormen!$F$26</definedName>
    <definedName name="catdw_1_HHB_1">Categorienormen!$F$14</definedName>
    <definedName name="catdw_1_HHV_51">Categorienormen!$F$15</definedName>
    <definedName name="catdw_1_IHB_1">Categorienormen!$F$44</definedName>
    <definedName name="catdw_1_IHV_51">Categorienormen!$F$45</definedName>
    <definedName name="catdw_1_KHB_1">Categorienormen!$F$30</definedName>
    <definedName name="catdw_1_KHV_49">Categorienormen!$F$31</definedName>
    <definedName name="catdw_1_LZB_1">Categorienormen!$F$16</definedName>
    <definedName name="catdw_1_LZV_51">Categorienormen!$F$17</definedName>
    <definedName name="catdw_1_OHB_1">Categorienormen!$F$18</definedName>
    <definedName name="catdw_1_OHV_26">Categorienormen!$F$19</definedName>
    <definedName name="catdw_1_OHV_49">Categorienormen!$F$20</definedName>
    <definedName name="catdw_1_OHV_51">Categorienormen!$F$21</definedName>
    <definedName name="catdw_1_OZB_1">Categorienormen!$F$22</definedName>
    <definedName name="catdw_1_OZV_49">Categorienormen!$F$23</definedName>
    <definedName name="catdw_1_OZV_51">Categorienormen!$F$24</definedName>
    <definedName name="catdw_1_PHB_1">Categorienormen!$F$46</definedName>
    <definedName name="catdw_1_PHV_26">Categorienormen!$F$47</definedName>
    <definedName name="catdw_1_PHV_49">Categorienormen!$F$48</definedName>
    <definedName name="catdw_1_PHV_51">Categorienormen!$F$49</definedName>
    <definedName name="catdw_1_RHB_1">Categorienormen!$F$50</definedName>
    <definedName name="catdw_1_RHV_49">Categorienormen!$F$51</definedName>
    <definedName name="catdw_1_RHV_51">Categorienormen!$F$52</definedName>
    <definedName name="catdw_1_SHB_1">Categorienormen!$F$32</definedName>
    <definedName name="catdw_1_SHV_26">Categorienormen!$F$33</definedName>
    <definedName name="catdw_1_SHV_49">Categorienormen!$F$34</definedName>
    <definedName name="catdw_1_SHV_51">Categorienormen!$F$35</definedName>
    <definedName name="catdw_1_THB_1">Categorienormen!$F$53</definedName>
    <definedName name="catdw_1_THV_49">Categorienormen!$F$54</definedName>
    <definedName name="catdw_1_THV_51">Categorienormen!$F$55</definedName>
    <definedName name="catdw_1_VHB_1">Categorienormen!$F$56</definedName>
    <definedName name="catdw_1_VHV_12">Categorienormen!$F$57</definedName>
    <definedName name="catdw_1_VHV_26">Categorienormen!$F$58</definedName>
    <definedName name="catdw_1_VHV_49">Categorienormen!$F$59</definedName>
    <definedName name="catdw_1_VHV_51">Categorienormen!$F$60</definedName>
    <definedName name="catdw_1_VZB_1">Categorienormen!$F$61</definedName>
    <definedName name="catdw_1_VZV_49">Categorienormen!$F$62</definedName>
    <definedName name="catdw_1_VZV_51">Categorienormen!$F$63</definedName>
    <definedName name="catdw_1_WZB_1">Categorienormen!$F$64</definedName>
    <definedName name="catdw_1_WZV_51">Categorienormen!$F$65</definedName>
    <definedName name="catdw_1_ZDHB_1">Categorienormen!$F$66</definedName>
    <definedName name="catdw_1_ZDHV_49">Categorienormen!$F$67</definedName>
    <definedName name="catdw_1_ZKHB_1">Categorienormen!$F$68</definedName>
    <definedName name="catdw_1_ZKHV_49">Categorienormen!$F$69</definedName>
    <definedName name="catdw_1_ZSHB_1">Categorienormen!$F$70</definedName>
    <definedName name="catdw_1_ZSHV_49">Categorienormen!$F$71</definedName>
    <definedName name="catdw_1_ZVHB_1">Categorienormen!$F$72</definedName>
    <definedName name="catdw_1_ZVHV_49">Categorienormen!$F$73</definedName>
    <definedName name="catdw_3_WDHWB_1">Categorienormen!$F$76</definedName>
    <definedName name="catdw_3_WEHWB_1">Categorienormen!$F$82</definedName>
    <definedName name="catdw_3_WEZWB_1">Categorienormen!$F$83</definedName>
    <definedName name="catdw_3_WGHWB_1">Categorienormen!$F$84</definedName>
    <definedName name="catdw_3_WKHWB_1">Categorienormen!$F$77</definedName>
    <definedName name="catdw_3_WPHWB_1">Categorienormen!$F$85</definedName>
    <definedName name="catdw_3_WSHWB_1">Categorienormen!$F$78</definedName>
    <definedName name="catdw_3_WVHWB_1">Categorienormen!$F$86</definedName>
    <definedName name="catdw_3_WZDHW_1">Categorienormen!$F$79</definedName>
    <definedName name="catdw_3_WZKHW_1">Categorienormen!$F$80</definedName>
    <definedName name="catdw_3_WZSHW_1">Categorienormen!$F$81</definedName>
    <definedName name="catdw_3_WZVHW_1">Categorienormen!$F$87</definedName>
    <definedName name="catfd_1_AHV_51">Categorienormen!$C$36</definedName>
    <definedName name="catfd_1_AZV_51">Categorienormen!$C$37</definedName>
    <definedName name="catfd_1_BHB_1">Categorienormen!$C$6</definedName>
    <definedName name="catfd_1_BHV_1">Categorienormen!$C$7</definedName>
    <definedName name="catfd_1_BHV_26">Categorienormen!$C$8</definedName>
    <definedName name="catfd_1_BHV_49">Categorienormen!$C$9</definedName>
    <definedName name="catfd_1_BHV_51">Categorienormen!$C$10</definedName>
    <definedName name="catfd_1_BZB_1">Categorienormen!$C$11</definedName>
    <definedName name="catfd_1_BZV_49">Categorienormen!$C$12</definedName>
    <definedName name="catfd_1_BZV_51">Categorienormen!$C$13</definedName>
    <definedName name="catfd_1_DHB_1">Categorienormen!$C$27</definedName>
    <definedName name="catfd_1_DHV_26">Categorienormen!$C$28</definedName>
    <definedName name="catfd_1_DHV_49">Categorienormen!$C$29</definedName>
    <definedName name="catfd_1_EHB_1">Categorienormen!$C$38</definedName>
    <definedName name="catfd_1_EHV_49">Categorienormen!$C$39</definedName>
    <definedName name="catfd_1_EHV_51">Categorienormen!$C$40</definedName>
    <definedName name="catfd_1_EZB_1">Categorienormen!$C$41</definedName>
    <definedName name="catfd_1_EZV_49">Categorienormen!$C$42</definedName>
    <definedName name="catfd_1_EZV_51">Categorienormen!$C$43</definedName>
    <definedName name="catfd_1_GHB_1">Categorienormen!$C$25</definedName>
    <definedName name="catfd_1_GHV_49">Categorienormen!$C$26</definedName>
    <definedName name="catfd_1_HHB_1">Categorienormen!$C$14</definedName>
    <definedName name="catfd_1_HHV_51">Categorienormen!$C$15</definedName>
    <definedName name="catfd_1_IHB_1">Categorienormen!$C$44</definedName>
    <definedName name="catfd_1_IHV_51">Categorienormen!$C$45</definedName>
    <definedName name="catfd_1_KHB_1">Categorienormen!$C$30</definedName>
    <definedName name="catfd_1_KHV_49">Categorienormen!$C$31</definedName>
    <definedName name="catfd_1_LZB_1">Categorienormen!$C$16</definedName>
    <definedName name="catfd_1_LZV_51">Categorienormen!$C$17</definedName>
    <definedName name="catfd_1_OHB_1">Categorienormen!$C$18</definedName>
    <definedName name="catfd_1_OHV_26">Categorienormen!$C$19</definedName>
    <definedName name="catfd_1_OHV_49">Categorienormen!$C$20</definedName>
    <definedName name="catfd_1_OHV_51">Categorienormen!$C$21</definedName>
    <definedName name="catfd_1_OZB_1">Categorienormen!$C$22</definedName>
    <definedName name="catfd_1_OZV_49">Categorienormen!$C$23</definedName>
    <definedName name="catfd_1_OZV_51">Categorienormen!$C$24</definedName>
    <definedName name="catfd_1_PHB_1">Categorienormen!$C$46</definedName>
    <definedName name="catfd_1_PHV_26">Categorienormen!$C$47</definedName>
    <definedName name="catfd_1_PHV_49">Categorienormen!$C$48</definedName>
    <definedName name="catfd_1_PHV_51">Categorienormen!$C$49</definedName>
    <definedName name="catfd_1_RHB_1">Categorienormen!$C$50</definedName>
    <definedName name="catfd_1_RHV_49">Categorienormen!$C$51</definedName>
    <definedName name="catfd_1_RHV_51">Categorienormen!$C$52</definedName>
    <definedName name="catfd_1_SHB_1">Categorienormen!$C$32</definedName>
    <definedName name="catfd_1_SHV_26">Categorienormen!$C$33</definedName>
    <definedName name="catfd_1_SHV_49">Categorienormen!$C$34</definedName>
    <definedName name="catfd_1_SHV_51">Categorienormen!$C$35</definedName>
    <definedName name="catfd_1_THB_1">Categorienormen!$C$53</definedName>
    <definedName name="catfd_1_THV_49">Categorienormen!$C$54</definedName>
    <definedName name="catfd_1_THV_51">Categorienormen!$C$55</definedName>
    <definedName name="catfd_1_VHB_1">Categorienormen!$C$56</definedName>
    <definedName name="catfd_1_VHV_12">Categorienormen!$C$57</definedName>
    <definedName name="catfd_1_VHV_26">Categorienormen!$C$58</definedName>
    <definedName name="catfd_1_VHV_49">Categorienormen!$C$59</definedName>
    <definedName name="catfd_1_VHV_51">Categorienormen!$C$60</definedName>
    <definedName name="catfd_1_VZB_1">Categorienormen!$C$61</definedName>
    <definedName name="catfd_1_VZV_49">Categorienormen!$C$62</definedName>
    <definedName name="catfd_1_VZV_51">Categorienormen!$C$63</definedName>
    <definedName name="catfd_1_WZB_1">Categorienormen!$C$64</definedName>
    <definedName name="catfd_1_WZV_51">Categorienormen!$C$65</definedName>
    <definedName name="catfd_1_ZDHB_1">Categorienormen!$C$66</definedName>
    <definedName name="catfd_1_ZDHV_49">Categorienormen!$C$67</definedName>
    <definedName name="catfd_1_ZKHB_1">Categorienormen!$C$68</definedName>
    <definedName name="catfd_1_ZKHV_49">Categorienormen!$C$69</definedName>
    <definedName name="catfd_1_ZSHB_1">Categorienormen!$C$70</definedName>
    <definedName name="catfd_1_ZSHV_49">Categorienormen!$C$71</definedName>
    <definedName name="catfd_1_ZVHB_1">Categorienormen!$C$72</definedName>
    <definedName name="catfd_1_ZVHV_49">Categorienormen!$C$73</definedName>
    <definedName name="catfd_3_WDHWB_1">Categorienormen!$C$76</definedName>
    <definedName name="catfd_3_WEHWB_1">Categorienormen!$C$82</definedName>
    <definedName name="catfd_3_WEZWB_1">Categorienormen!$C$83</definedName>
    <definedName name="catfd_3_WGHWB_1">Categorienormen!$C$84</definedName>
    <definedName name="catfd_3_WKHWB_1">Categorienormen!$C$77</definedName>
    <definedName name="catfd_3_WPHWB_1">Categorienormen!$C$85</definedName>
    <definedName name="catfd_3_WSHWB_1">Categorienormen!$C$78</definedName>
    <definedName name="catfd_3_WVHWB_1">Categorienormen!$C$86</definedName>
    <definedName name="catfd_3_WZDHW_1">Categorienormen!$C$79</definedName>
    <definedName name="catfd_3_WZKHW_1">Categorienormen!$C$80</definedName>
    <definedName name="catfd_3_WZSHW_1">Categorienormen!$C$81</definedName>
    <definedName name="catfd_3_WZVHW_1">Categorienormen!$C$87</definedName>
    <definedName name="catpn_1_AHV_51">Categorienormen!$E$36</definedName>
    <definedName name="catpn_1_AZV_51">Categorienormen!$E$37</definedName>
    <definedName name="catpn_1_BHB_1">Categorienormen!$E$6</definedName>
    <definedName name="catpn_1_BHV_1">Categorienormen!$E$7</definedName>
    <definedName name="catpn_1_BHV_26">Categorienormen!$E$8</definedName>
    <definedName name="catpn_1_BHV_49">Categorienormen!$E$9</definedName>
    <definedName name="catpn_1_BHV_51">Categorienormen!$E$10</definedName>
    <definedName name="catpn_1_BZB_1">Categorienormen!$E$11</definedName>
    <definedName name="catpn_1_BZV_49">Categorienormen!$E$12</definedName>
    <definedName name="catpn_1_BZV_51">Categorienormen!$E$13</definedName>
    <definedName name="catpn_1_DHB_1">Categorienormen!$E$27</definedName>
    <definedName name="catpn_1_DHV_26">Categorienormen!$E$28</definedName>
    <definedName name="catpn_1_DHV_49">Categorienormen!$E$29</definedName>
    <definedName name="catpn_1_EHB_1">Categorienormen!$E$38</definedName>
    <definedName name="catpn_1_EHV_49">Categorienormen!$E$39</definedName>
    <definedName name="catpn_1_EHV_51">Categorienormen!$E$40</definedName>
    <definedName name="catpn_1_EZB_1">Categorienormen!$E$41</definedName>
    <definedName name="catpn_1_EZV_49">Categorienormen!$E$42</definedName>
    <definedName name="catpn_1_EZV_51">Categorienormen!$E$43</definedName>
    <definedName name="catpn_1_GHB_1">Categorienormen!$E$25</definedName>
    <definedName name="catpn_1_GHV_49">Categorienormen!$E$26</definedName>
    <definedName name="catpn_1_HHB_1">Categorienormen!$E$14</definedName>
    <definedName name="catpn_1_HHV_51">Categorienormen!$E$15</definedName>
    <definedName name="catpn_1_IHB_1">Categorienormen!$E$44</definedName>
    <definedName name="catpn_1_IHV_51">Categorienormen!$E$45</definedName>
    <definedName name="catpn_1_KHB_1">Categorienormen!$E$30</definedName>
    <definedName name="catpn_1_KHV_49">Categorienormen!$E$31</definedName>
    <definedName name="catpn_1_LZB_1">Categorienormen!$E$16</definedName>
    <definedName name="catpn_1_LZV_51">Categorienormen!$E$17</definedName>
    <definedName name="catpn_1_OHB_1">Categorienormen!$E$18</definedName>
    <definedName name="catpn_1_OHV_26">Categorienormen!$E$19</definedName>
    <definedName name="catpn_1_OHV_49">Categorienormen!$E$20</definedName>
    <definedName name="catpn_1_OHV_51">Categorienormen!$E$21</definedName>
    <definedName name="catpn_1_OZB_1">Categorienormen!$E$22</definedName>
    <definedName name="catpn_1_OZV_49">Categorienormen!$E$23</definedName>
    <definedName name="catpn_1_OZV_51">Categorienormen!$E$24</definedName>
    <definedName name="catpn_1_PHB_1">Categorienormen!$E$46</definedName>
    <definedName name="catpn_1_PHV_26">Categorienormen!$E$47</definedName>
    <definedName name="catpn_1_PHV_49">Categorienormen!$E$48</definedName>
    <definedName name="catpn_1_PHV_51">Categorienormen!$E$49</definedName>
    <definedName name="catpn_1_RHB_1">Categorienormen!$E$50</definedName>
    <definedName name="catpn_1_RHV_49">Categorienormen!$E$51</definedName>
    <definedName name="catpn_1_RHV_51">Categorienormen!$E$52</definedName>
    <definedName name="catpn_1_SHB_1">Categorienormen!$E$32</definedName>
    <definedName name="catpn_1_SHV_26">Categorienormen!$E$33</definedName>
    <definedName name="catpn_1_SHV_49">Categorienormen!$E$34</definedName>
    <definedName name="catpn_1_SHV_51">Categorienormen!$E$35</definedName>
    <definedName name="catpn_1_THB_1">Categorienormen!$E$53</definedName>
    <definedName name="catpn_1_THV_49">Categorienormen!$E$54</definedName>
    <definedName name="catpn_1_THV_51">Categorienormen!$E$55</definedName>
    <definedName name="catpn_1_VHB_1">Categorienormen!$E$56</definedName>
    <definedName name="catpn_1_VHV_12">Categorienormen!$E$57</definedName>
    <definedName name="catpn_1_VHV_26">Categorienormen!$E$58</definedName>
    <definedName name="catpn_1_VHV_49">Categorienormen!$E$59</definedName>
    <definedName name="catpn_1_VHV_51">Categorienormen!$E$60</definedName>
    <definedName name="catpn_1_VZB_1">Categorienormen!$E$61</definedName>
    <definedName name="catpn_1_VZV_49">Categorienormen!$E$62</definedName>
    <definedName name="catpn_1_VZV_51">Categorienormen!$E$63</definedName>
    <definedName name="catpn_1_WZB_1">Categorienormen!$E$64</definedName>
    <definedName name="catpn_1_WZV_51">Categorienormen!$E$65</definedName>
    <definedName name="catpn_1_ZDHB_1">Categorienormen!$E$66</definedName>
    <definedName name="catpn_1_ZDHV_49">Categorienormen!$E$67</definedName>
    <definedName name="catpn_1_ZKHB_1">Categorienormen!$E$68</definedName>
    <definedName name="catpn_1_ZKHV_49">Categorienormen!$E$69</definedName>
    <definedName name="catpn_1_ZSHB_1">Categorienormen!$E$70</definedName>
    <definedName name="catpn_1_ZSHV_49">Categorienormen!$E$71</definedName>
    <definedName name="catpn_1_ZVHB_1">Categorienormen!$E$72</definedName>
    <definedName name="catpn_1_ZVHV_49">Categorienormen!$E$73</definedName>
    <definedName name="catpn_3_WDHWB_1">Categorienormen!$E$76</definedName>
    <definedName name="catpn_3_WEHWB_1">Categorienormen!$E$82</definedName>
    <definedName name="catpn_3_WEZWB_1">Categorienormen!$E$83</definedName>
    <definedName name="catpn_3_WGHWB_1">Categorienormen!$E$84</definedName>
    <definedName name="catpn_3_WKHWB_1">Categorienormen!$E$77</definedName>
    <definedName name="catpn_3_WPHWB_1">Categorienormen!$E$85</definedName>
    <definedName name="catpn_3_WSHWB_1">Categorienormen!$E$78</definedName>
    <definedName name="catpn_3_WVHWB_1">Categorienormen!$E$86</definedName>
    <definedName name="catpn_3_WZDHW_1">Categorienormen!$E$79</definedName>
    <definedName name="catpn_3_WZKHW_1">Categorienormen!$E$80</definedName>
    <definedName name="catpn_3_WZSHW_1">Categorienormen!$E$81</definedName>
    <definedName name="catpn_3_WZVHW_1">Categorienormen!$E$87</definedName>
    <definedName name="cattf_1_AHV_51">Categorienormen!$H$36</definedName>
    <definedName name="cattf_1_AZV_51">Categorienormen!$H$37</definedName>
    <definedName name="cattf_1_BHB_1">Categorienormen!$H$6</definedName>
    <definedName name="cattf_1_BHV_1">Categorienormen!$H$7</definedName>
    <definedName name="cattf_1_BHV_26">Categorienormen!$H$8</definedName>
    <definedName name="cattf_1_BHV_49">Categorienormen!$H$9</definedName>
    <definedName name="cattf_1_BHV_51">Categorienormen!$H$10</definedName>
    <definedName name="cattf_1_BZB_1">Categorienormen!$H$11</definedName>
    <definedName name="cattf_1_BZV_49">Categorienormen!$H$12</definedName>
    <definedName name="cattf_1_BZV_51">Categorienormen!$H$13</definedName>
    <definedName name="cattf_1_DHB_1">Categorienormen!$H$27</definedName>
    <definedName name="cattf_1_DHV_26">Categorienormen!$H$28</definedName>
    <definedName name="cattf_1_DHV_49">Categorienormen!$H$29</definedName>
    <definedName name="cattf_1_EHB_1">Categorienormen!$H$38</definedName>
    <definedName name="cattf_1_EHV_49">Categorienormen!$H$39</definedName>
    <definedName name="cattf_1_EHV_51">Categorienormen!$H$40</definedName>
    <definedName name="cattf_1_EZB_1">Categorienormen!$H$41</definedName>
    <definedName name="cattf_1_EZV_49">Categorienormen!$H$42</definedName>
    <definedName name="cattf_1_EZV_51">Categorienormen!$H$43</definedName>
    <definedName name="cattf_1_GHB_1">Categorienormen!$H$25</definedName>
    <definedName name="cattf_1_GHV_49">Categorienormen!$H$26</definedName>
    <definedName name="cattf_1_HHB_1">Categorienormen!$H$14</definedName>
    <definedName name="cattf_1_HHV_51">Categorienormen!$H$15</definedName>
    <definedName name="cattf_1_IHB_1">Categorienormen!$H$44</definedName>
    <definedName name="cattf_1_IHV_51">Categorienormen!$H$45</definedName>
    <definedName name="cattf_1_KHB_1">Categorienormen!$H$30</definedName>
    <definedName name="cattf_1_KHV_49">Categorienormen!$H$31</definedName>
    <definedName name="cattf_1_LZB_1">Categorienormen!$H$16</definedName>
    <definedName name="cattf_1_LZV_51">Categorienormen!$H$17</definedName>
    <definedName name="cattf_1_OHB_1">Categorienormen!$H$18</definedName>
    <definedName name="cattf_1_OHV_26">Categorienormen!$H$19</definedName>
    <definedName name="cattf_1_OHV_49">Categorienormen!$H$20</definedName>
    <definedName name="cattf_1_OHV_51">Categorienormen!$H$21</definedName>
    <definedName name="cattf_1_OZB_1">Categorienormen!$H$22</definedName>
    <definedName name="cattf_1_OZV_49">Categorienormen!$H$23</definedName>
    <definedName name="cattf_1_OZV_51">Categorienormen!$H$24</definedName>
    <definedName name="cattf_1_PHB_1">Categorienormen!$H$46</definedName>
    <definedName name="cattf_1_PHV_26">Categorienormen!$H$47</definedName>
    <definedName name="cattf_1_PHV_49">Categorienormen!$H$48</definedName>
    <definedName name="cattf_1_PHV_51">Categorienormen!$H$49</definedName>
    <definedName name="cattf_1_RHB_1">Categorienormen!$H$50</definedName>
    <definedName name="cattf_1_RHV_49">Categorienormen!$H$51</definedName>
    <definedName name="cattf_1_RHV_51">Categorienormen!$H$52</definedName>
    <definedName name="cattf_1_SHB_1">Categorienormen!$H$32</definedName>
    <definedName name="cattf_1_SHV_26">Categorienormen!$H$33</definedName>
    <definedName name="cattf_1_SHV_49">Categorienormen!$H$34</definedName>
    <definedName name="cattf_1_SHV_51">Categorienormen!$H$35</definedName>
    <definedName name="cattf_1_THB_1">Categorienormen!$H$53</definedName>
    <definedName name="cattf_1_THV_49">Categorienormen!$H$54</definedName>
    <definedName name="cattf_1_THV_51">Categorienormen!$H$55</definedName>
    <definedName name="cattf_1_VHB_1">Categorienormen!$H$56</definedName>
    <definedName name="cattf_1_VHV_12">Categorienormen!$H$57</definedName>
    <definedName name="cattf_1_VHV_26">Categorienormen!$H$58</definedName>
    <definedName name="cattf_1_VHV_49">Categorienormen!$H$59</definedName>
    <definedName name="cattf_1_VHV_51">Categorienormen!$H$60</definedName>
    <definedName name="cattf_1_VZB_1">Categorienormen!$H$61</definedName>
    <definedName name="cattf_1_VZV_49">Categorienormen!$H$62</definedName>
    <definedName name="cattf_1_VZV_51">Categorienormen!$H$63</definedName>
    <definedName name="cattf_1_WZB_1">Categorienormen!$H$64</definedName>
    <definedName name="cattf_1_WZV_51">Categorienormen!$H$65</definedName>
    <definedName name="cattf_1_ZDHB_1">Categorienormen!$H$66</definedName>
    <definedName name="cattf_1_ZDHV_49">Categorienormen!$H$67</definedName>
    <definedName name="cattf_1_ZKHB_1">Categorienormen!$H$68</definedName>
    <definedName name="cattf_1_ZKHV_49">Categorienormen!$H$69</definedName>
    <definedName name="cattf_1_ZSHB_1">Categorienormen!$H$70</definedName>
    <definedName name="cattf_1_ZSHV_49">Categorienormen!$H$71</definedName>
    <definedName name="cattf_1_ZVHB_1">Categorienormen!$H$72</definedName>
    <definedName name="cattf_1_ZVHV_49">Categorienormen!$H$73</definedName>
    <definedName name="cattf_3_WDHWB_1">Categorienormen!$H$76</definedName>
    <definedName name="cattf_3_WEHWB_1">Categorienormen!$H$82</definedName>
    <definedName name="cattf_3_WEZWB_1">Categorienormen!$H$83</definedName>
    <definedName name="cattf_3_WGHWB_1">Categorienormen!$H$84</definedName>
    <definedName name="cattf_3_WKHWB_1">Categorienormen!$H$77</definedName>
    <definedName name="cattf_3_WPHWB_1">Categorienormen!$H$85</definedName>
    <definedName name="cattf_3_WSHWB_1">Categorienormen!$H$78</definedName>
    <definedName name="cattf_3_WVHWB_1">Categorienormen!$H$86</definedName>
    <definedName name="cattf_3_WZDHW_1">Categorienormen!$H$79</definedName>
    <definedName name="cattf_3_WZKHW_1">Categorienormen!$H$80</definedName>
    <definedName name="cattf_3_WZSHW_1">Categorienormen!$H$81</definedName>
    <definedName name="cattf_3_WZVHW_1">Categorienormen!$H$87</definedName>
    <definedName name="dagenperjaar1">Omreken!$B$9</definedName>
    <definedName name="dagenperweek1">Omreken!$B$10</definedName>
    <definedName name="dagsoorttabel1">Omreken!$A$13:$B$32</definedName>
    <definedName name="gemuurtarief1">'Regulier werk'!$I$72</definedName>
    <definedName name="gemuurtarief3">'Regulier werk'!$I$90</definedName>
    <definedName name="kengetaltabel1">Kostenplaatsinfo!$G$5:$G$68</definedName>
    <definedName name="kengetaltabel3">Kostenplaatsinfo!$G$71:$G$82</definedName>
    <definedName name="object1_opptabel1">Kostenplaatsinfo!$I$5:$I$68</definedName>
    <definedName name="object1_opptabel3">Kostenplaatsinfo!$I$71:$I$82</definedName>
    <definedName name="object10_opptabel1">Kostenplaatsinfo!$R$5:$R$68</definedName>
    <definedName name="object10_opptabel3">Kostenplaatsinfo!$R$71:$R$82</definedName>
    <definedName name="object11_opptabel1">Kostenplaatsinfo!$S$5:$S$68</definedName>
    <definedName name="object11_opptabel3">Kostenplaatsinfo!$S$71:$S$82</definedName>
    <definedName name="object12_opptabel1">Kostenplaatsinfo!$T$5:$T$68</definedName>
    <definedName name="object12_opptabel3">Kostenplaatsinfo!$T$71:$T$82</definedName>
    <definedName name="object13_opptabel1">Kostenplaatsinfo!$U$5:$U$68</definedName>
    <definedName name="object13_opptabel3">Kostenplaatsinfo!$U$71:$U$82</definedName>
    <definedName name="object14_opptabel1">Kostenplaatsinfo!$V$5:$V$68</definedName>
    <definedName name="object14_opptabel3">Kostenplaatsinfo!$V$71:$V$82</definedName>
    <definedName name="object15_opptabel1">Kostenplaatsinfo!$W$5:$W$68</definedName>
    <definedName name="object15_opptabel3">Kostenplaatsinfo!$W$71:$W$82</definedName>
    <definedName name="object16_opptabel1">Kostenplaatsinfo!$X$5:$X$68</definedName>
    <definedName name="object16_opptabel3">Kostenplaatsinfo!$X$71:$X$82</definedName>
    <definedName name="object17_opptabel1">Kostenplaatsinfo!$Y$5:$Y$68</definedName>
    <definedName name="object17_opptabel3">Kostenplaatsinfo!$Y$71:$Y$82</definedName>
    <definedName name="object2_opptabel1">Kostenplaatsinfo!$J$5:$J$68</definedName>
    <definedName name="object2_opptabel3">Kostenplaatsinfo!$J$71:$J$82</definedName>
    <definedName name="object3_opptabel1">Kostenplaatsinfo!$K$5:$K$68</definedName>
    <definedName name="object3_opptabel3">Kostenplaatsinfo!$K$71:$K$82</definedName>
    <definedName name="object4_opptabel1">Kostenplaatsinfo!$L$5:$L$68</definedName>
    <definedName name="object4_opptabel3">Kostenplaatsinfo!$L$71:$L$82</definedName>
    <definedName name="object5_opptabel1">Kostenplaatsinfo!$M$5:$M$68</definedName>
    <definedName name="object5_opptabel3">Kostenplaatsinfo!$M$71:$M$82</definedName>
    <definedName name="object6_opptabel1">Kostenplaatsinfo!$N$5:$N$68</definedName>
    <definedName name="object6_opptabel3">Kostenplaatsinfo!$N$71:$N$82</definedName>
    <definedName name="object7_opptabel1">Kostenplaatsinfo!$O$5:$O$68</definedName>
    <definedName name="object7_opptabel3">Kostenplaatsinfo!$O$71:$O$82</definedName>
    <definedName name="object8_opptabel1">Kostenplaatsinfo!$P$5:$P$68</definedName>
    <definedName name="object8_opptabel3">Kostenplaatsinfo!$P$71:$P$82</definedName>
    <definedName name="object9_opptabel1">Kostenplaatsinfo!$Q$5:$Q$68</definedName>
    <definedName name="object9_opptabel3">Kostenplaatsinfo!$Q$71:$Q$82</definedName>
    <definedName name="objectprijs10_1">Kostenplaatsen!$N$12</definedName>
    <definedName name="objectprijs11_1">Kostenplaatsen!$N$13</definedName>
    <definedName name="objectprijs11_3">Kostenplaatsen!$N$24</definedName>
    <definedName name="objectprijs12_1">Kostenplaatsen!$N$14</definedName>
    <definedName name="objectprijs13_1">Kostenplaatsen!$N$15</definedName>
    <definedName name="objectprijs14_1">Kostenplaatsen!$N$16</definedName>
    <definedName name="objectprijs15_1">Kostenplaatsen!$N$17</definedName>
    <definedName name="objectprijs16_1">Kostenplaatsen!$N$18</definedName>
    <definedName name="objectprijs3_1">Kostenplaatsen!$N$6</definedName>
    <definedName name="objectprijs5_1">Kostenplaatsen!$N$7</definedName>
    <definedName name="objectprijs6_1">Kostenplaatsen!$N$8</definedName>
    <definedName name="objectprijs7_1">Kostenplaatsen!$N$9</definedName>
    <definedName name="objectprijs8_1">Kostenplaatsen!$N$10</definedName>
    <definedName name="objectprijs9_1">Kostenplaatsen!$N$11</definedName>
    <definedName name="objectprijs9_3">Kostenplaatsen!$N$23</definedName>
    <definedName name="objecturen10_1">Kostenplaatsen!$M$12</definedName>
    <definedName name="objecturen11_1">Kostenplaatsen!$M$13</definedName>
    <definedName name="objecturen11_3">Kostenplaatsen!$M$24</definedName>
    <definedName name="objecturen12_1">Kostenplaatsen!$M$14</definedName>
    <definedName name="objecturen13_1">Kostenplaatsen!$M$15</definedName>
    <definedName name="objecturen14_1">Kostenplaatsen!$M$16</definedName>
    <definedName name="objecturen15_1">Kostenplaatsen!$M$17</definedName>
    <definedName name="objecturen16_1">Kostenplaatsen!$M$18</definedName>
    <definedName name="objecturen3_1">Kostenplaatsen!$M$6</definedName>
    <definedName name="objecturen5_1">Kostenplaatsen!$M$7</definedName>
    <definedName name="objecturen6_1">Kostenplaatsen!$M$8</definedName>
    <definedName name="objecturen7_1">Kostenplaatsen!$M$9</definedName>
    <definedName name="objecturen8_1">Kostenplaatsen!$M$10</definedName>
    <definedName name="objecturen9_1">Kostenplaatsen!$M$11</definedName>
    <definedName name="objecturen9_3">Kostenplaatsen!$M$23</definedName>
    <definedName name="prijsdag1">'Regulier werk'!$K$70</definedName>
    <definedName name="prijsdag3">'Regulier werk'!$K$88</definedName>
    <definedName name="prijsjaar">'Regulier werk'!$M$93</definedName>
    <definedName name="prijsjaar1">'Regulier werk'!$M$70</definedName>
    <definedName name="prijsjaar3">'Regulier werk'!$M$88</definedName>
    <definedName name="prijsjaaradditioneel">'Additioneel werk'!$K$9</definedName>
    <definedName name="prijsjaaradditioneel1">'Additioneel werk'!$K$7</definedName>
    <definedName name="prijsjaarafroep">Afroep!$K$11</definedName>
    <definedName name="prijsjaarafroep1">Afroep!$K$9</definedName>
    <definedName name="prijsjaarglas">Glas!$K$22</definedName>
    <definedName name="prijsjaarglas1">Glas!$K$20</definedName>
    <definedName name="prijsjaarnietmeewerkend">LeidingPerKp!$J$146</definedName>
    <definedName name="prijsjaartotaal">Kostenplaatsen!$N$28</definedName>
    <definedName name="prijsjaartotaal1">Kostenplaatsen!$N$19</definedName>
    <definedName name="prijsjaartotaal3">Kostenplaatsen!$N$25</definedName>
    <definedName name="prijsjaartotaaloverzicht">'Totaalblad Kostenplaatsen'!$G$22</definedName>
    <definedName name="prijsmaandtotaal1">Kostenplaatsen!$O$19</definedName>
    <definedName name="prijsmaandtotaal3">Kostenplaatsen!$O$25</definedName>
    <definedName name="prodnorm21">'Regulier werk'!$G$62</definedName>
    <definedName name="prodnorm22">'Regulier werk'!$G$63</definedName>
    <definedName name="prodnorm23">'Regulier werk'!$G$64</definedName>
    <definedName name="prodnorm24">'Regulier werk'!$G$65</definedName>
    <definedName name="prodnorm25">'Regulier werk'!$G$66</definedName>
    <definedName name="prodnorm26">'Regulier werk'!$G$67</definedName>
    <definedName name="prodnorm27">'Regulier werk'!$G$68</definedName>
    <definedName name="prodnorm28">'Regulier werk'!$G$69</definedName>
    <definedName name="prodnorm29">'Regulier werk'!$G$6</definedName>
    <definedName name="prodnorm30">'Regulier werk'!$G$7</definedName>
    <definedName name="prodnorm31">'Regulier werk'!$G$8</definedName>
    <definedName name="prodnorm32">'Regulier werk'!$G$9</definedName>
    <definedName name="prodnorm33">'Regulier werk'!$G$10</definedName>
    <definedName name="prodnorm34">'Regulier werk'!$G$11</definedName>
    <definedName name="prodnorm35">'Regulier werk'!$G$12</definedName>
    <definedName name="prodnorm36">'Regulier werk'!$G$13</definedName>
    <definedName name="prodnorm37">'Regulier werk'!$G$14</definedName>
    <definedName name="prodnorm38">'Regulier werk'!$G$15</definedName>
    <definedName name="prodnorm39">'Regulier werk'!$G$16</definedName>
    <definedName name="prodnorm40">'Regulier werk'!$G$17</definedName>
    <definedName name="prodnorm41">'Regulier werk'!$G$18</definedName>
    <definedName name="prodnorm42">'Regulier werk'!$G$19</definedName>
    <definedName name="prodnorm43">'Regulier werk'!$G$20</definedName>
    <definedName name="prodnorm44">'Regulier werk'!$G$21</definedName>
    <definedName name="prodnorm45">'Regulier werk'!$G$22</definedName>
    <definedName name="prodnorm46">'Regulier werk'!$G$23</definedName>
    <definedName name="prodnorm47">'Regulier werk'!$G$24</definedName>
    <definedName name="prodnorm48">'Regulier werk'!$G$25</definedName>
    <definedName name="prodnorm49">'Regulier werk'!$G$26</definedName>
    <definedName name="prodnorm50">'Regulier werk'!$G$27</definedName>
    <definedName name="prodnorm51">'Regulier werk'!$G$28</definedName>
    <definedName name="prodnorm52">'Regulier werk'!$G$29</definedName>
    <definedName name="prodnorm53">'Regulier werk'!$G$30</definedName>
    <definedName name="prodnorm54">'Regulier werk'!$G$31</definedName>
    <definedName name="prodnorm55">'Regulier werk'!$G$32</definedName>
    <definedName name="prodnorm56">'Regulier werk'!$G$33</definedName>
    <definedName name="prodnorm57">'Regulier werk'!$G$34</definedName>
    <definedName name="prodnorm58">'Regulier werk'!$G$35</definedName>
    <definedName name="prodnorm59">'Regulier werk'!$G$36</definedName>
    <definedName name="prodnorm60">'Regulier werk'!$G$37</definedName>
    <definedName name="prodnorm61">'Regulier werk'!$G$38</definedName>
    <definedName name="prodnorm62">'Regulier werk'!$G$39</definedName>
    <definedName name="prodnorm63">'Regulier werk'!$G$40</definedName>
    <definedName name="prodnorm64">'Regulier werk'!$G$41</definedName>
    <definedName name="prodnorm65">'Regulier werk'!$G$42</definedName>
    <definedName name="prodnorm66">'Regulier werk'!$G$43</definedName>
    <definedName name="prodnorm67">'Regulier werk'!$G$44</definedName>
    <definedName name="prodnorm68">'Regulier werk'!$G$45</definedName>
    <definedName name="prodnorm69">'Regulier werk'!$G$46</definedName>
    <definedName name="prodnorm70">'Regulier werk'!$G$47</definedName>
    <definedName name="prodnorm71">'Regulier werk'!$G$48</definedName>
    <definedName name="prodnorm72">'Regulier werk'!$G$49</definedName>
    <definedName name="prodnorm73">'Regulier werk'!$G$50</definedName>
    <definedName name="prodnorm74">'Regulier werk'!$G$51</definedName>
    <definedName name="prodnorm75">'Regulier werk'!$G$52</definedName>
    <definedName name="prodnorm76">'Regulier werk'!$G$53</definedName>
    <definedName name="prodnorm77">'Regulier werk'!$G$54</definedName>
    <definedName name="prodnorm78">'Regulier werk'!$G$55</definedName>
    <definedName name="prodnorm79">'Regulier werk'!$G$56</definedName>
    <definedName name="prodnorm80">'Regulier werk'!$G$57</definedName>
    <definedName name="prodnorm81">'Regulier werk'!$G$58</definedName>
    <definedName name="prodnorm82">'Regulier werk'!$G$59</definedName>
    <definedName name="prodnorm83">'Regulier werk'!$G$60</definedName>
    <definedName name="prodnorm84">'Regulier werk'!$G$61</definedName>
    <definedName name="prodnorm86">'Regulier werk'!$G$76</definedName>
    <definedName name="prodnorm87">'Regulier werk'!$G$77</definedName>
    <definedName name="prodnorm88">'Regulier werk'!$G$78</definedName>
    <definedName name="prodnorm89">'Regulier werk'!$G$79</definedName>
    <definedName name="prodnorm90">'Regulier werk'!$G$80</definedName>
    <definedName name="prodnorm91">'Regulier werk'!$G$81</definedName>
    <definedName name="prodnorm92">'Regulier werk'!$G$82</definedName>
    <definedName name="prodnorm93">'Regulier werk'!$G$83</definedName>
    <definedName name="prodnorm94">'Regulier werk'!$G$84</definedName>
    <definedName name="prodnorm95">'Regulier werk'!$G$85</definedName>
    <definedName name="prodnorm96">'Regulier werk'!$G$86</definedName>
    <definedName name="prodnorm97">'Regulier werk'!$G$87</definedName>
    <definedName name="taakfreqtabel1">Kostenplaatsinfo!$E$5:$E$68</definedName>
    <definedName name="taakfreqtabel3">Kostenplaatsinfo!$E$71:$E$82</definedName>
    <definedName name="tabeltype">Omreken!$B$5:$B$5</definedName>
    <definedName name="tarieftabel1">Kostenplaatsinfo!$H$5:$H$68</definedName>
    <definedName name="tarieftabel3">Kostenplaatsinfo!$H$71:$H$82</definedName>
    <definedName name="tzpjt1">LeidingPerKp!$J$121</definedName>
    <definedName name="tzpjt10_1">LeidingPerKp!$J$66</definedName>
    <definedName name="tzpjt11_1">LeidingPerKp!$J$75</definedName>
    <definedName name="tzpjt11_3">LeidingPerKp!$J$141</definedName>
    <definedName name="tzpjt12_1">LeidingPerKp!$J$83</definedName>
    <definedName name="tzpjt13_1">LeidingPerKp!$J$92</definedName>
    <definedName name="tzpjt14_1">LeidingPerKp!$J$101</definedName>
    <definedName name="tzpjt15_1">LeidingPerKp!$J$110</definedName>
    <definedName name="tzpjt16_1">LeidingPerKp!$J$119</definedName>
    <definedName name="tzpjt3">LeidingPerKp!$J$143</definedName>
    <definedName name="tzpjt3_1">LeidingPerKp!$J$13</definedName>
    <definedName name="tzpjt5_1">LeidingPerKp!$J$22</definedName>
    <definedName name="tzpjt6_1">LeidingPerKp!$J$31</definedName>
    <definedName name="tzpjt7_1">LeidingPerKp!$J$40</definedName>
    <definedName name="tzpjt8_1">LeidingPerKp!$J$49</definedName>
    <definedName name="tzpjt9_1">LeidingPerKp!$J$58</definedName>
    <definedName name="tzpjt9_3">LeidingPerKp!$J$132</definedName>
    <definedName name="tzpmt1">LeidingPerKp!$K$121</definedName>
    <definedName name="tzpmt10_1">LeidingPerKp!$K$66</definedName>
    <definedName name="tzpmt11_1">LeidingPerKp!$K$75</definedName>
    <definedName name="tzpmt11_3">LeidingPerKp!$K$141</definedName>
    <definedName name="tzpmt12_1">LeidingPerKp!$K$83</definedName>
    <definedName name="tzpmt13_1">LeidingPerKp!$K$92</definedName>
    <definedName name="tzpmt14_1">LeidingPerKp!$K$101</definedName>
    <definedName name="tzpmt15_1">LeidingPerKp!$K$110</definedName>
    <definedName name="tzpmt16_1">LeidingPerKp!$K$119</definedName>
    <definedName name="tzpmt3">LeidingPerKp!$K$143</definedName>
    <definedName name="tzpmt3_1">LeidingPerKp!$K$13</definedName>
    <definedName name="tzpmt5_1">LeidingPerKp!$K$22</definedName>
    <definedName name="tzpmt6_1">LeidingPerKp!$K$31</definedName>
    <definedName name="tzpmt7_1">LeidingPerKp!$K$40</definedName>
    <definedName name="tzpmt8_1">LeidingPerKp!$K$49</definedName>
    <definedName name="tzpmt9_1">LeidingPerKp!$K$58</definedName>
    <definedName name="tzpmt9_3">LeidingPerKp!$K$132</definedName>
    <definedName name="tzujt1">LeidingPerKp!$H$121</definedName>
    <definedName name="tzujt10_1">LeidingPerKp!$H$66</definedName>
    <definedName name="tzujt11_1">LeidingPerKp!$H$75</definedName>
    <definedName name="tzujt11_3">LeidingPerKp!$H$141</definedName>
    <definedName name="tzujt12_1">LeidingPerKp!$H$83</definedName>
    <definedName name="tzujt13_1">LeidingPerKp!$H$92</definedName>
    <definedName name="tzujt14_1">LeidingPerKp!$H$101</definedName>
    <definedName name="tzujt15_1">LeidingPerKp!$H$110</definedName>
    <definedName name="tzujt16_1">LeidingPerKp!$H$119</definedName>
    <definedName name="tzujt3">LeidingPerKp!$H$143</definedName>
    <definedName name="tzujt3_1">LeidingPerKp!$H$13</definedName>
    <definedName name="tzujt5_1">LeidingPerKp!$H$22</definedName>
    <definedName name="tzujt6_1">LeidingPerKp!$H$31</definedName>
    <definedName name="tzujt7_1">LeidingPerKp!$H$40</definedName>
    <definedName name="tzujt8_1">LeidingPerKp!$H$49</definedName>
    <definedName name="tzujt9_1">LeidingPerKp!$H$58</definedName>
    <definedName name="tzujt9_3">LeidingPerKp!$H$132</definedName>
    <definedName name="urendag1">'Regulier werk'!$J$70</definedName>
    <definedName name="urendag3">'Regulier werk'!$J$88</definedName>
    <definedName name="urenjaar">'Regulier werk'!$L$93</definedName>
    <definedName name="urenjaar1">'Regulier werk'!$L$70</definedName>
    <definedName name="urenjaar3">'Regulier werk'!$L$88</definedName>
    <definedName name="urenjaarnietmeewerkend">LeidingPerKp!$H$146</definedName>
    <definedName name="urenjaartotaal">Kostenplaatsen!$M$28</definedName>
    <definedName name="urenjaartotaal1">Kostenplaatsen!$M$19</definedName>
    <definedName name="urenjaartotaal3">Kostenplaatsen!$M$25</definedName>
    <definedName name="urenjaartotaaloverzicht">'Totaalblad Kostenplaatsen'!$F$22</definedName>
    <definedName name="uurfactortabel1">Kostenplaatsinfo!$F$5:$F$68</definedName>
    <definedName name="uurfactortabel3">Kostenplaatsinfo!$F$71:$F$82</definedName>
    <definedName name="uurtarief21">'Regulier werk'!$I$62</definedName>
    <definedName name="uurtarief22">'Regulier werk'!$I$63</definedName>
    <definedName name="uurtarief23">'Regulier werk'!$I$64</definedName>
    <definedName name="uurtarief24">'Regulier werk'!$I$65</definedName>
    <definedName name="uurtarief25">'Regulier werk'!$I$66</definedName>
    <definedName name="uurtarief26">'Regulier werk'!$I$67</definedName>
    <definedName name="uurtarief27">'Regulier werk'!$I$68</definedName>
    <definedName name="uurtarief28">'Regulier werk'!$I$69</definedName>
    <definedName name="uurtarief29">'Regulier werk'!$I$6</definedName>
    <definedName name="uurtarief30">'Regulier werk'!$I$7</definedName>
    <definedName name="uurtarief31">'Regulier werk'!$I$8</definedName>
    <definedName name="uurtarief32">'Regulier werk'!$I$9</definedName>
    <definedName name="uurtarief33">'Regulier werk'!$I$10</definedName>
    <definedName name="uurtarief34">'Regulier werk'!$I$11</definedName>
    <definedName name="uurtarief35">'Regulier werk'!$I$12</definedName>
    <definedName name="uurtarief36">'Regulier werk'!$I$13</definedName>
    <definedName name="uurtarief37">'Regulier werk'!$I$14</definedName>
    <definedName name="uurtarief38">'Regulier werk'!$I$15</definedName>
    <definedName name="uurtarief39">'Regulier werk'!$I$16</definedName>
    <definedName name="uurtarief40">'Regulier werk'!$I$17</definedName>
    <definedName name="uurtarief41">'Regulier werk'!$I$18</definedName>
    <definedName name="uurtarief42">'Regulier werk'!$I$19</definedName>
    <definedName name="uurtarief43">'Regulier werk'!$I$20</definedName>
    <definedName name="uurtarief44">'Regulier werk'!$I$21</definedName>
    <definedName name="uurtarief45">'Regulier werk'!$I$22</definedName>
    <definedName name="uurtarief46">'Regulier werk'!$I$23</definedName>
    <definedName name="uurtarief47">'Regulier werk'!$I$24</definedName>
    <definedName name="uurtarief48">'Regulier werk'!$I$25</definedName>
    <definedName name="uurtarief49">'Regulier werk'!$I$26</definedName>
    <definedName name="uurtarief50">'Regulier werk'!$I$27</definedName>
    <definedName name="uurtarief51">'Regulier werk'!$I$28</definedName>
    <definedName name="uurtarief52">'Regulier werk'!$I$29</definedName>
    <definedName name="uurtarief53">'Regulier werk'!$I$30</definedName>
    <definedName name="uurtarief54">'Regulier werk'!$I$31</definedName>
    <definedName name="uurtarief55">'Regulier werk'!$I$32</definedName>
    <definedName name="uurtarief56">'Regulier werk'!$I$33</definedName>
    <definedName name="uurtarief57">'Regulier werk'!$I$34</definedName>
    <definedName name="uurtarief58">'Regulier werk'!$I$35</definedName>
    <definedName name="uurtarief59">'Regulier werk'!$I$36</definedName>
    <definedName name="uurtarief60">'Regulier werk'!$I$37</definedName>
    <definedName name="uurtarief61">'Regulier werk'!$I$38</definedName>
    <definedName name="uurtarief62">'Regulier werk'!$I$39</definedName>
    <definedName name="uurtarief63">'Regulier werk'!$I$40</definedName>
    <definedName name="uurtarief64">'Regulier werk'!$I$41</definedName>
    <definedName name="uurtarief65">'Regulier werk'!$I$42</definedName>
    <definedName name="uurtarief66">'Regulier werk'!$I$43</definedName>
    <definedName name="uurtarief67">'Regulier werk'!$I$44</definedName>
    <definedName name="uurtarief68">'Regulier werk'!$I$45</definedName>
    <definedName name="uurtarief69">'Regulier werk'!$I$46</definedName>
    <definedName name="uurtarief70">'Regulier werk'!$I$47</definedName>
    <definedName name="uurtarief71">'Regulier werk'!$I$48</definedName>
    <definedName name="uurtarief72">'Regulier werk'!$I$49</definedName>
    <definedName name="uurtarief73">'Regulier werk'!$I$50</definedName>
    <definedName name="uurtarief74">'Regulier werk'!$I$51</definedName>
    <definedName name="uurtarief75">'Regulier werk'!$I$52</definedName>
    <definedName name="uurtarief76">'Regulier werk'!$I$53</definedName>
    <definedName name="uurtarief77">'Regulier werk'!$I$54</definedName>
    <definedName name="uurtarief78">'Regulier werk'!$I$55</definedName>
    <definedName name="uurtarief79">'Regulier werk'!$I$56</definedName>
    <definedName name="uurtarief80">'Regulier werk'!$I$57</definedName>
    <definedName name="uurtarief81">'Regulier werk'!$I$58</definedName>
    <definedName name="uurtarief82">'Regulier werk'!$I$59</definedName>
    <definedName name="uurtarief83">'Regulier werk'!$I$60</definedName>
    <definedName name="uurtarief84">'Regulier werk'!$I$61</definedName>
    <definedName name="uurtarief86">'Regulier werk'!$I$76</definedName>
    <definedName name="uurtarief87">'Regulier werk'!$I$77</definedName>
    <definedName name="uurtarief88">'Regulier werk'!$I$78</definedName>
    <definedName name="uurtarief89">'Regulier werk'!$I$79</definedName>
    <definedName name="uurtarief90">'Regulier werk'!$I$80</definedName>
    <definedName name="uurtarief91">'Regulier werk'!$I$81</definedName>
    <definedName name="uurtarief92">'Regulier werk'!$I$82</definedName>
    <definedName name="uurtarief93">'Regulier werk'!$I$83</definedName>
    <definedName name="uurtarief94">'Regulier werk'!$I$84</definedName>
    <definedName name="uurtarief95">'Regulier werk'!$I$85</definedName>
    <definedName name="uurtarief96">'Regulier werk'!$I$86</definedName>
    <definedName name="uurtarief97">'Regulier werk'!$I$87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4" l="1"/>
  <c r="E19" i="14"/>
  <c r="A1" i="14" l="1"/>
  <c r="J96" i="13"/>
  <c r="K96" i="13" s="1"/>
  <c r="H96" i="13"/>
  <c r="J95" i="13"/>
  <c r="K95" i="13" s="1"/>
  <c r="H95" i="13"/>
  <c r="J94" i="13"/>
  <c r="K94" i="13" s="1"/>
  <c r="K97" i="13" s="1"/>
  <c r="H94" i="13"/>
  <c r="J90" i="13"/>
  <c r="K90" i="13" s="1"/>
  <c r="H90" i="13"/>
  <c r="J89" i="13"/>
  <c r="K89" i="13" s="1"/>
  <c r="H89" i="13"/>
  <c r="J88" i="13"/>
  <c r="K88" i="13" s="1"/>
  <c r="H88" i="13"/>
  <c r="J87" i="13"/>
  <c r="K87" i="13" s="1"/>
  <c r="K91" i="13" s="1"/>
  <c r="H87" i="13"/>
  <c r="J83" i="13"/>
  <c r="K83" i="13" s="1"/>
  <c r="H83" i="13"/>
  <c r="J82" i="13"/>
  <c r="K82" i="13" s="1"/>
  <c r="H82" i="13"/>
  <c r="J81" i="13"/>
  <c r="K81" i="13" s="1"/>
  <c r="H81" i="13"/>
  <c r="J80" i="13"/>
  <c r="K80" i="13" s="1"/>
  <c r="K84" i="13" s="1"/>
  <c r="H80" i="13"/>
  <c r="J76" i="13"/>
  <c r="K76" i="13" s="1"/>
  <c r="H76" i="13"/>
  <c r="J75" i="13"/>
  <c r="K75" i="13" s="1"/>
  <c r="H75" i="13"/>
  <c r="J74" i="13"/>
  <c r="K74" i="13" s="1"/>
  <c r="K77" i="13" s="1"/>
  <c r="H74" i="13"/>
  <c r="J70" i="13"/>
  <c r="K70" i="13" s="1"/>
  <c r="H70" i="13"/>
  <c r="J69" i="13"/>
  <c r="K69" i="13" s="1"/>
  <c r="H69" i="13"/>
  <c r="J68" i="13"/>
  <c r="K68" i="13" s="1"/>
  <c r="K71" i="13" s="1"/>
  <c r="H68" i="13"/>
  <c r="J64" i="13"/>
  <c r="K64" i="13" s="1"/>
  <c r="H64" i="13"/>
  <c r="J63" i="13"/>
  <c r="K63" i="13" s="1"/>
  <c r="H63" i="13"/>
  <c r="J62" i="13"/>
  <c r="K62" i="13" s="1"/>
  <c r="K65" i="13" s="1"/>
  <c r="H62" i="13"/>
  <c r="J58" i="13"/>
  <c r="K58" i="13" s="1"/>
  <c r="H58" i="13"/>
  <c r="J57" i="13"/>
  <c r="K57" i="13" s="1"/>
  <c r="K59" i="13" s="1"/>
  <c r="H57" i="13"/>
  <c r="J53" i="13"/>
  <c r="K53" i="13" s="1"/>
  <c r="H53" i="13"/>
  <c r="J52" i="13"/>
  <c r="K52" i="13" s="1"/>
  <c r="K54" i="13" s="1"/>
  <c r="H52" i="13"/>
  <c r="J48" i="13"/>
  <c r="K48" i="13" s="1"/>
  <c r="H48" i="13"/>
  <c r="J47" i="13"/>
  <c r="K47" i="13" s="1"/>
  <c r="H47" i="13"/>
  <c r="J46" i="13"/>
  <c r="K46" i="13" s="1"/>
  <c r="K49" i="13" s="1"/>
  <c r="H46" i="13"/>
  <c r="J42" i="13"/>
  <c r="K42" i="13" s="1"/>
  <c r="H42" i="13"/>
  <c r="J41" i="13"/>
  <c r="K41" i="13" s="1"/>
  <c r="K43" i="13" s="1"/>
  <c r="H41" i="13"/>
  <c r="J37" i="13"/>
  <c r="K37" i="13" s="1"/>
  <c r="H37" i="13"/>
  <c r="J36" i="13"/>
  <c r="K36" i="13" s="1"/>
  <c r="H36" i="13"/>
  <c r="J35" i="13"/>
  <c r="K35" i="13" s="1"/>
  <c r="H35" i="13"/>
  <c r="J34" i="13"/>
  <c r="K34" i="13" s="1"/>
  <c r="H34" i="13"/>
  <c r="J33" i="13"/>
  <c r="K33" i="13" s="1"/>
  <c r="H33" i="13"/>
  <c r="J32" i="13"/>
  <c r="K32" i="13" s="1"/>
  <c r="K38" i="13" s="1"/>
  <c r="H32" i="13"/>
  <c r="J28" i="13"/>
  <c r="K28" i="13" s="1"/>
  <c r="H28" i="13"/>
  <c r="J27" i="13"/>
  <c r="K27" i="13" s="1"/>
  <c r="H27" i="13"/>
  <c r="J26" i="13"/>
  <c r="K26" i="13" s="1"/>
  <c r="H26" i="13"/>
  <c r="J25" i="13"/>
  <c r="K25" i="13" s="1"/>
  <c r="H25" i="13"/>
  <c r="J24" i="13"/>
  <c r="K24" i="13" s="1"/>
  <c r="K29" i="13" s="1"/>
  <c r="H24" i="13"/>
  <c r="J20" i="13"/>
  <c r="K20" i="13" s="1"/>
  <c r="H20" i="13"/>
  <c r="J19" i="13"/>
  <c r="K19" i="13" s="1"/>
  <c r="H19" i="13"/>
  <c r="J18" i="13"/>
  <c r="K18" i="13" s="1"/>
  <c r="H18" i="13"/>
  <c r="J17" i="13"/>
  <c r="K17" i="13" s="1"/>
  <c r="H17" i="13"/>
  <c r="J16" i="13"/>
  <c r="K16" i="13" s="1"/>
  <c r="H16" i="13"/>
  <c r="J15" i="13"/>
  <c r="K15" i="13" s="1"/>
  <c r="H15" i="13"/>
  <c r="J14" i="13"/>
  <c r="K14" i="13" s="1"/>
  <c r="K21" i="13" s="1"/>
  <c r="H14" i="13"/>
  <c r="J10" i="13"/>
  <c r="K10" i="13" s="1"/>
  <c r="H10" i="13"/>
  <c r="J9" i="13"/>
  <c r="K9" i="13" s="1"/>
  <c r="H9" i="13"/>
  <c r="J8" i="13"/>
  <c r="K8" i="13" s="1"/>
  <c r="H8" i="13"/>
  <c r="J7" i="13"/>
  <c r="K7" i="13" s="1"/>
  <c r="H7" i="13"/>
  <c r="J6" i="13"/>
  <c r="K6" i="13" s="1"/>
  <c r="K11" i="13" s="1"/>
  <c r="H6" i="13"/>
  <c r="A1" i="13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A1" i="12"/>
  <c r="A1" i="11"/>
  <c r="J8" i="10"/>
  <c r="J7" i="10"/>
  <c r="J6" i="10"/>
  <c r="A1" i="10"/>
  <c r="I26" i="9"/>
  <c r="H26" i="9"/>
  <c r="I22" i="9"/>
  <c r="H22" i="9"/>
  <c r="I18" i="9"/>
  <c r="H18" i="9"/>
  <c r="I14" i="9"/>
  <c r="H14" i="9"/>
  <c r="I10" i="9"/>
  <c r="H10" i="9"/>
  <c r="I6" i="9"/>
  <c r="H6" i="9"/>
  <c r="A1" i="9"/>
  <c r="J6" i="8"/>
  <c r="A1" i="8"/>
  <c r="J20" i="7"/>
  <c r="K20" i="7" s="1"/>
  <c r="L20" i="7" s="1"/>
  <c r="J7" i="7"/>
  <c r="K7" i="7" s="1"/>
  <c r="L7" i="7" s="1"/>
  <c r="J5" i="7"/>
  <c r="K5" i="7" s="1"/>
  <c r="L5" i="7" s="1"/>
  <c r="J4" i="7"/>
  <c r="A1" i="7"/>
  <c r="J140" i="6"/>
  <c r="K140" i="6" s="1"/>
  <c r="H140" i="6"/>
  <c r="C140" i="6"/>
  <c r="I140" i="6" s="1"/>
  <c r="J139" i="6"/>
  <c r="K139" i="6" s="1"/>
  <c r="H139" i="6"/>
  <c r="C139" i="6"/>
  <c r="I139" i="6" s="1"/>
  <c r="J138" i="6"/>
  <c r="K138" i="6" s="1"/>
  <c r="H138" i="6"/>
  <c r="C138" i="6"/>
  <c r="I138" i="6" s="1"/>
  <c r="J137" i="6"/>
  <c r="K137" i="6" s="1"/>
  <c r="H137" i="6"/>
  <c r="C137" i="6"/>
  <c r="I137" i="6" s="1"/>
  <c r="J136" i="6"/>
  <c r="H136" i="6"/>
  <c r="H141" i="6" s="1"/>
  <c r="J131" i="6"/>
  <c r="K131" i="6" s="1"/>
  <c r="H131" i="6"/>
  <c r="C131" i="6"/>
  <c r="I131" i="6" s="1"/>
  <c r="J130" i="6"/>
  <c r="K130" i="6" s="1"/>
  <c r="H130" i="6"/>
  <c r="C130" i="6"/>
  <c r="I130" i="6" s="1"/>
  <c r="J129" i="6"/>
  <c r="K129" i="6" s="1"/>
  <c r="H129" i="6"/>
  <c r="C129" i="6"/>
  <c r="I129" i="6" s="1"/>
  <c r="J128" i="6"/>
  <c r="K128" i="6" s="1"/>
  <c r="H128" i="6"/>
  <c r="C128" i="6"/>
  <c r="I128" i="6" s="1"/>
  <c r="J127" i="6"/>
  <c r="H127" i="6"/>
  <c r="H132" i="6" s="1"/>
  <c r="H143" i="6" s="1"/>
  <c r="J118" i="6"/>
  <c r="K118" i="6" s="1"/>
  <c r="H118" i="6"/>
  <c r="C118" i="6"/>
  <c r="I118" i="6" s="1"/>
  <c r="J117" i="6"/>
  <c r="K117" i="6" s="1"/>
  <c r="H117" i="6"/>
  <c r="C117" i="6"/>
  <c r="I117" i="6" s="1"/>
  <c r="J116" i="6"/>
  <c r="K116" i="6" s="1"/>
  <c r="H116" i="6"/>
  <c r="C116" i="6"/>
  <c r="I116" i="6" s="1"/>
  <c r="J115" i="6"/>
  <c r="K115" i="6" s="1"/>
  <c r="H115" i="6"/>
  <c r="C115" i="6"/>
  <c r="I115" i="6" s="1"/>
  <c r="J114" i="6"/>
  <c r="H114" i="6"/>
  <c r="H119" i="6" s="1"/>
  <c r="H19" i="7" s="1"/>
  <c r="J109" i="6"/>
  <c r="K109" i="6" s="1"/>
  <c r="H109" i="6"/>
  <c r="C109" i="6"/>
  <c r="I109" i="6" s="1"/>
  <c r="J108" i="6"/>
  <c r="K108" i="6" s="1"/>
  <c r="H108" i="6"/>
  <c r="C108" i="6"/>
  <c r="I108" i="6" s="1"/>
  <c r="J107" i="6"/>
  <c r="K107" i="6" s="1"/>
  <c r="H107" i="6"/>
  <c r="C107" i="6"/>
  <c r="I107" i="6" s="1"/>
  <c r="J106" i="6"/>
  <c r="K106" i="6" s="1"/>
  <c r="H106" i="6"/>
  <c r="C106" i="6"/>
  <c r="I106" i="6" s="1"/>
  <c r="J105" i="6"/>
  <c r="H105" i="6"/>
  <c r="H110" i="6" s="1"/>
  <c r="H18" i="7" s="1"/>
  <c r="J100" i="6"/>
  <c r="K100" i="6" s="1"/>
  <c r="H100" i="6"/>
  <c r="C100" i="6"/>
  <c r="I100" i="6" s="1"/>
  <c r="J99" i="6"/>
  <c r="K99" i="6" s="1"/>
  <c r="H99" i="6"/>
  <c r="C99" i="6"/>
  <c r="I99" i="6" s="1"/>
  <c r="J98" i="6"/>
  <c r="K98" i="6" s="1"/>
  <c r="H98" i="6"/>
  <c r="C98" i="6"/>
  <c r="I98" i="6" s="1"/>
  <c r="J97" i="6"/>
  <c r="K97" i="6" s="1"/>
  <c r="H97" i="6"/>
  <c r="C97" i="6"/>
  <c r="I97" i="6" s="1"/>
  <c r="J96" i="6"/>
  <c r="H96" i="6"/>
  <c r="H101" i="6" s="1"/>
  <c r="H17" i="7" s="1"/>
  <c r="J91" i="6"/>
  <c r="K91" i="6" s="1"/>
  <c r="H91" i="6"/>
  <c r="C91" i="6"/>
  <c r="I91" i="6" s="1"/>
  <c r="J90" i="6"/>
  <c r="K90" i="6" s="1"/>
  <c r="H90" i="6"/>
  <c r="C90" i="6"/>
  <c r="I90" i="6" s="1"/>
  <c r="J89" i="6"/>
  <c r="K89" i="6" s="1"/>
  <c r="H89" i="6"/>
  <c r="C89" i="6"/>
  <c r="I89" i="6" s="1"/>
  <c r="J88" i="6"/>
  <c r="K88" i="6" s="1"/>
  <c r="H88" i="6"/>
  <c r="C88" i="6"/>
  <c r="I88" i="6" s="1"/>
  <c r="J87" i="6"/>
  <c r="H87" i="6"/>
  <c r="H92" i="6" s="1"/>
  <c r="H16" i="7" s="1"/>
  <c r="J82" i="6"/>
  <c r="K82" i="6" s="1"/>
  <c r="H82" i="6"/>
  <c r="C82" i="6"/>
  <c r="I82" i="6" s="1"/>
  <c r="J81" i="6"/>
  <c r="K81" i="6" s="1"/>
  <c r="H81" i="6"/>
  <c r="C81" i="6"/>
  <c r="I81" i="6" s="1"/>
  <c r="J80" i="6"/>
  <c r="K80" i="6" s="1"/>
  <c r="H80" i="6"/>
  <c r="C80" i="6"/>
  <c r="I80" i="6" s="1"/>
  <c r="J79" i="6"/>
  <c r="H79" i="6"/>
  <c r="H83" i="6" s="1"/>
  <c r="H15" i="7" s="1"/>
  <c r="C79" i="6"/>
  <c r="I79" i="6" s="1"/>
  <c r="J74" i="6"/>
  <c r="K74" i="6" s="1"/>
  <c r="H74" i="6"/>
  <c r="C74" i="6"/>
  <c r="I74" i="6" s="1"/>
  <c r="J73" i="6"/>
  <c r="K73" i="6" s="1"/>
  <c r="H73" i="6"/>
  <c r="C73" i="6"/>
  <c r="I73" i="6" s="1"/>
  <c r="J72" i="6"/>
  <c r="K72" i="6" s="1"/>
  <c r="H72" i="6"/>
  <c r="C72" i="6"/>
  <c r="I72" i="6" s="1"/>
  <c r="J71" i="6"/>
  <c r="K71" i="6" s="1"/>
  <c r="H71" i="6"/>
  <c r="C71" i="6"/>
  <c r="I71" i="6" s="1"/>
  <c r="J70" i="6"/>
  <c r="H70" i="6"/>
  <c r="H75" i="6" s="1"/>
  <c r="H14" i="7" s="1"/>
  <c r="J65" i="6"/>
  <c r="K65" i="6" s="1"/>
  <c r="H65" i="6"/>
  <c r="C65" i="6"/>
  <c r="I65" i="6" s="1"/>
  <c r="J64" i="6"/>
  <c r="K64" i="6" s="1"/>
  <c r="H64" i="6"/>
  <c r="C64" i="6"/>
  <c r="I64" i="6" s="1"/>
  <c r="J63" i="6"/>
  <c r="K63" i="6" s="1"/>
  <c r="H63" i="6"/>
  <c r="C63" i="6"/>
  <c r="I63" i="6" s="1"/>
  <c r="J62" i="6"/>
  <c r="H62" i="6"/>
  <c r="H66" i="6" s="1"/>
  <c r="H13" i="7" s="1"/>
  <c r="C62" i="6"/>
  <c r="I62" i="6" s="1"/>
  <c r="J57" i="6"/>
  <c r="K57" i="6" s="1"/>
  <c r="H57" i="6"/>
  <c r="C57" i="6"/>
  <c r="I57" i="6" s="1"/>
  <c r="J56" i="6"/>
  <c r="K56" i="6" s="1"/>
  <c r="H56" i="6"/>
  <c r="C56" i="6"/>
  <c r="I56" i="6" s="1"/>
  <c r="J55" i="6"/>
  <c r="K55" i="6" s="1"/>
  <c r="H55" i="6"/>
  <c r="C55" i="6"/>
  <c r="I55" i="6" s="1"/>
  <c r="J54" i="6"/>
  <c r="K54" i="6" s="1"/>
  <c r="H54" i="6"/>
  <c r="C54" i="6"/>
  <c r="I54" i="6" s="1"/>
  <c r="J53" i="6"/>
  <c r="H53" i="6"/>
  <c r="H58" i="6" s="1"/>
  <c r="H12" i="7" s="1"/>
  <c r="J48" i="6"/>
  <c r="K48" i="6" s="1"/>
  <c r="H48" i="6"/>
  <c r="C48" i="6"/>
  <c r="I48" i="6" s="1"/>
  <c r="J47" i="6"/>
  <c r="K47" i="6" s="1"/>
  <c r="H47" i="6"/>
  <c r="C47" i="6"/>
  <c r="I47" i="6" s="1"/>
  <c r="J46" i="6"/>
  <c r="K46" i="6" s="1"/>
  <c r="H46" i="6"/>
  <c r="C46" i="6"/>
  <c r="I46" i="6" s="1"/>
  <c r="J45" i="6"/>
  <c r="K45" i="6" s="1"/>
  <c r="H45" i="6"/>
  <c r="C45" i="6"/>
  <c r="I45" i="6" s="1"/>
  <c r="J44" i="6"/>
  <c r="H44" i="6"/>
  <c r="H49" i="6" s="1"/>
  <c r="H11" i="7" s="1"/>
  <c r="J39" i="6"/>
  <c r="K39" i="6" s="1"/>
  <c r="H39" i="6"/>
  <c r="C39" i="6"/>
  <c r="I39" i="6" s="1"/>
  <c r="J38" i="6"/>
  <c r="K38" i="6" s="1"/>
  <c r="H38" i="6"/>
  <c r="C38" i="6"/>
  <c r="I38" i="6" s="1"/>
  <c r="J37" i="6"/>
  <c r="K37" i="6" s="1"/>
  <c r="H37" i="6"/>
  <c r="C37" i="6"/>
  <c r="I37" i="6" s="1"/>
  <c r="J36" i="6"/>
  <c r="K36" i="6" s="1"/>
  <c r="H36" i="6"/>
  <c r="C36" i="6"/>
  <c r="I36" i="6" s="1"/>
  <c r="J35" i="6"/>
  <c r="H35" i="6"/>
  <c r="H40" i="6" s="1"/>
  <c r="H10" i="7" s="1"/>
  <c r="J30" i="6"/>
  <c r="K30" i="6" s="1"/>
  <c r="H30" i="6"/>
  <c r="C30" i="6"/>
  <c r="I30" i="6" s="1"/>
  <c r="J29" i="6"/>
  <c r="K29" i="6" s="1"/>
  <c r="H29" i="6"/>
  <c r="C29" i="6"/>
  <c r="I29" i="6" s="1"/>
  <c r="J28" i="6"/>
  <c r="K28" i="6" s="1"/>
  <c r="H28" i="6"/>
  <c r="C28" i="6"/>
  <c r="I28" i="6" s="1"/>
  <c r="J27" i="6"/>
  <c r="K27" i="6" s="1"/>
  <c r="H27" i="6"/>
  <c r="C27" i="6"/>
  <c r="I27" i="6" s="1"/>
  <c r="J26" i="6"/>
  <c r="H26" i="6"/>
  <c r="H31" i="6" s="1"/>
  <c r="H9" i="7" s="1"/>
  <c r="J21" i="6"/>
  <c r="K21" i="6" s="1"/>
  <c r="H21" i="6"/>
  <c r="C21" i="6"/>
  <c r="I21" i="6" s="1"/>
  <c r="J20" i="6"/>
  <c r="K20" i="6" s="1"/>
  <c r="H20" i="6"/>
  <c r="C20" i="6"/>
  <c r="I20" i="6" s="1"/>
  <c r="J19" i="6"/>
  <c r="K19" i="6" s="1"/>
  <c r="H19" i="6"/>
  <c r="C19" i="6"/>
  <c r="I19" i="6" s="1"/>
  <c r="J18" i="6"/>
  <c r="K18" i="6" s="1"/>
  <c r="H18" i="6"/>
  <c r="C18" i="6"/>
  <c r="I18" i="6" s="1"/>
  <c r="J17" i="6"/>
  <c r="H17" i="6"/>
  <c r="H22" i="6" s="1"/>
  <c r="H8" i="7" s="1"/>
  <c r="J12" i="6"/>
  <c r="K12" i="6" s="1"/>
  <c r="H12" i="6"/>
  <c r="C12" i="6"/>
  <c r="I12" i="6" s="1"/>
  <c r="J11" i="6"/>
  <c r="K11" i="6" s="1"/>
  <c r="H11" i="6"/>
  <c r="C11" i="6"/>
  <c r="I11" i="6" s="1"/>
  <c r="J10" i="6"/>
  <c r="K10" i="6" s="1"/>
  <c r="H10" i="6"/>
  <c r="C10" i="6"/>
  <c r="I10" i="6" s="1"/>
  <c r="J9" i="6"/>
  <c r="K9" i="6" s="1"/>
  <c r="H9" i="6"/>
  <c r="C9" i="6"/>
  <c r="I9" i="6" s="1"/>
  <c r="J8" i="6"/>
  <c r="H8" i="6"/>
  <c r="H13" i="6" s="1"/>
  <c r="A1" i="6"/>
  <c r="A1" i="5"/>
  <c r="H68" i="4"/>
  <c r="H67" i="4"/>
  <c r="H66" i="4"/>
  <c r="G66" i="4"/>
  <c r="H65" i="4"/>
  <c r="G65" i="4"/>
  <c r="H64" i="4"/>
  <c r="G64" i="4"/>
  <c r="H63" i="4"/>
  <c r="G63" i="4"/>
  <c r="H62" i="4"/>
  <c r="G62" i="4"/>
  <c r="H61" i="4"/>
  <c r="G61" i="4"/>
  <c r="I87" i="3"/>
  <c r="G87" i="3"/>
  <c r="I86" i="3"/>
  <c r="G86" i="3"/>
  <c r="I85" i="3"/>
  <c r="G85" i="3"/>
  <c r="I84" i="3"/>
  <c r="G84" i="3"/>
  <c r="I83" i="3"/>
  <c r="G83" i="3"/>
  <c r="I82" i="3"/>
  <c r="G82" i="3"/>
  <c r="I81" i="3"/>
  <c r="G81" i="3"/>
  <c r="I80" i="3"/>
  <c r="G80" i="3"/>
  <c r="I79" i="3"/>
  <c r="G79" i="3"/>
  <c r="I78" i="3"/>
  <c r="G78" i="3"/>
  <c r="I77" i="3"/>
  <c r="G77" i="3"/>
  <c r="I76" i="3"/>
  <c r="G76" i="3"/>
  <c r="J65" i="3"/>
  <c r="J63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I28" i="3"/>
  <c r="G28" i="3"/>
  <c r="I27" i="3"/>
  <c r="G27" i="3"/>
  <c r="I26" i="3"/>
  <c r="G26" i="3"/>
  <c r="I25" i="3"/>
  <c r="G25" i="3"/>
  <c r="I24" i="3"/>
  <c r="G24" i="3"/>
  <c r="I23" i="3"/>
  <c r="G23" i="3"/>
  <c r="I22" i="3"/>
  <c r="G22" i="3"/>
  <c r="I21" i="3"/>
  <c r="G21" i="3"/>
  <c r="I20" i="3"/>
  <c r="G20" i="3"/>
  <c r="I19" i="3"/>
  <c r="G19" i="3"/>
  <c r="I18" i="3"/>
  <c r="G18" i="3"/>
  <c r="I17" i="3"/>
  <c r="G17" i="3"/>
  <c r="I16" i="3"/>
  <c r="G16" i="3"/>
  <c r="I15" i="3"/>
  <c r="G15" i="3"/>
  <c r="I14" i="3"/>
  <c r="G14" i="3"/>
  <c r="I13" i="3"/>
  <c r="G13" i="3"/>
  <c r="I12" i="3"/>
  <c r="G12" i="3"/>
  <c r="I11" i="3"/>
  <c r="G11" i="3"/>
  <c r="I10" i="3"/>
  <c r="G10" i="3"/>
  <c r="I9" i="3"/>
  <c r="G9" i="3"/>
  <c r="I8" i="3"/>
  <c r="G8" i="3"/>
  <c r="I7" i="3"/>
  <c r="G7" i="3"/>
  <c r="I6" i="3"/>
  <c r="G6" i="3"/>
  <c r="A1" i="3"/>
  <c r="A1" i="2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C87" i="6" l="1"/>
  <c r="I87" i="6" s="1"/>
  <c r="E53" i="4"/>
  <c r="E24" i="4"/>
  <c r="F54" i="3"/>
  <c r="F25" i="3"/>
  <c r="C8" i="6"/>
  <c r="I8" i="6" s="1"/>
  <c r="E56" i="4"/>
  <c r="E55" i="4"/>
  <c r="E50" i="4"/>
  <c r="E47" i="4"/>
  <c r="E42" i="4"/>
  <c r="E38" i="4"/>
  <c r="E34" i="4"/>
  <c r="E32" i="4"/>
  <c r="E29" i="4"/>
  <c r="E27" i="4"/>
  <c r="E25" i="4"/>
  <c r="E20" i="4"/>
  <c r="E12" i="4"/>
  <c r="E9" i="4"/>
  <c r="F57" i="3"/>
  <c r="F56" i="3"/>
  <c r="F51" i="3"/>
  <c r="F48" i="3"/>
  <c r="F43" i="3"/>
  <c r="F39" i="3"/>
  <c r="F35" i="3"/>
  <c r="F33" i="3"/>
  <c r="F30" i="3"/>
  <c r="F28" i="3"/>
  <c r="F26" i="3"/>
  <c r="F21" i="3"/>
  <c r="F13" i="3"/>
  <c r="F10" i="3"/>
  <c r="C114" i="6"/>
  <c r="I114" i="6" s="1"/>
  <c r="C105" i="6"/>
  <c r="I105" i="6" s="1"/>
  <c r="C96" i="6"/>
  <c r="I96" i="6" s="1"/>
  <c r="C70" i="6"/>
  <c r="I70" i="6" s="1"/>
  <c r="C53" i="6"/>
  <c r="I53" i="6" s="1"/>
  <c r="E60" i="4"/>
  <c r="E59" i="4"/>
  <c r="E58" i="4"/>
  <c r="E57" i="4"/>
  <c r="E54" i="4"/>
  <c r="E49" i="4"/>
  <c r="E46" i="4"/>
  <c r="E41" i="4"/>
  <c r="E37" i="4"/>
  <c r="E33" i="4"/>
  <c r="E31" i="4"/>
  <c r="E28" i="4"/>
  <c r="E26" i="4"/>
  <c r="E22" i="4"/>
  <c r="E19" i="4"/>
  <c r="E15" i="4"/>
  <c r="E13" i="4"/>
  <c r="E11" i="4"/>
  <c r="E8" i="4"/>
  <c r="F61" i="3"/>
  <c r="F60" i="3"/>
  <c r="F59" i="3"/>
  <c r="F58" i="3"/>
  <c r="F55" i="3"/>
  <c r="F50" i="3"/>
  <c r="F47" i="3"/>
  <c r="F42" i="3"/>
  <c r="F38" i="3"/>
  <c r="F34" i="3"/>
  <c r="F32" i="3"/>
  <c r="F29" i="3"/>
  <c r="F27" i="3"/>
  <c r="F23" i="3"/>
  <c r="F20" i="3"/>
  <c r="F16" i="3"/>
  <c r="F14" i="3"/>
  <c r="F12" i="3"/>
  <c r="F9" i="3"/>
  <c r="C17" i="6"/>
  <c r="I17" i="6" s="1"/>
  <c r="E40" i="4"/>
  <c r="E18" i="4"/>
  <c r="F41" i="3"/>
  <c r="F19" i="3"/>
  <c r="E64" i="4"/>
  <c r="E39" i="4"/>
  <c r="E36" i="4"/>
  <c r="F65" i="3"/>
  <c r="F40" i="3"/>
  <c r="F37" i="3"/>
  <c r="E68" i="4"/>
  <c r="E45" i="4"/>
  <c r="E17" i="4"/>
  <c r="E6" i="4"/>
  <c r="E5" i="4"/>
  <c r="F69" i="3"/>
  <c r="J69" i="3" s="1"/>
  <c r="F46" i="3"/>
  <c r="F18" i="3"/>
  <c r="F7" i="3"/>
  <c r="F6" i="3"/>
  <c r="C136" i="6"/>
  <c r="I136" i="6" s="1"/>
  <c r="C127" i="6"/>
  <c r="I127" i="6" s="1"/>
  <c r="E82" i="4"/>
  <c r="E81" i="4"/>
  <c r="E80" i="4"/>
  <c r="E79" i="4"/>
  <c r="E78" i="4"/>
  <c r="E77" i="4"/>
  <c r="E76" i="4"/>
  <c r="E75" i="4"/>
  <c r="E74" i="4"/>
  <c r="E73" i="4"/>
  <c r="E72" i="4"/>
  <c r="E71" i="4"/>
  <c r="E52" i="4"/>
  <c r="E44" i="4"/>
  <c r="E23" i="4"/>
  <c r="E21" i="4"/>
  <c r="E16" i="4"/>
  <c r="F87" i="3"/>
  <c r="F86" i="3"/>
  <c r="F85" i="3"/>
  <c r="F84" i="3"/>
  <c r="F83" i="3"/>
  <c r="F82" i="3"/>
  <c r="F81" i="3"/>
  <c r="F80" i="3"/>
  <c r="F79" i="3"/>
  <c r="F78" i="3"/>
  <c r="F77" i="3"/>
  <c r="F76" i="3"/>
  <c r="F53" i="3"/>
  <c r="F45" i="3"/>
  <c r="F24" i="3"/>
  <c r="F22" i="3"/>
  <c r="F17" i="3"/>
  <c r="C44" i="6"/>
  <c r="I44" i="6" s="1"/>
  <c r="C35" i="6"/>
  <c r="I35" i="6" s="1"/>
  <c r="C26" i="6"/>
  <c r="I26" i="6" s="1"/>
  <c r="E51" i="4"/>
  <c r="E43" i="4"/>
  <c r="E35" i="4"/>
  <c r="E30" i="4"/>
  <c r="E14" i="4"/>
  <c r="E10" i="4"/>
  <c r="F52" i="3"/>
  <c r="F44" i="3"/>
  <c r="F36" i="3"/>
  <c r="F31" i="3"/>
  <c r="F15" i="3"/>
  <c r="F11" i="3"/>
  <c r="C8" i="10"/>
  <c r="K8" i="10" s="1"/>
  <c r="L8" i="10" s="1"/>
  <c r="C7" i="10"/>
  <c r="K7" i="10" s="1"/>
  <c r="L7" i="10" s="1"/>
  <c r="C6" i="10"/>
  <c r="K6" i="10" s="1"/>
  <c r="E65" i="4"/>
  <c r="E63" i="4"/>
  <c r="E48" i="4"/>
  <c r="F66" i="3"/>
  <c r="J66" i="3" s="1"/>
  <c r="F64" i="3"/>
  <c r="J64" i="3" s="1"/>
  <c r="F49" i="3"/>
  <c r="C64" i="13"/>
  <c r="L64" i="13" s="1"/>
  <c r="M64" i="13" s="1"/>
  <c r="C63" i="13"/>
  <c r="L63" i="13" s="1"/>
  <c r="M63" i="13" s="1"/>
  <c r="C62" i="13"/>
  <c r="L62" i="13" s="1"/>
  <c r="C58" i="13"/>
  <c r="L58" i="13" s="1"/>
  <c r="M58" i="13" s="1"/>
  <c r="C57" i="13"/>
  <c r="L57" i="13" s="1"/>
  <c r="C53" i="13"/>
  <c r="L53" i="13" s="1"/>
  <c r="M53" i="13" s="1"/>
  <c r="C52" i="13"/>
  <c r="L52" i="13" s="1"/>
  <c r="C47" i="13"/>
  <c r="L47" i="13" s="1"/>
  <c r="M47" i="13" s="1"/>
  <c r="C46" i="13"/>
  <c r="L46" i="13" s="1"/>
  <c r="C42" i="13"/>
  <c r="L42" i="13" s="1"/>
  <c r="M42" i="13" s="1"/>
  <c r="C41" i="13"/>
  <c r="L41" i="13" s="1"/>
  <c r="C36" i="13"/>
  <c r="L36" i="13" s="1"/>
  <c r="M36" i="13" s="1"/>
  <c r="C34" i="13"/>
  <c r="L34" i="13" s="1"/>
  <c r="M34" i="13" s="1"/>
  <c r="C33" i="13"/>
  <c r="L33" i="13" s="1"/>
  <c r="M33" i="13" s="1"/>
  <c r="C32" i="13"/>
  <c r="L32" i="13" s="1"/>
  <c r="C26" i="13"/>
  <c r="L26" i="13" s="1"/>
  <c r="M26" i="13" s="1"/>
  <c r="C25" i="13"/>
  <c r="L25" i="13" s="1"/>
  <c r="M25" i="13" s="1"/>
  <c r="C24" i="13"/>
  <c r="L24" i="13" s="1"/>
  <c r="C17" i="13"/>
  <c r="L17" i="13" s="1"/>
  <c r="M17" i="13" s="1"/>
  <c r="C16" i="13"/>
  <c r="L16" i="13" s="1"/>
  <c r="M16" i="13" s="1"/>
  <c r="C15" i="13"/>
  <c r="L15" i="13" s="1"/>
  <c r="M15" i="13" s="1"/>
  <c r="C14" i="13"/>
  <c r="L14" i="13" s="1"/>
  <c r="C8" i="13"/>
  <c r="L8" i="13" s="1"/>
  <c r="M8" i="13" s="1"/>
  <c r="C7" i="13"/>
  <c r="L7" i="13" s="1"/>
  <c r="M7" i="13" s="1"/>
  <c r="C6" i="13"/>
  <c r="L6" i="13" s="1"/>
  <c r="C15" i="12"/>
  <c r="K15" i="12" s="1"/>
  <c r="L15" i="12" s="1"/>
  <c r="C12" i="12"/>
  <c r="K12" i="12" s="1"/>
  <c r="L12" i="12" s="1"/>
  <c r="C11" i="12"/>
  <c r="K11" i="12" s="1"/>
  <c r="L11" i="12" s="1"/>
  <c r="C9" i="12"/>
  <c r="K9" i="12" s="1"/>
  <c r="L9" i="12" s="1"/>
  <c r="C7" i="12"/>
  <c r="K7" i="12" s="1"/>
  <c r="L7" i="12" s="1"/>
  <c r="C96" i="13"/>
  <c r="L96" i="13" s="1"/>
  <c r="M96" i="13" s="1"/>
  <c r="C95" i="13"/>
  <c r="L95" i="13" s="1"/>
  <c r="M95" i="13" s="1"/>
  <c r="C94" i="13"/>
  <c r="L94" i="13" s="1"/>
  <c r="C89" i="13"/>
  <c r="L89" i="13" s="1"/>
  <c r="M89" i="13" s="1"/>
  <c r="C88" i="13"/>
  <c r="L88" i="13" s="1"/>
  <c r="M88" i="13" s="1"/>
  <c r="C87" i="13"/>
  <c r="L87" i="13" s="1"/>
  <c r="C82" i="13"/>
  <c r="L82" i="13" s="1"/>
  <c r="M82" i="13" s="1"/>
  <c r="C81" i="13"/>
  <c r="L81" i="13" s="1"/>
  <c r="M81" i="13" s="1"/>
  <c r="C80" i="13"/>
  <c r="L80" i="13" s="1"/>
  <c r="C76" i="13"/>
  <c r="L76" i="13" s="1"/>
  <c r="M76" i="13" s="1"/>
  <c r="C75" i="13"/>
  <c r="L75" i="13" s="1"/>
  <c r="M75" i="13" s="1"/>
  <c r="C74" i="13"/>
  <c r="L74" i="13" s="1"/>
  <c r="C70" i="13"/>
  <c r="L70" i="13" s="1"/>
  <c r="M70" i="13" s="1"/>
  <c r="C69" i="13"/>
  <c r="L69" i="13" s="1"/>
  <c r="M69" i="13" s="1"/>
  <c r="C68" i="13"/>
  <c r="L68" i="13" s="1"/>
  <c r="C37" i="13"/>
  <c r="L37" i="13" s="1"/>
  <c r="M37" i="13" s="1"/>
  <c r="C18" i="12"/>
  <c r="K18" i="12" s="1"/>
  <c r="L18" i="12" s="1"/>
  <c r="C10" i="12"/>
  <c r="K10" i="12" s="1"/>
  <c r="L10" i="12" s="1"/>
  <c r="C8" i="12"/>
  <c r="K8" i="12" s="1"/>
  <c r="L8" i="12" s="1"/>
  <c r="C6" i="12"/>
  <c r="K6" i="12" s="1"/>
  <c r="E62" i="4"/>
  <c r="F63" i="3"/>
  <c r="C90" i="13"/>
  <c r="L90" i="13" s="1"/>
  <c r="M90" i="13" s="1"/>
  <c r="C83" i="13"/>
  <c r="L83" i="13" s="1"/>
  <c r="M83" i="13" s="1"/>
  <c r="C48" i="13"/>
  <c r="L48" i="13" s="1"/>
  <c r="M48" i="13" s="1"/>
  <c r="C35" i="13"/>
  <c r="L35" i="13" s="1"/>
  <c r="M35" i="13" s="1"/>
  <c r="C28" i="13"/>
  <c r="L28" i="13" s="1"/>
  <c r="M28" i="13" s="1"/>
  <c r="C27" i="13"/>
  <c r="L27" i="13" s="1"/>
  <c r="M27" i="13" s="1"/>
  <c r="C20" i="13"/>
  <c r="L20" i="13" s="1"/>
  <c r="M20" i="13" s="1"/>
  <c r="C19" i="13"/>
  <c r="L19" i="13" s="1"/>
  <c r="M19" i="13" s="1"/>
  <c r="C18" i="13"/>
  <c r="L18" i="13" s="1"/>
  <c r="M18" i="13" s="1"/>
  <c r="C10" i="13"/>
  <c r="L10" i="13" s="1"/>
  <c r="M10" i="13" s="1"/>
  <c r="C9" i="13"/>
  <c r="L9" i="13" s="1"/>
  <c r="M9" i="13" s="1"/>
  <c r="C19" i="12"/>
  <c r="K19" i="12" s="1"/>
  <c r="L19" i="12" s="1"/>
  <c r="C17" i="12"/>
  <c r="K17" i="12" s="1"/>
  <c r="L17" i="12" s="1"/>
  <c r="C16" i="12"/>
  <c r="K16" i="12" s="1"/>
  <c r="L16" i="12" s="1"/>
  <c r="C14" i="12"/>
  <c r="K14" i="12" s="1"/>
  <c r="L14" i="12" s="1"/>
  <c r="C13" i="12"/>
  <c r="K13" i="12" s="1"/>
  <c r="L13" i="12" s="1"/>
  <c r="C26" i="9"/>
  <c r="C22" i="9"/>
  <c r="C18" i="9"/>
  <c r="C14" i="9"/>
  <c r="C10" i="9"/>
  <c r="C6" i="9"/>
  <c r="C6" i="8"/>
  <c r="K6" i="8" s="1"/>
  <c r="E67" i="4"/>
  <c r="E66" i="4"/>
  <c r="E61" i="4"/>
  <c r="E7" i="4"/>
  <c r="F68" i="3"/>
  <c r="K68" i="3" s="1"/>
  <c r="M68" i="3" s="1"/>
  <c r="F67" i="3"/>
  <c r="J67" i="3" s="1"/>
  <c r="F62" i="3"/>
  <c r="J62" i="3" s="1"/>
  <c r="F8" i="3"/>
  <c r="G5" i="4"/>
  <c r="J6" i="3"/>
  <c r="H5" i="4"/>
  <c r="K6" i="3"/>
  <c r="G6" i="4"/>
  <c r="J7" i="3"/>
  <c r="L7" i="3" s="1"/>
  <c r="M7" i="3" s="1"/>
  <c r="H6" i="4"/>
  <c r="K7" i="3"/>
  <c r="G7" i="4"/>
  <c r="J8" i="3"/>
  <c r="L8" i="3" s="1"/>
  <c r="M8" i="3" s="1"/>
  <c r="H7" i="4"/>
  <c r="K8" i="3"/>
  <c r="G8" i="4"/>
  <c r="J9" i="3"/>
  <c r="L9" i="3" s="1"/>
  <c r="M9" i="3" s="1"/>
  <c r="H8" i="4"/>
  <c r="K9" i="3"/>
  <c r="G9" i="4"/>
  <c r="J10" i="3"/>
  <c r="L10" i="3" s="1"/>
  <c r="M10" i="3" s="1"/>
  <c r="H9" i="4"/>
  <c r="K10" i="3"/>
  <c r="G10" i="4"/>
  <c r="J11" i="3"/>
  <c r="L11" i="3" s="1"/>
  <c r="M11" i="3" s="1"/>
  <c r="H10" i="4"/>
  <c r="K11" i="3"/>
  <c r="G11" i="4"/>
  <c r="J12" i="3"/>
  <c r="L12" i="3" s="1"/>
  <c r="M12" i="3" s="1"/>
  <c r="H11" i="4"/>
  <c r="K12" i="3"/>
  <c r="G12" i="4"/>
  <c r="J13" i="3"/>
  <c r="L13" i="3" s="1"/>
  <c r="M13" i="3" s="1"/>
  <c r="H12" i="4"/>
  <c r="K13" i="3"/>
  <c r="G13" i="4"/>
  <c r="J14" i="3"/>
  <c r="L14" i="3" s="1"/>
  <c r="M14" i="3" s="1"/>
  <c r="H13" i="4"/>
  <c r="K14" i="3"/>
  <c r="G14" i="4"/>
  <c r="J15" i="3"/>
  <c r="L15" i="3" s="1"/>
  <c r="M15" i="3" s="1"/>
  <c r="H14" i="4"/>
  <c r="K15" i="3"/>
  <c r="G15" i="4"/>
  <c r="J16" i="3"/>
  <c r="L16" i="3" s="1"/>
  <c r="M16" i="3" s="1"/>
  <c r="H15" i="4"/>
  <c r="K16" i="3"/>
  <c r="G16" i="4"/>
  <c r="J17" i="3"/>
  <c r="L17" i="3" s="1"/>
  <c r="M17" i="3" s="1"/>
  <c r="H16" i="4"/>
  <c r="K17" i="3"/>
  <c r="G17" i="4"/>
  <c r="J18" i="3"/>
  <c r="L18" i="3" s="1"/>
  <c r="M18" i="3" s="1"/>
  <c r="H17" i="4"/>
  <c r="K18" i="3"/>
  <c r="G18" i="4"/>
  <c r="J19" i="3"/>
  <c r="L19" i="3" s="1"/>
  <c r="M19" i="3" s="1"/>
  <c r="H18" i="4"/>
  <c r="K19" i="3"/>
  <c r="G19" i="4"/>
  <c r="J20" i="3"/>
  <c r="L20" i="3" s="1"/>
  <c r="M20" i="3" s="1"/>
  <c r="H19" i="4"/>
  <c r="K20" i="3"/>
  <c r="G20" i="4"/>
  <c r="J21" i="3"/>
  <c r="L21" i="3" s="1"/>
  <c r="M21" i="3" s="1"/>
  <c r="H20" i="4"/>
  <c r="K21" i="3"/>
  <c r="G21" i="4"/>
  <c r="J22" i="3"/>
  <c r="L22" i="3" s="1"/>
  <c r="M22" i="3" s="1"/>
  <c r="H21" i="4"/>
  <c r="K22" i="3"/>
  <c r="G22" i="4"/>
  <c r="J23" i="3"/>
  <c r="L23" i="3" s="1"/>
  <c r="M23" i="3" s="1"/>
  <c r="H22" i="4"/>
  <c r="K23" i="3"/>
  <c r="G23" i="4"/>
  <c r="J24" i="3"/>
  <c r="L24" i="3" s="1"/>
  <c r="M24" i="3" s="1"/>
  <c r="H23" i="4"/>
  <c r="K24" i="3"/>
  <c r="G24" i="4"/>
  <c r="J25" i="3"/>
  <c r="L25" i="3" s="1"/>
  <c r="M25" i="3" s="1"/>
  <c r="H24" i="4"/>
  <c r="K25" i="3"/>
  <c r="G25" i="4"/>
  <c r="J26" i="3"/>
  <c r="L26" i="3" s="1"/>
  <c r="M26" i="3" s="1"/>
  <c r="H25" i="4"/>
  <c r="K26" i="3"/>
  <c r="G26" i="4"/>
  <c r="J27" i="3"/>
  <c r="L27" i="3" s="1"/>
  <c r="M27" i="3" s="1"/>
  <c r="H26" i="4"/>
  <c r="K27" i="3"/>
  <c r="G27" i="4"/>
  <c r="J28" i="3"/>
  <c r="L28" i="3" s="1"/>
  <c r="M28" i="3" s="1"/>
  <c r="H27" i="4"/>
  <c r="K28" i="3"/>
  <c r="G28" i="4"/>
  <c r="J29" i="3"/>
  <c r="L29" i="3" s="1"/>
  <c r="M29" i="3" s="1"/>
  <c r="H28" i="4"/>
  <c r="K29" i="3"/>
  <c r="G29" i="4"/>
  <c r="J30" i="3"/>
  <c r="L30" i="3" s="1"/>
  <c r="M30" i="3" s="1"/>
  <c r="H29" i="4"/>
  <c r="K30" i="3"/>
  <c r="G30" i="4"/>
  <c r="J31" i="3"/>
  <c r="L31" i="3" s="1"/>
  <c r="M31" i="3" s="1"/>
  <c r="H30" i="4"/>
  <c r="K31" i="3"/>
  <c r="G31" i="4"/>
  <c r="J32" i="3"/>
  <c r="L32" i="3" s="1"/>
  <c r="M32" i="3" s="1"/>
  <c r="H31" i="4"/>
  <c r="K32" i="3"/>
  <c r="G32" i="4"/>
  <c r="J33" i="3"/>
  <c r="L33" i="3" s="1"/>
  <c r="M33" i="3" s="1"/>
  <c r="H32" i="4"/>
  <c r="K33" i="3"/>
  <c r="G33" i="4"/>
  <c r="J34" i="3"/>
  <c r="L34" i="3" s="1"/>
  <c r="M34" i="3" s="1"/>
  <c r="H33" i="4"/>
  <c r="K34" i="3"/>
  <c r="G34" i="4"/>
  <c r="J35" i="3"/>
  <c r="L35" i="3" s="1"/>
  <c r="M35" i="3" s="1"/>
  <c r="H34" i="4"/>
  <c r="K35" i="3"/>
  <c r="G35" i="4"/>
  <c r="J36" i="3"/>
  <c r="L36" i="3" s="1"/>
  <c r="M36" i="3" s="1"/>
  <c r="H35" i="4"/>
  <c r="K36" i="3"/>
  <c r="G36" i="4"/>
  <c r="J37" i="3"/>
  <c r="L37" i="3" s="1"/>
  <c r="M37" i="3" s="1"/>
  <c r="H36" i="4"/>
  <c r="K37" i="3"/>
  <c r="G37" i="4"/>
  <c r="J38" i="3"/>
  <c r="L38" i="3" s="1"/>
  <c r="M38" i="3" s="1"/>
  <c r="H37" i="4"/>
  <c r="K38" i="3"/>
  <c r="G38" i="4"/>
  <c r="J39" i="3"/>
  <c r="L39" i="3" s="1"/>
  <c r="M39" i="3" s="1"/>
  <c r="H38" i="4"/>
  <c r="K39" i="3"/>
  <c r="G39" i="4"/>
  <c r="J40" i="3"/>
  <c r="L40" i="3" s="1"/>
  <c r="M40" i="3" s="1"/>
  <c r="H39" i="4"/>
  <c r="K40" i="3"/>
  <c r="G40" i="4"/>
  <c r="J41" i="3"/>
  <c r="L41" i="3" s="1"/>
  <c r="M41" i="3" s="1"/>
  <c r="H40" i="4"/>
  <c r="K41" i="3"/>
  <c r="G41" i="4"/>
  <c r="J42" i="3"/>
  <c r="L42" i="3" s="1"/>
  <c r="M42" i="3" s="1"/>
  <c r="H41" i="4"/>
  <c r="K42" i="3"/>
  <c r="G42" i="4"/>
  <c r="J43" i="3"/>
  <c r="L43" i="3" s="1"/>
  <c r="M43" i="3" s="1"/>
  <c r="H42" i="4"/>
  <c r="K43" i="3"/>
  <c r="G43" i="4"/>
  <c r="J44" i="3"/>
  <c r="L44" i="3" s="1"/>
  <c r="M44" i="3" s="1"/>
  <c r="H43" i="4"/>
  <c r="K44" i="3"/>
  <c r="G44" i="4"/>
  <c r="J45" i="3"/>
  <c r="L45" i="3" s="1"/>
  <c r="M45" i="3" s="1"/>
  <c r="H44" i="4"/>
  <c r="K45" i="3"/>
  <c r="G45" i="4"/>
  <c r="J46" i="3"/>
  <c r="L46" i="3" s="1"/>
  <c r="M46" i="3" s="1"/>
  <c r="H45" i="4"/>
  <c r="K46" i="3"/>
  <c r="G46" i="4"/>
  <c r="J47" i="3"/>
  <c r="L47" i="3" s="1"/>
  <c r="M47" i="3" s="1"/>
  <c r="H46" i="4"/>
  <c r="K47" i="3"/>
  <c r="G47" i="4"/>
  <c r="J48" i="3"/>
  <c r="L48" i="3" s="1"/>
  <c r="M48" i="3" s="1"/>
  <c r="H47" i="4"/>
  <c r="K48" i="3"/>
  <c r="G48" i="4"/>
  <c r="J49" i="3"/>
  <c r="L49" i="3" s="1"/>
  <c r="M49" i="3" s="1"/>
  <c r="H48" i="4"/>
  <c r="K49" i="3"/>
  <c r="G49" i="4"/>
  <c r="J50" i="3"/>
  <c r="L50" i="3" s="1"/>
  <c r="M50" i="3" s="1"/>
  <c r="H49" i="4"/>
  <c r="K50" i="3"/>
  <c r="G50" i="4"/>
  <c r="J51" i="3"/>
  <c r="L51" i="3" s="1"/>
  <c r="M51" i="3" s="1"/>
  <c r="H50" i="4"/>
  <c r="K51" i="3"/>
  <c r="G51" i="4"/>
  <c r="J52" i="3"/>
  <c r="L52" i="3" s="1"/>
  <c r="M52" i="3" s="1"/>
  <c r="H51" i="4"/>
  <c r="K52" i="3"/>
  <c r="G52" i="4"/>
  <c r="J53" i="3"/>
  <c r="L53" i="3" s="1"/>
  <c r="M53" i="3" s="1"/>
  <c r="H52" i="4"/>
  <c r="K53" i="3"/>
  <c r="G53" i="4"/>
  <c r="J54" i="3"/>
  <c r="L54" i="3" s="1"/>
  <c r="M54" i="3" s="1"/>
  <c r="H53" i="4"/>
  <c r="K54" i="3"/>
  <c r="G54" i="4"/>
  <c r="J55" i="3"/>
  <c r="L55" i="3" s="1"/>
  <c r="M55" i="3" s="1"/>
  <c r="H54" i="4"/>
  <c r="K55" i="3"/>
  <c r="G55" i="4"/>
  <c r="J56" i="3"/>
  <c r="L56" i="3" s="1"/>
  <c r="M56" i="3" s="1"/>
  <c r="H55" i="4"/>
  <c r="K56" i="3"/>
  <c r="G56" i="4"/>
  <c r="J57" i="3"/>
  <c r="L57" i="3" s="1"/>
  <c r="M57" i="3" s="1"/>
  <c r="H56" i="4"/>
  <c r="K57" i="3"/>
  <c r="G57" i="4"/>
  <c r="J58" i="3"/>
  <c r="L58" i="3" s="1"/>
  <c r="M58" i="3" s="1"/>
  <c r="H57" i="4"/>
  <c r="K58" i="3"/>
  <c r="G58" i="4"/>
  <c r="J59" i="3"/>
  <c r="L59" i="3" s="1"/>
  <c r="M59" i="3" s="1"/>
  <c r="H58" i="4"/>
  <c r="K59" i="3"/>
  <c r="G59" i="4"/>
  <c r="J60" i="3"/>
  <c r="L60" i="3" s="1"/>
  <c r="M60" i="3" s="1"/>
  <c r="H59" i="4"/>
  <c r="K60" i="3"/>
  <c r="G60" i="4"/>
  <c r="J61" i="3"/>
  <c r="L61" i="3" s="1"/>
  <c r="M61" i="3" s="1"/>
  <c r="H60" i="4"/>
  <c r="K61" i="3"/>
  <c r="L63" i="3"/>
  <c r="M63" i="3" s="1"/>
  <c r="K63" i="3"/>
  <c r="L65" i="3"/>
  <c r="M65" i="3" s="1"/>
  <c r="K65" i="3"/>
  <c r="G71" i="4"/>
  <c r="J76" i="3"/>
  <c r="H71" i="4"/>
  <c r="K76" i="3"/>
  <c r="G72" i="4"/>
  <c r="J77" i="3"/>
  <c r="L77" i="3" s="1"/>
  <c r="M77" i="3" s="1"/>
  <c r="H72" i="4"/>
  <c r="K77" i="3"/>
  <c r="G73" i="4"/>
  <c r="J78" i="3"/>
  <c r="L78" i="3" s="1"/>
  <c r="M78" i="3" s="1"/>
  <c r="H73" i="4"/>
  <c r="K78" i="3"/>
  <c r="G74" i="4"/>
  <c r="J79" i="3"/>
  <c r="L79" i="3" s="1"/>
  <c r="M79" i="3" s="1"/>
  <c r="H74" i="4"/>
  <c r="K79" i="3"/>
  <c r="G75" i="4"/>
  <c r="J80" i="3"/>
  <c r="L80" i="3" s="1"/>
  <c r="M80" i="3" s="1"/>
  <c r="H75" i="4"/>
  <c r="K80" i="3"/>
  <c r="G76" i="4"/>
  <c r="J81" i="3"/>
  <c r="L81" i="3" s="1"/>
  <c r="M81" i="3" s="1"/>
  <c r="H76" i="4"/>
  <c r="K81" i="3"/>
  <c r="G77" i="4"/>
  <c r="J82" i="3"/>
  <c r="L82" i="3" s="1"/>
  <c r="M82" i="3" s="1"/>
  <c r="H77" i="4"/>
  <c r="K82" i="3"/>
  <c r="G78" i="4"/>
  <c r="J83" i="3"/>
  <c r="L83" i="3" s="1"/>
  <c r="M83" i="3" s="1"/>
  <c r="H78" i="4"/>
  <c r="K83" i="3"/>
  <c r="G79" i="4"/>
  <c r="J84" i="3"/>
  <c r="L84" i="3" s="1"/>
  <c r="M84" i="3" s="1"/>
  <c r="H79" i="4"/>
  <c r="K84" i="3"/>
  <c r="G80" i="4"/>
  <c r="J85" i="3"/>
  <c r="L85" i="3" s="1"/>
  <c r="M85" i="3" s="1"/>
  <c r="H80" i="4"/>
  <c r="K85" i="3"/>
  <c r="G81" i="4"/>
  <c r="J86" i="3"/>
  <c r="L86" i="3" s="1"/>
  <c r="M86" i="3" s="1"/>
  <c r="H81" i="4"/>
  <c r="K86" i="3"/>
  <c r="G82" i="4"/>
  <c r="J87" i="3"/>
  <c r="L87" i="3" s="1"/>
  <c r="M87" i="3" s="1"/>
  <c r="H82" i="4"/>
  <c r="K87" i="3"/>
  <c r="H6" i="7"/>
  <c r="H22" i="7" s="1"/>
  <c r="H121" i="6"/>
  <c r="H146" i="6" s="1"/>
  <c r="C5" i="14" s="1"/>
  <c r="C10" i="14" s="1"/>
  <c r="J13" i="6"/>
  <c r="K8" i="6"/>
  <c r="K13" i="6" s="1"/>
  <c r="J22" i="6"/>
  <c r="I8" i="7" s="1"/>
  <c r="K17" i="6"/>
  <c r="K22" i="6" s="1"/>
  <c r="J31" i="6"/>
  <c r="I9" i="7" s="1"/>
  <c r="K26" i="6"/>
  <c r="K31" i="6" s="1"/>
  <c r="J40" i="6"/>
  <c r="I10" i="7" s="1"/>
  <c r="K35" i="6"/>
  <c r="K40" i="6" s="1"/>
  <c r="J49" i="6"/>
  <c r="I11" i="7" s="1"/>
  <c r="K44" i="6"/>
  <c r="K49" i="6" s="1"/>
  <c r="J58" i="6"/>
  <c r="K53" i="6"/>
  <c r="K58" i="6" s="1"/>
  <c r="J66" i="6"/>
  <c r="I13" i="7" s="1"/>
  <c r="K62" i="6"/>
  <c r="K66" i="6" s="1"/>
  <c r="J75" i="6"/>
  <c r="K70" i="6"/>
  <c r="K75" i="6" s="1"/>
  <c r="J83" i="6"/>
  <c r="I15" i="7" s="1"/>
  <c r="K79" i="6"/>
  <c r="K83" i="6" s="1"/>
  <c r="J92" i="6"/>
  <c r="I16" i="7" s="1"/>
  <c r="K87" i="6"/>
  <c r="K92" i="6" s="1"/>
  <c r="J101" i="6"/>
  <c r="I17" i="7" s="1"/>
  <c r="K96" i="6"/>
  <c r="K101" i="6" s="1"/>
  <c r="J110" i="6"/>
  <c r="I18" i="7" s="1"/>
  <c r="K105" i="6"/>
  <c r="K110" i="6" s="1"/>
  <c r="J119" i="6"/>
  <c r="I19" i="7" s="1"/>
  <c r="K114" i="6"/>
  <c r="K119" i="6" s="1"/>
  <c r="J132" i="6"/>
  <c r="K127" i="6"/>
  <c r="K132" i="6" s="1"/>
  <c r="J141" i="6"/>
  <c r="K136" i="6"/>
  <c r="K141" i="6" s="1"/>
  <c r="K4" i="7"/>
  <c r="K6" i="9"/>
  <c r="K7" i="9" s="1"/>
  <c r="K10" i="9"/>
  <c r="K11" i="9" s="1"/>
  <c r="K14" i="9"/>
  <c r="K15" i="9" s="1"/>
  <c r="K18" i="9"/>
  <c r="K19" i="9" s="1"/>
  <c r="K22" i="9"/>
  <c r="K23" i="9" s="1"/>
  <c r="K26" i="9"/>
  <c r="K27" i="9" s="1"/>
  <c r="L4" i="7" l="1"/>
  <c r="K143" i="6"/>
  <c r="J143" i="6"/>
  <c r="I14" i="7"/>
  <c r="I12" i="7"/>
  <c r="K121" i="6"/>
  <c r="K146" i="6" s="1"/>
  <c r="K148" i="6" s="1"/>
  <c r="I6" i="7"/>
  <c r="I22" i="7" s="1"/>
  <c r="J121" i="6"/>
  <c r="J146" i="6" s="1"/>
  <c r="K88" i="3"/>
  <c r="J88" i="3"/>
  <c r="L76" i="3"/>
  <c r="J70" i="3"/>
  <c r="L6" i="3"/>
  <c r="L62" i="3"/>
  <c r="M62" i="3" s="1"/>
  <c r="K62" i="3"/>
  <c r="L67" i="3"/>
  <c r="M67" i="3" s="1"/>
  <c r="K67" i="3"/>
  <c r="K7" i="8"/>
  <c r="L6" i="8"/>
  <c r="L6" i="9"/>
  <c r="L10" i="9"/>
  <c r="L14" i="9"/>
  <c r="L18" i="9"/>
  <c r="L22" i="9"/>
  <c r="L26" i="9"/>
  <c r="K20" i="12"/>
  <c r="L6" i="12"/>
  <c r="L71" i="13"/>
  <c r="M71" i="13" s="1"/>
  <c r="M68" i="13"/>
  <c r="L77" i="13"/>
  <c r="M77" i="13" s="1"/>
  <c r="M74" i="13"/>
  <c r="L84" i="13"/>
  <c r="M84" i="13" s="1"/>
  <c r="M80" i="13"/>
  <c r="L91" i="13"/>
  <c r="M91" i="13" s="1"/>
  <c r="M87" i="13"/>
  <c r="L97" i="13"/>
  <c r="M97" i="13" s="1"/>
  <c r="M94" i="13"/>
  <c r="L11" i="13"/>
  <c r="M11" i="13" s="1"/>
  <c r="M6" i="13"/>
  <c r="L21" i="13"/>
  <c r="M21" i="13" s="1"/>
  <c r="M14" i="13"/>
  <c r="L29" i="13"/>
  <c r="M29" i="13" s="1"/>
  <c r="M24" i="13"/>
  <c r="L38" i="13"/>
  <c r="M38" i="13" s="1"/>
  <c r="M32" i="13"/>
  <c r="L43" i="13"/>
  <c r="M43" i="13" s="1"/>
  <c r="M41" i="13"/>
  <c r="L49" i="13"/>
  <c r="M49" i="13" s="1"/>
  <c r="M46" i="13"/>
  <c r="L54" i="13"/>
  <c r="M54" i="13" s="1"/>
  <c r="M52" i="13"/>
  <c r="L59" i="13"/>
  <c r="M59" i="13" s="1"/>
  <c r="M57" i="13"/>
  <c r="L65" i="13"/>
  <c r="M65" i="13" s="1"/>
  <c r="M62" i="13"/>
  <c r="L64" i="3"/>
  <c r="M64" i="3" s="1"/>
  <c r="K64" i="3"/>
  <c r="L66" i="3"/>
  <c r="M66" i="3" s="1"/>
  <c r="K66" i="3"/>
  <c r="K9" i="10"/>
  <c r="L6" i="10"/>
  <c r="L69" i="3"/>
  <c r="M69" i="3" s="1"/>
  <c r="K69" i="3"/>
  <c r="K11" i="10" l="1"/>
  <c r="L9" i="10"/>
  <c r="K22" i="12"/>
  <c r="L20" i="12"/>
  <c r="L27" i="9"/>
  <c r="M27" i="9" s="1"/>
  <c r="M26" i="9"/>
  <c r="L23" i="9"/>
  <c r="M23" i="9" s="1"/>
  <c r="M22" i="9"/>
  <c r="L19" i="9"/>
  <c r="M19" i="9" s="1"/>
  <c r="M18" i="9"/>
  <c r="L15" i="9"/>
  <c r="M15" i="9" s="1"/>
  <c r="M14" i="9"/>
  <c r="L11" i="9"/>
  <c r="M11" i="9" s="1"/>
  <c r="M10" i="9"/>
  <c r="L7" i="9"/>
  <c r="M7" i="9" s="1"/>
  <c r="M6" i="9"/>
  <c r="K9" i="8"/>
  <c r="L7" i="8"/>
  <c r="K70" i="3"/>
  <c r="L70" i="3"/>
  <c r="M6" i="3"/>
  <c r="M70" i="3" s="1"/>
  <c r="L88" i="3"/>
  <c r="I90" i="3" s="1"/>
  <c r="M76" i="3"/>
  <c r="M88" i="3" s="1"/>
  <c r="D5" i="14"/>
  <c r="E5" i="14" s="1"/>
  <c r="J148" i="6"/>
  <c r="F24" i="5" l="1"/>
  <c r="K24" i="5" s="1"/>
  <c r="F23" i="5"/>
  <c r="K23" i="5" s="1"/>
  <c r="M93" i="3"/>
  <c r="L93" i="3"/>
  <c r="I72" i="3"/>
  <c r="D6" i="14"/>
  <c r="E6" i="14" s="1"/>
  <c r="L9" i="8"/>
  <c r="D8" i="14"/>
  <c r="E8" i="14" s="1"/>
  <c r="L22" i="12"/>
  <c r="D7" i="14"/>
  <c r="E7" i="14" s="1"/>
  <c r="L11" i="10"/>
  <c r="F18" i="5" l="1"/>
  <c r="K18" i="5" s="1"/>
  <c r="F17" i="5"/>
  <c r="K17" i="5" s="1"/>
  <c r="F16" i="5"/>
  <c r="K16" i="5" s="1"/>
  <c r="F15" i="5"/>
  <c r="K15" i="5" s="1"/>
  <c r="F14" i="5"/>
  <c r="K14" i="5" s="1"/>
  <c r="F13" i="5"/>
  <c r="K13" i="5" s="1"/>
  <c r="F12" i="5"/>
  <c r="K12" i="5" s="1"/>
  <c r="F11" i="5"/>
  <c r="K11" i="5" s="1"/>
  <c r="F10" i="5"/>
  <c r="K10" i="5" s="1"/>
  <c r="F9" i="5"/>
  <c r="K9" i="5" s="1"/>
  <c r="F8" i="5"/>
  <c r="K8" i="5" s="1"/>
  <c r="F7" i="5"/>
  <c r="K7" i="5" s="1"/>
  <c r="F6" i="5"/>
  <c r="K6" i="5" s="1"/>
  <c r="J24" i="5"/>
  <c r="L24" i="5"/>
  <c r="N24" i="5"/>
  <c r="O24" i="5"/>
  <c r="G24" i="5"/>
  <c r="I24" i="5"/>
  <c r="M24" i="5"/>
  <c r="J23" i="5"/>
  <c r="L23" i="5"/>
  <c r="N23" i="5"/>
  <c r="O23" i="5"/>
  <c r="O25" i="5"/>
  <c r="N25" i="5"/>
  <c r="G23" i="5"/>
  <c r="I23" i="5"/>
  <c r="M23" i="5"/>
  <c r="M25" i="5"/>
  <c r="J18" i="5"/>
  <c r="L18" i="5"/>
  <c r="N18" i="5"/>
  <c r="O18" i="5"/>
  <c r="G19" i="7"/>
  <c r="J19" i="7"/>
  <c r="K19" i="7"/>
  <c r="L19" i="7"/>
  <c r="G18" i="5"/>
  <c r="I18" i="5"/>
  <c r="M18" i="5"/>
  <c r="F19" i="7"/>
  <c r="J17" i="5"/>
  <c r="L17" i="5"/>
  <c r="N17" i="5"/>
  <c r="O17" i="5"/>
  <c r="G18" i="7"/>
  <c r="J18" i="7"/>
  <c r="K18" i="7"/>
  <c r="L18" i="7"/>
  <c r="G17" i="5"/>
  <c r="I17" i="5"/>
  <c r="M17" i="5"/>
  <c r="F18" i="7"/>
  <c r="J16" i="5"/>
  <c r="L16" i="5"/>
  <c r="N16" i="5"/>
  <c r="O16" i="5"/>
  <c r="G17" i="7"/>
  <c r="J17" i="7"/>
  <c r="K17" i="7"/>
  <c r="L17" i="7"/>
  <c r="G16" i="5"/>
  <c r="I16" i="5"/>
  <c r="M16" i="5"/>
  <c r="F17" i="7"/>
  <c r="J15" i="5"/>
  <c r="L15" i="5"/>
  <c r="N15" i="5"/>
  <c r="O15" i="5"/>
  <c r="G16" i="7"/>
  <c r="J16" i="7"/>
  <c r="K16" i="7"/>
  <c r="L16" i="7"/>
  <c r="G15" i="5"/>
  <c r="I15" i="5"/>
  <c r="M15" i="5"/>
  <c r="F16" i="7"/>
  <c r="J14" i="5"/>
  <c r="L14" i="5"/>
  <c r="N14" i="5"/>
  <c r="O14" i="5"/>
  <c r="G15" i="7"/>
  <c r="J15" i="7"/>
  <c r="K15" i="7"/>
  <c r="L15" i="7"/>
  <c r="G14" i="5"/>
  <c r="I14" i="5"/>
  <c r="M14" i="5"/>
  <c r="F15" i="7"/>
  <c r="J13" i="5"/>
  <c r="L13" i="5"/>
  <c r="N13" i="5"/>
  <c r="O13" i="5"/>
  <c r="G14" i="7"/>
  <c r="J14" i="7"/>
  <c r="K14" i="7"/>
  <c r="L14" i="7"/>
  <c r="G13" i="5"/>
  <c r="I13" i="5"/>
  <c r="M13" i="5"/>
  <c r="F14" i="7"/>
  <c r="J12" i="5"/>
  <c r="L12" i="5"/>
  <c r="N12" i="5"/>
  <c r="O12" i="5"/>
  <c r="G13" i="7"/>
  <c r="J13" i="7"/>
  <c r="K13" i="7"/>
  <c r="L13" i="7"/>
  <c r="G12" i="5"/>
  <c r="I12" i="5"/>
  <c r="M12" i="5"/>
  <c r="F13" i="7"/>
  <c r="J11" i="5"/>
  <c r="L11" i="5"/>
  <c r="N11" i="5"/>
  <c r="O11" i="5"/>
  <c r="G12" i="7"/>
  <c r="J12" i="7"/>
  <c r="K12" i="7"/>
  <c r="L12" i="7"/>
  <c r="G11" i="5"/>
  <c r="I11" i="5"/>
  <c r="M11" i="5"/>
  <c r="F12" i="7"/>
  <c r="J10" i="5"/>
  <c r="L10" i="5"/>
  <c r="N10" i="5"/>
  <c r="O10" i="5"/>
  <c r="G11" i="7"/>
  <c r="J11" i="7"/>
  <c r="K11" i="7"/>
  <c r="L11" i="7"/>
  <c r="G10" i="5"/>
  <c r="I10" i="5"/>
  <c r="M10" i="5"/>
  <c r="F11" i="7"/>
  <c r="J9" i="5"/>
  <c r="L9" i="5"/>
  <c r="N9" i="5"/>
  <c r="O9" i="5"/>
  <c r="G10" i="7"/>
  <c r="J10" i="7"/>
  <c r="K10" i="7"/>
  <c r="L10" i="7"/>
  <c r="G9" i="5"/>
  <c r="I9" i="5"/>
  <c r="M9" i="5"/>
  <c r="F10" i="7"/>
  <c r="J8" i="5"/>
  <c r="L8" i="5"/>
  <c r="N8" i="5"/>
  <c r="O8" i="5"/>
  <c r="G9" i="7"/>
  <c r="J9" i="7"/>
  <c r="K9" i="7"/>
  <c r="L9" i="7"/>
  <c r="G8" i="5"/>
  <c r="I8" i="5"/>
  <c r="M8" i="5"/>
  <c r="F9" i="7"/>
  <c r="J7" i="5"/>
  <c r="L7" i="5"/>
  <c r="N7" i="5"/>
  <c r="O7" i="5"/>
  <c r="G8" i="7"/>
  <c r="J8" i="7"/>
  <c r="K8" i="7"/>
  <c r="L8" i="7"/>
  <c r="G7" i="5"/>
  <c r="I7" i="5"/>
  <c r="M7" i="5"/>
  <c r="F8" i="7"/>
  <c r="J6" i="5"/>
  <c r="L6" i="5"/>
  <c r="N6" i="5"/>
  <c r="O6" i="5"/>
  <c r="O19" i="5"/>
  <c r="O28" i="5"/>
  <c r="O30" i="5"/>
  <c r="N19" i="5"/>
  <c r="N28" i="5"/>
  <c r="N30" i="5"/>
  <c r="G6" i="7"/>
  <c r="J6" i="7"/>
  <c r="K6" i="7"/>
  <c r="L6" i="7"/>
  <c r="G22" i="7"/>
  <c r="D4" i="14"/>
  <c r="E4" i="14"/>
  <c r="D10" i="14"/>
  <c r="E10" i="14"/>
  <c r="G6" i="5"/>
  <c r="I6" i="5"/>
  <c r="M6" i="5"/>
  <c r="M19" i="5"/>
  <c r="M28" i="5"/>
  <c r="F6" i="7"/>
  <c r="F22" i="7"/>
  <c r="B4" i="14"/>
  <c r="B10" i="14"/>
  <c r="B12" i="14"/>
  <c r="J22" i="7"/>
  <c r="K22" i="7"/>
  <c r="L22" i="7"/>
</calcChain>
</file>

<file path=xl/sharedStrings.xml><?xml version="1.0" encoding="utf-8"?>
<sst xmlns="http://schemas.openxmlformats.org/spreadsheetml/2006/main" count="2216" uniqueCount="575">
  <si>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</si>
  <si>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</si>
  <si>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</si>
  <si>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</si>
  <si>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</si>
  <si>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</si>
  <si>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</si>
  <si>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</si>
  <si>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</si>
  <si>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</si>
  <si>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255J</t>
  </si>
  <si>
    <t>245J</t>
  </si>
  <si>
    <t>230J</t>
  </si>
  <si>
    <t>4W</t>
  </si>
  <si>
    <t>3W</t>
  </si>
  <si>
    <t>153J</t>
  </si>
  <si>
    <t>2W</t>
  </si>
  <si>
    <t>98J</t>
  </si>
  <si>
    <t>1W</t>
  </si>
  <si>
    <t>51J</t>
  </si>
  <si>
    <t>49J</t>
  </si>
  <si>
    <t>46J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</si>
  <si>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</si>
  <si>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</si>
  <si>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</si>
  <si>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</si>
  <si>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</si>
  <si>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</si>
  <si>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</si>
  <si>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</si>
  <si>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</si>
  <si>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</si>
  <si>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</si>
  <si>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</si>
  <si>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</si>
  <si>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</si>
  <si>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</si>
  <si>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</si>
  <si>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</si>
  <si>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</si>
  <si>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Bureauruimte harde vloeren basis</t>
  </si>
  <si>
    <t>m²/uur</t>
  </si>
  <si>
    <t>BHV</t>
  </si>
  <si>
    <t>Bureauruimte harde vloeren (volledig)</t>
  </si>
  <si>
    <t>BZB</t>
  </si>
  <si>
    <t>Bureauruimte zachte vloeren basis</t>
  </si>
  <si>
    <t>BZV</t>
  </si>
  <si>
    <t>Bureauruimte zachte vloeren (volledig)</t>
  </si>
  <si>
    <t>HHB</t>
  </si>
  <si>
    <t>Behandel/onderzoeksruimte - harde vloer basis</t>
  </si>
  <si>
    <t>HHV</t>
  </si>
  <si>
    <t>Behandel/onderzoeksruimte - harde vloer basis (volledig)</t>
  </si>
  <si>
    <t>LZB</t>
  </si>
  <si>
    <t>Leslokaal/studieruimte - zachte vloeren (basis)</t>
  </si>
  <si>
    <t>LZV</t>
  </si>
  <si>
    <t>Leslokaal/studieruimte - zachte vloeren (volledig)</t>
  </si>
  <si>
    <t>OHB</t>
  </si>
  <si>
    <t>Vergader-/spreek-/overlegruimte harde vloeren basis</t>
  </si>
  <si>
    <t>OHV</t>
  </si>
  <si>
    <t>Vergader-/spreek-/overlegruimte harde vloeren (volledig)</t>
  </si>
  <si>
    <t>OZB</t>
  </si>
  <si>
    <t>Vergader-/spreek-/overlegruimte zachte vloeren basis</t>
  </si>
  <si>
    <t>OZV</t>
  </si>
  <si>
    <t>Vergader-/spreek-/overlegruimte zachte vloeren (volledig)</t>
  </si>
  <si>
    <t>GHB</t>
  </si>
  <si>
    <t xml:space="preserve">G    </t>
  </si>
  <si>
    <t>Sportzaal harde vloer basis</t>
  </si>
  <si>
    <t>GHV</t>
  </si>
  <si>
    <t>Sportzaal harde vloer (volledig)</t>
  </si>
  <si>
    <t>DHB</t>
  </si>
  <si>
    <t xml:space="preserve">S    </t>
  </si>
  <si>
    <t>Douche/wasruimte - harde vloeren basis</t>
  </si>
  <si>
    <t>DHV</t>
  </si>
  <si>
    <t>Douche/wasruimte - harde vloeren (volledig)</t>
  </si>
  <si>
    <t>KHB</t>
  </si>
  <si>
    <t>Kleedruimten - harde vloeren (basis)</t>
  </si>
  <si>
    <t>KHV</t>
  </si>
  <si>
    <t>Kleedruimten - harde vloeren (volledig)</t>
  </si>
  <si>
    <t>SHB</t>
  </si>
  <si>
    <t>Sanitaire ruimte basis</t>
  </si>
  <si>
    <t>SHV</t>
  </si>
  <si>
    <t>Sanitaire ruimte (volledig)</t>
  </si>
  <si>
    <t>AHV</t>
  </si>
  <si>
    <t xml:space="preserve">V    </t>
  </si>
  <si>
    <t>Archief/bergruimte/magazijn - harde vloeren (volledig)</t>
  </si>
  <si>
    <t>AZV</t>
  </si>
  <si>
    <t>Archief/bergruimte/magazijn - zachte vloeren (volledig)</t>
  </si>
  <si>
    <t>EHB</t>
  </si>
  <si>
    <t>Entree - harde vloeren basis</t>
  </si>
  <si>
    <t>EHV</t>
  </si>
  <si>
    <t>Entree - harde vloeren (volledig)</t>
  </si>
  <si>
    <t>EZB</t>
  </si>
  <si>
    <t>Entree - zachte vloeren basis</t>
  </si>
  <si>
    <t>EZV</t>
  </si>
  <si>
    <t>Entree - zachte vloeren (volledig)</t>
  </si>
  <si>
    <t>IHB</t>
  </si>
  <si>
    <t>Lift - harde vloeren (basis)</t>
  </si>
  <si>
    <t>IHV</t>
  </si>
  <si>
    <t>Lift - harde vloeren (volledig)</t>
  </si>
  <si>
    <t>PHB</t>
  </si>
  <si>
    <t>Pantry/keuken - harde vloeren (basis)</t>
  </si>
  <si>
    <t>PHV</t>
  </si>
  <si>
    <t>Pantry/keuken - harde vloeren (volledig)</t>
  </si>
  <si>
    <t>RHB</t>
  </si>
  <si>
    <t>Personeelsrestaurant/kantine harde vloeren basis</t>
  </si>
  <si>
    <t>RHV</t>
  </si>
  <si>
    <t>Personeelsrestaurant/kantine harde vloeren (volledig)</t>
  </si>
  <si>
    <t>THB</t>
  </si>
  <si>
    <t>Trappenhuis harde vloeren basis</t>
  </si>
  <si>
    <t>THV</t>
  </si>
  <si>
    <t>Trappenhuis harde vloeren (volledig)</t>
  </si>
  <si>
    <t>VHB</t>
  </si>
  <si>
    <t>Verkeersruimte harde vloeren basis</t>
  </si>
  <si>
    <t>VHV</t>
  </si>
  <si>
    <t>Verkeersruimte harde vloeren (volledig)</t>
  </si>
  <si>
    <t>VZB</t>
  </si>
  <si>
    <t>Verkeersruimte zachte vloeren (basis)</t>
  </si>
  <si>
    <t>VZV</t>
  </si>
  <si>
    <t>Verkeersruimte zachte vloeren (volledig)</t>
  </si>
  <si>
    <t>WZB</t>
  </si>
  <si>
    <t>Receptie/ontvangst/wachtruimte zachte vloeren basis</t>
  </si>
  <si>
    <t>WZV</t>
  </si>
  <si>
    <t>Receptie/ontvangst/wachtruimte zachte vloeren (volledig)</t>
  </si>
  <si>
    <t>ZDHB</t>
  </si>
  <si>
    <t xml:space="preserve">ZS   </t>
  </si>
  <si>
    <t>Zwembad doucheruimten- harde vloeren (basis)</t>
  </si>
  <si>
    <t>ZDHV</t>
  </si>
  <si>
    <t>Zwembad douche/wasruimten - harde vloeren (volledig)</t>
  </si>
  <si>
    <t>ZKHB</t>
  </si>
  <si>
    <t>Zwembad kleedruimten - harde vloeren (basis)</t>
  </si>
  <si>
    <t>ZKHV</t>
  </si>
  <si>
    <t>Zwembad kleedruimten - harde vloeren (volledig)</t>
  </si>
  <si>
    <t>ZSHB</t>
  </si>
  <si>
    <t>Zwembad sanitaire ruimten - harde vloeren (basis)</t>
  </si>
  <si>
    <t>ZSHV</t>
  </si>
  <si>
    <t>Zwembad sanitaire ruimten - harde vloeren (volledig)</t>
  </si>
  <si>
    <t>ZVHB</t>
  </si>
  <si>
    <t xml:space="preserve">ZV   </t>
  </si>
  <si>
    <t>Zwembad verkeersruimten - harde vloeren (basis)</t>
  </si>
  <si>
    <t>ZVHV</t>
  </si>
  <si>
    <t>Zwembad verkeersruimten - harde vloeren (volledig)</t>
  </si>
  <si>
    <t xml:space="preserve">WEEKENDDAG          </t>
  </si>
  <si>
    <t>WDHWB</t>
  </si>
  <si>
    <t>Douche/wasruimten weekend - harde vloeren (basis)</t>
  </si>
  <si>
    <t>WKHWB</t>
  </si>
  <si>
    <t>Kleedruimte weekend - harde vloeren (basis)</t>
  </si>
  <si>
    <t>WSHWB</t>
  </si>
  <si>
    <t>Sanitaire ruimten weekend - harde vloeren (basis)</t>
  </si>
  <si>
    <t>WZDHW</t>
  </si>
  <si>
    <t>Zwembad doucheruimte weekend - harde vloeren (basis)</t>
  </si>
  <si>
    <t>WZKHW</t>
  </si>
  <si>
    <t>Zwembad kleedruimte weekend - harde vloeren (basis)</t>
  </si>
  <si>
    <t>WZSHW</t>
  </si>
  <si>
    <t>Zwembad sanitaire ruimten weekend - harde vloeren (basis)</t>
  </si>
  <si>
    <t>WEHWB</t>
  </si>
  <si>
    <t>Entree weekend - harde vloeren (basis)</t>
  </si>
  <si>
    <t>WEZWB</t>
  </si>
  <si>
    <t>Entree weekend - zachte vloeren (basis)</t>
  </si>
  <si>
    <t>WGHWB</t>
  </si>
  <si>
    <t>Gymzaal weekend - harde vloeren (basis)</t>
  </si>
  <si>
    <t>WPHWB</t>
  </si>
  <si>
    <t>Pantry/keuken weekend - harde vloeren (basis)</t>
  </si>
  <si>
    <t>WVHWB</t>
  </si>
  <si>
    <t>Verkeersruimten weekend - harde vloeren (basis)</t>
  </si>
  <si>
    <t>WZVHW</t>
  </si>
  <si>
    <t>Zwembad verkeersruimten weekend - harde vloeren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</si>
  <si>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</si>
  <si>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</si>
  <si>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</si>
  <si>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</si>
  <si>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</si>
  <si>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</si>
  <si>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</si>
  <si>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</si>
  <si>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</si>
  <si>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</si>
  <si>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Archief/magazijn/opslag harde vloeren</t>
  </si>
  <si>
    <t>AZ</t>
  </si>
  <si>
    <t>Archief/magazijn/opslag zachte vloeren</t>
  </si>
  <si>
    <t>BH</t>
  </si>
  <si>
    <t>Kantoorruimte harde vloeren</t>
  </si>
  <si>
    <t>BZ</t>
  </si>
  <si>
    <t>Kantoorruimte zachte vloeren</t>
  </si>
  <si>
    <t>DH</t>
  </si>
  <si>
    <t>Douche/wasruimte harde vloeren</t>
  </si>
  <si>
    <t>EH</t>
  </si>
  <si>
    <t>Entree harde vloeren</t>
  </si>
  <si>
    <t>EZ</t>
  </si>
  <si>
    <t>Entree zachte vloeren</t>
  </si>
  <si>
    <t>GH</t>
  </si>
  <si>
    <t>Gymzaal harde vloer</t>
  </si>
  <si>
    <t>Gymzaal (sportberging) harde vloer</t>
  </si>
  <si>
    <t>HH</t>
  </si>
  <si>
    <t>Behandel-/onderzoeksruimte - harde vloeren</t>
  </si>
  <si>
    <t>IH</t>
  </si>
  <si>
    <t>Lift harde vloeren</t>
  </si>
  <si>
    <t>KH</t>
  </si>
  <si>
    <t>Kleedruimte harde vloeren</t>
  </si>
  <si>
    <t>LZ</t>
  </si>
  <si>
    <t>Leslokaal/studieruimte zachte vloeren</t>
  </si>
  <si>
    <t>OH</t>
  </si>
  <si>
    <t>Vergader-/spreek-/overlegruimte harde vloeren</t>
  </si>
  <si>
    <t>OZ</t>
  </si>
  <si>
    <t>Vergader-/spreek-/overlegruimte zachte vloeren</t>
  </si>
  <si>
    <t>PH</t>
  </si>
  <si>
    <t>Pantry/keuken harde vloeren</t>
  </si>
  <si>
    <t>RH</t>
  </si>
  <si>
    <t>Personeelsrestaurant/kantine harde vloeren</t>
  </si>
  <si>
    <t>SH</t>
  </si>
  <si>
    <t>Sanitaire ruimten/toiletten harde vloeren</t>
  </si>
  <si>
    <t>Sanitaire ruimte/toiletten harde vloer</t>
  </si>
  <si>
    <t>TH</t>
  </si>
  <si>
    <t>Trappenhuis harde vloeren</t>
  </si>
  <si>
    <t>VH</t>
  </si>
  <si>
    <t>Verkeersruimte/garderobe harde vloeren</t>
  </si>
  <si>
    <t>VZ</t>
  </si>
  <si>
    <t>Verkeersruimte/garderobe zachte vloeren</t>
  </si>
  <si>
    <t>WZ</t>
  </si>
  <si>
    <t>Receptie/wachtruimte zachte vloeren</t>
  </si>
  <si>
    <t>ZDH</t>
  </si>
  <si>
    <t>Zwembad douche/wasruimte harde vloeren</t>
  </si>
  <si>
    <t>ZKH</t>
  </si>
  <si>
    <t>Zwembad kleedruimte harde vloeren</t>
  </si>
  <si>
    <t>ZSH</t>
  </si>
  <si>
    <t>Zwembad douche/wasruimte/zwembad harde vloeren</t>
  </si>
  <si>
    <t>ZVH</t>
  </si>
  <si>
    <t>Zwembad verkeersruimte/garderobe harde vloeren</t>
  </si>
  <si>
    <t>Z001</t>
  </si>
  <si>
    <t>extra</t>
  </si>
  <si>
    <t>Wandcontactdozen stofzuigen</t>
  </si>
  <si>
    <t>min./keer</t>
  </si>
  <si>
    <t>Z002</t>
  </si>
  <si>
    <t>(Toestellen-)berging en vloeren reinigen</t>
  </si>
  <si>
    <t>Z003</t>
  </si>
  <si>
    <t>Bezem leveren en onderhoud</t>
  </si>
  <si>
    <t>Z004</t>
  </si>
  <si>
    <t>Vloeren schrobben en waterzuigen</t>
  </si>
  <si>
    <t>Z005</t>
  </si>
  <si>
    <t>Binnenzijde kluisje reinigen</t>
  </si>
  <si>
    <t>Z010</t>
  </si>
  <si>
    <t>Extra werkzaamheden balken en lampen afnemen</t>
  </si>
  <si>
    <t>Z011</t>
  </si>
  <si>
    <t>Extra werkzaamheden inzet hoogwerker</t>
  </si>
  <si>
    <t>stuks</t>
  </si>
  <si>
    <t>n.v.t.</t>
  </si>
  <si>
    <t>Z012</t>
  </si>
  <si>
    <t>Koffie automaat reinigen en bijvullen</t>
  </si>
  <si>
    <t>uur</t>
  </si>
  <si>
    <t xml:space="preserve">Totaal werkdag             </t>
  </si>
  <si>
    <t xml:space="preserve">Gemiddeld uurtarief werkdag             </t>
  </si>
  <si>
    <t>WDHW</t>
  </si>
  <si>
    <t>Douche/wasruimte harde vloer weekend</t>
  </si>
  <si>
    <t>WEHW</t>
  </si>
  <si>
    <t>Entree harde vloer weekend</t>
  </si>
  <si>
    <t>WEZW</t>
  </si>
  <si>
    <t>Entree zachte vloer weekend</t>
  </si>
  <si>
    <t>WGHW</t>
  </si>
  <si>
    <t>Gymzaal harde vloer weekend</t>
  </si>
  <si>
    <t>WKHW</t>
  </si>
  <si>
    <t>Kleedruimte harde vloer weekend</t>
  </si>
  <si>
    <t>WPHW</t>
  </si>
  <si>
    <t>Pantry/keuken harde vloer weekend</t>
  </si>
  <si>
    <t>WSHW</t>
  </si>
  <si>
    <t>Sanitaire ruimte/toiletten harde vloer weekend</t>
  </si>
  <si>
    <t>WVHW</t>
  </si>
  <si>
    <t>Verkeersruimte harde vloer weekend</t>
  </si>
  <si>
    <t xml:space="preserve">Totaal weekenddag          </t>
  </si>
  <si>
    <t xml:space="preserve">Gemiddeld uurtarief weekenddag          </t>
  </si>
  <si>
    <t>Totaal regulier werk excl. BTW</t>
  </si>
  <si>
    <t>Omrekentabel t.b.v. Invultabel Kostenplaatsen (niet afdrukken)</t>
  </si>
  <si>
    <t>DAGSOORT</t>
  </si>
  <si>
    <t>WERKSOORT</t>
  </si>
  <si>
    <t>FREQ DECIMAAL</t>
  </si>
  <si>
    <t>UURFACTOR</t>
  </si>
  <si>
    <t>KENGETAL</t>
  </si>
  <si>
    <t>TARIEF</t>
  </si>
  <si>
    <t>UB        GH0001</t>
  </si>
  <si>
    <t>UB        GH0002</t>
  </si>
  <si>
    <t>UB        GH0003</t>
  </si>
  <si>
    <t>UB        GH0004</t>
  </si>
  <si>
    <t>UB        GH0006</t>
  </si>
  <si>
    <t>UB        GH0007</t>
  </si>
  <si>
    <t>UB        GH0008</t>
  </si>
  <si>
    <t>UB        GH0010</t>
  </si>
  <si>
    <t>UB        SB0001</t>
  </si>
  <si>
    <t>R         SB0001</t>
  </si>
  <si>
    <t>UB        SB0002</t>
  </si>
  <si>
    <t>R         SB0002</t>
  </si>
  <si>
    <t>GGD       SB0002</t>
  </si>
  <si>
    <t>UB        SB0004</t>
  </si>
  <si>
    <t>UB        SB0005</t>
  </si>
  <si>
    <t>UB        SB0006</t>
  </si>
  <si>
    <t xml:space="preserve">          SB0007</t>
  </si>
  <si>
    <t>werkdag</t>
  </si>
  <si>
    <t>weekenddag</t>
  </si>
  <si>
    <t>OBJECT</t>
  </si>
  <si>
    <t>NAAM</t>
  </si>
  <si>
    <t>ADRES</t>
  </si>
  <si>
    <t>PLAATS</t>
  </si>
  <si>
    <t>BASIS UUR- TARIEF</t>
  </si>
  <si>
    <t>UREN/ UITVOERING</t>
  </si>
  <si>
    <t>UREN SUPPLETIE/ UITVOERING</t>
  </si>
  <si>
    <t>UREN TOTAAL/ UITVOERING</t>
  </si>
  <si>
    <t>PRIJS/ UITVOERING</t>
  </si>
  <si>
    <t>PRIJS SUPPLETIE/ UITVOERING</t>
  </si>
  <si>
    <t>PRIJS TOTAAL/ UITVOERING</t>
  </si>
  <si>
    <t>PRIJS/ JAAR (EURO)</t>
  </si>
  <si>
    <t>PRIJS/ MAAND (EURO)</t>
  </si>
  <si>
    <t>Kostenplaats: Uitbesteed; Locatie: Stadhuis-Bezoekerscentrum Heusden</t>
  </si>
  <si>
    <t>Kostenplaats: Uitbesteed; Locatie: Havenwachthuisje Heusden (openb. toilet)</t>
  </si>
  <si>
    <t>Kostenplaats: Uitbesteed; Locatie: Begraafplaats Duynheaghe</t>
  </si>
  <si>
    <t>Kostenplaats: Uitbesteed; Locatie: Begraafplaats Onsenoort</t>
  </si>
  <si>
    <t>Kostenplaats: Uitbesteed; Locatie: Dierenpark de Schroef</t>
  </si>
  <si>
    <t>Kostenplaats: Uitbesteed; Locatie: Zwembad Die Heygrave</t>
  </si>
  <si>
    <t>Kostenplaats: Restaurette; Locatie: Zwembad Die Heygrave</t>
  </si>
  <si>
    <t>Kostenplaats: Uitbesteed; Locatie: Sporthal Die Heygrave</t>
  </si>
  <si>
    <t>Kostenplaats: Restaurette; Locatie: Sporthal Die Heygrave</t>
  </si>
  <si>
    <t>Kostenplaats: GGD; Locatie: Sporthal Die Heygrave</t>
  </si>
  <si>
    <t>Kostenplaats: Uitbesteed; Locatie: Gymzaal De Brug</t>
  </si>
  <si>
    <t>Kostenplaats: Uitbesteed; Locatie: Sportzaal De Kubus</t>
  </si>
  <si>
    <t>Kostenplaats: Uitbesteed; Locatie: Gymzaal De Vennen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</si>
  <si>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</si>
  <si>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</si>
  <si>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</si>
  <si>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</si>
  <si>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</si>
  <si>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</si>
  <si>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</si>
  <si>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</si>
  <si>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</si>
  <si>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</si>
  <si>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</si>
  <si>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UB        GH0003 - Kostenplaats: Uitbesteed; Locatie: Stadhuis-Bezoekerscentrum Heusden</t>
  </si>
  <si>
    <t>1000</t>
  </si>
  <si>
    <t>Objectleiding</t>
  </si>
  <si>
    <t>&lt;invullen functie afh. van uren uitvoering per jaar&gt;</t>
  </si>
  <si>
    <t>&lt;invullen functie met vaste uren per dag&gt;</t>
  </si>
  <si>
    <t xml:space="preserve">Totaal UB        GH0003 - Kostenplaats: Uitbesteed; Locatie: Stadhuis-Bezoekerscentrum Heusden, , </t>
  </si>
  <si>
    <t>UB        GH0006 - Kostenplaats: Uitbesteed; Locatie: Havenwachthuisje Heusden (openb. toilet)</t>
  </si>
  <si>
    <t xml:space="preserve">Totaal UB        GH0006 - Kostenplaats: Uitbesteed; Locatie: Havenwachthuisje Heusden (openb. toilet), , </t>
  </si>
  <si>
    <t>UB        GH0007 - Kostenplaats: Uitbesteed; Locatie: Begraafplaats Duynheaghe</t>
  </si>
  <si>
    <t xml:space="preserve">Totaal UB        GH0007 - Kostenplaats: Uitbesteed; Locatie: Begraafplaats Duynheaghe, , </t>
  </si>
  <si>
    <t>UB        GH0008 - Kostenplaats: Uitbesteed; Locatie: Begraafplaats Onsenoort</t>
  </si>
  <si>
    <t xml:space="preserve">Totaal UB        GH0008 - Kostenplaats: Uitbesteed; Locatie: Begraafplaats Onsenoort, , </t>
  </si>
  <si>
    <t>UB        GH0010 - Kostenplaats: Uitbesteed; Locatie: Dierenpark de Schroef</t>
  </si>
  <si>
    <t xml:space="preserve">Totaal UB        GH0010 - Kostenplaats: Uitbesteed; Locatie: Dierenpark de Schroef, , </t>
  </si>
  <si>
    <t>UB        SB0001 - Kostenplaats: Uitbesteed; Locatie: Zwembad Die Heygrave</t>
  </si>
  <si>
    <t xml:space="preserve">Totaal UB        SB0001 - Kostenplaats: Uitbesteed; Locatie: Zwembad Die Heygrave, , </t>
  </si>
  <si>
    <t>R         SB0001 - Kostenplaats: Restaurette; Locatie: Zwembad Die Heygrave</t>
  </si>
  <si>
    <t xml:space="preserve">Totaal R         SB0001 - Kostenplaats: Restaurette; Locatie: Zwembad Die Heygrave, , </t>
  </si>
  <si>
    <t>UB        SB0002 - Kostenplaats: Uitbesteed; Locatie: Sporthal Die Heygrave</t>
  </si>
  <si>
    <t xml:space="preserve">Totaal UB        SB0002 - Kostenplaats: Uitbesteed; Locatie: Sporthal Die Heygrave, , </t>
  </si>
  <si>
    <t>R         SB0002 - Kostenplaats: Restaurette; Locatie: Sporthal Die Heygrave</t>
  </si>
  <si>
    <t xml:space="preserve">Totaal R         SB0002 - Kostenplaats: Restaurette; Locatie: Sporthal Die Heygrave, , </t>
  </si>
  <si>
    <t>GGD       SB0002 - Kostenplaats: GGD; Locatie: Sporthal Die Heygrave</t>
  </si>
  <si>
    <t xml:space="preserve">Totaal GGD       SB0002 - Kostenplaats: GGD; Locatie: Sporthal Die Heygrave, , </t>
  </si>
  <si>
    <t>UB        SB0004 - Kostenplaats: Uitbesteed; Locatie: Gymzaal De Brug</t>
  </si>
  <si>
    <t xml:space="preserve">Totaal UB        SB0004 - Kostenplaats: Uitbesteed; Locatie: Gymzaal De Brug, , </t>
  </si>
  <si>
    <t>UB        SB0005 - Kostenplaats: Uitbesteed; Locatie: Sportzaal De Kubus</t>
  </si>
  <si>
    <t xml:space="preserve">Totaal UB        SB0005 - Kostenplaats: Uitbesteed; Locatie: Sportzaal De Kubus, , </t>
  </si>
  <si>
    <t>UB        SB0006 - Kostenplaats: Uitbesteed; Locatie: Gymzaal De Vennen</t>
  </si>
  <si>
    <t xml:space="preserve">Totaal UB        SB0006 - Kostenplaats: Uitbesteed; Locatie: Gymzaal De Vennen, , </t>
  </si>
  <si>
    <t>W1000</t>
  </si>
  <si>
    <t>Objectleiding weekenddag</t>
  </si>
  <si>
    <t>Totaal niet-meewerkende objectleiding</t>
  </si>
  <si>
    <t>Totaal niet-meewerkende objectleiding (incl. BTW)</t>
  </si>
  <si>
    <t>KOSTENPLAATS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</si>
  <si>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</si>
  <si>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</si>
  <si>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</si>
  <si>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</si>
  <si>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</si>
  <si>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</si>
  <si>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/>
  </si>
  <si>
    <t>Kostenplaats: Uitbesteed; Locatie: Gemeentehuis Vlijmen</t>
  </si>
  <si>
    <t>Kostenplaats: Uitbesteed; Locatie: Gemeentehuis Drunen</t>
  </si>
  <si>
    <t>Kostenplaats: Uitbesteed; Locatie: Gemeentewerf Drunen</t>
  </si>
  <si>
    <t>SB0007</t>
  </si>
  <si>
    <t>Kostenplaats: ; Locatie: Sporthal Dillenburcht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</si>
  <si>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</si>
  <si>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</si>
  <si>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</si>
  <si>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</si>
  <si>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</si>
  <si>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</si>
  <si>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</si>
  <si>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</si>
  <si>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</si>
  <si>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vloeronderhoud</t>
  </si>
  <si>
    <t>tijdsnorm in vloer m²/uur</t>
  </si>
  <si>
    <t>Totaal additioneel werk excl. BTW</t>
  </si>
  <si>
    <t xml:space="preserve">UB        GH0003 - Kostenplaats: Uitbesteed; Locatie: Stadhuis-Bezoekerscentrum Heusden, , </t>
  </si>
  <si>
    <t xml:space="preserve">UB        SB0001 - Kostenplaats: Uitbesteed; Locatie: Zwembad Die Heygrave, , </t>
  </si>
  <si>
    <t xml:space="preserve">UB        SB0002 - Kostenplaats: Uitbesteed; Locatie: Sporthal Die Heygrave, , </t>
  </si>
  <si>
    <t xml:space="preserve">UB        SB0004 - Kostenplaats: Uitbesteed; Locatie: Gymzaal De Brug, , </t>
  </si>
  <si>
    <t xml:space="preserve">UB        SB0005 - Kostenplaats: Uitbesteed; Locatie: Sportzaal De Kubus, , </t>
  </si>
  <si>
    <t xml:space="preserve">UB        SB0006 - Kostenplaats: Uitbesteed; Locatie: Gymzaal De Vennen, , </t>
  </si>
  <si>
    <t>1500</t>
  </si>
  <si>
    <t>Medewerker regiewerkzaamheden</t>
  </si>
  <si>
    <t>prijs per uur</t>
  </si>
  <si>
    <t>1600</t>
  </si>
  <si>
    <t>Medewerker specialistische werkzaamheden</t>
  </si>
  <si>
    <t>1700</t>
  </si>
  <si>
    <t>Medewerker verwijderen graffiti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</si>
  <si>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</si>
  <si>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</si>
  <si>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</si>
  <si>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</si>
  <si>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</si>
  <si>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</si>
  <si>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</si>
  <si>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</si>
  <si>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</si>
  <si>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</si>
  <si>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</si>
  <si>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</si>
  <si>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</si>
  <si>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</si>
  <si>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</si>
  <si>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</si>
  <si>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</si>
  <si>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</si>
  <si>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</si>
  <si>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</si>
  <si>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</si>
  <si>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</si>
  <si>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</si>
  <si>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</si>
  <si>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</si>
  <si>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</si>
  <si>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</si>
  <si>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</si>
  <si>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</si>
  <si>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</si>
  <si>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</si>
  <si>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</si>
  <si>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</si>
  <si>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</si>
  <si>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</si>
  <si>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</si>
  <si>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</si>
  <si>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</si>
  <si>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</si>
  <si>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</si>
  <si>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</si>
  <si>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</si>
  <si>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</si>
  <si>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</si>
  <si>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</si>
  <si>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</si>
  <si>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</si>
  <si>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</si>
  <si>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</si>
  <si>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</si>
  <si>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</si>
  <si>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</si>
  <si>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</si>
  <si>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</si>
  <si>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</si>
  <si>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</si>
  <si>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</si>
  <si>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</si>
  <si>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</si>
  <si>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</si>
  <si>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</si>
  <si>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</si>
  <si>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</si>
  <si>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</si>
  <si>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</si>
  <si>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</si>
  <si>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</si>
  <si>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</si>
  <si>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</si>
  <si>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</si>
  <si>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</si>
  <si>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</si>
  <si>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</si>
  <si>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</si>
  <si>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</si>
  <si>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</si>
  <si>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</si>
  <si>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</si>
  <si>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</si>
  <si>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</si>
  <si>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</si>
  <si>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</si>
  <si>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</si>
  <si>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</si>
  <si>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</si>
  <si>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</si>
  <si>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</si>
  <si>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</si>
  <si>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</si>
  <si>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</si>
  <si>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</si>
  <si>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</si>
  <si>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</si>
  <si>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</si>
  <si>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</si>
  <si>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</si>
  <si>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</si>
  <si>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</si>
  <si>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</si>
  <si>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</si>
  <si>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</si>
  <si>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</si>
  <si>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</si>
  <si>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</si>
  <si>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</si>
  <si>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</si>
  <si>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</si>
  <si>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</si>
  <si>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</si>
  <si>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</si>
  <si>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</si>
  <si>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</si>
  <si>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</si>
  <si>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</si>
  <si>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</si>
  <si>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</si>
  <si>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</si>
  <si>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</si>
  <si>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</si>
  <si>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</si>
  <si>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</si>
  <si>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</si>
  <si>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</si>
  <si>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</si>
  <si>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</si>
  <si>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</si>
  <si>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</si>
  <si>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</si>
  <si>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8040</t>
  </si>
  <si>
    <t>Glas in loodramen (Gevel-binnen)</t>
  </si>
  <si>
    <t>8100</t>
  </si>
  <si>
    <t>Overkapping fietsenstalling Gem Drunen</t>
  </si>
  <si>
    <t>8120</t>
  </si>
  <si>
    <t>Overkapping fietsenstalling gemeentewerf</t>
  </si>
  <si>
    <t>8140</t>
  </si>
  <si>
    <t>Entree luifel</t>
  </si>
  <si>
    <t>8150</t>
  </si>
  <si>
    <t>Dakglas</t>
  </si>
  <si>
    <t>8160</t>
  </si>
  <si>
    <t>Lichtkoepel buitenzijde</t>
  </si>
  <si>
    <t>Garagedeuren</t>
  </si>
  <si>
    <t>8200</t>
  </si>
  <si>
    <t>Inzet hoogwerker</t>
  </si>
  <si>
    <t>prijs per dag</t>
  </si>
  <si>
    <t>Totaal glas excl. BTW</t>
  </si>
  <si>
    <t xml:space="preserve">UB        GH0001 - Kostenplaats: Uitbesteed; Locatie: Gemeentehuis Vlijmen, , </t>
  </si>
  <si>
    <t xml:space="preserve">Totaal UB        GH0001 - Kostenplaats: Uitbesteed; Locatie: Gemeentehuis Vlijmen, , </t>
  </si>
  <si>
    <t xml:space="preserve">UB        GH0002 - Kostenplaats: Uitbesteed; Locatie: Gemeentehuis Drunen, , </t>
  </si>
  <si>
    <t xml:space="preserve">Totaal UB        GH0002 - Kostenplaats: Uitbesteed; Locatie: Gemeentehuis Drunen, , </t>
  </si>
  <si>
    <t xml:space="preserve">UB        GH0004 - Kostenplaats: Uitbesteed; Locatie: Gemeentewerf Drunen, , </t>
  </si>
  <si>
    <t xml:space="preserve">Totaal UB        GH0004 - Kostenplaats: Uitbesteed; Locatie: Gemeentewerf Drunen, , </t>
  </si>
  <si>
    <t xml:space="preserve">UB        GH0006 - Kostenplaats: Uitbesteed; Locatie: Havenwachthuisje Heusden (openb. toilet), , </t>
  </si>
  <si>
    <t xml:space="preserve">UB        GH0007 - Kostenplaats: Uitbesteed; Locatie: Begraafplaats Duynheaghe, , </t>
  </si>
  <si>
    <t xml:space="preserve">UB        GH0008 - Kostenplaats: Uitbesteed; Locatie: Begraafplaats Onsenoort, , </t>
  </si>
  <si>
    <t xml:space="preserve">UB        GH0010 - Kostenplaats: Uitbesteed; Locatie: Dierenpark de Schroef, , </t>
  </si>
  <si>
    <t xml:space="preserve">GGD       SB0002 - Kostenplaats: GGD; Locatie: Sporthal Die Heygrave, , </t>
  </si>
  <si>
    <t xml:space="preserve">SB0007 - Kostenplaats: ; Locatie: Sporthal Dillenburcht, , </t>
  </si>
  <si>
    <t xml:space="preserve">Totaal SB0007 - Kostenplaats: ; Locatie: Sporthal Dillenburcht, , </t>
  </si>
  <si>
    <t>Soort werk</t>
  </si>
  <si>
    <t>Uren per jaar uitvoering</t>
  </si>
  <si>
    <t>Uren per jaar leiding</t>
  </si>
  <si>
    <t>Bedrag per jaar excl. BTW (euro)</t>
  </si>
  <si>
    <t>Bedrag per jaar incl. BTW (euro)</t>
  </si>
  <si>
    <t>Regulier werk</t>
  </si>
  <si>
    <t>Additioneel werk</t>
  </si>
  <si>
    <t>Afroepwerk (geschatte frequenties)</t>
  </si>
  <si>
    <t>Glas</t>
  </si>
  <si>
    <t>Totaal generaal</t>
  </si>
  <si>
    <t>Percentage objectleiding</t>
  </si>
  <si>
    <t>BEGROOT BEDRAG REGULIERE WERKZAAMHEDEN (NIET HOGER DAN BUDGET)</t>
  </si>
  <si>
    <t>VERGELIJKINGSBEDRAG AFROEP/REGIE/GLASBEWASSING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</si>
</sst>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2" borderId="16" xfId="0" applyNumberFormat="1" applyFill="1" applyBorder="1"/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12" xfId="0" applyNumberFormat="1" applyFill="1" applyBorder="1"/>
    <xf numFmtId="0" fontId="0" fillId="3" borderId="10" xfId="0" applyFill="1" applyBorder="1" applyAlignment="1"/>
    <xf numFmtId="0" fontId="0" fillId="3" borderId="12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17" xfId="0" applyFont="1" applyFill="1" applyBorder="1"/>
    <xf numFmtId="0" fontId="3" fillId="5" borderId="17" xfId="0" applyFont="1" applyFill="1" applyBorder="1"/>
    <xf numFmtId="164" fontId="2" fillId="6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4A4C-EA98-4914-A02A-36996B7DA327}">
  <dimension ref="A1:B32"/>
  <sheetViews>
    <sheetView workbookViewId="0"/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 t="s">
        <v>2</v>
      </c>
      <c r="B5" t="s">
        <v>3</v>
      </c>
    </row>
    <row r="7" spans="1:2" x14ac:dyDescent="0.25">
      <c r="A7" s="4" t="s">
        <v>4</v>
      </c>
      <c r="B7" s="5"/>
    </row>
    <row r="8" spans="1:2" x14ac:dyDescent="0.25">
      <c r="A8" s="2"/>
      <c r="B8" s="3"/>
    </row>
    <row r="9" spans="1:2" x14ac:dyDescent="0.25">
      <c r="A9" s="2" t="s">
        <v>5</v>
      </c>
      <c r="B9" s="3">
        <v>255</v>
      </c>
    </row>
    <row r="10" spans="1:2" x14ac:dyDescent="0.25">
      <c r="A10" s="2" t="s">
        <v>6</v>
      </c>
      <c r="B10" s="3">
        <v>5</v>
      </c>
    </row>
    <row r="11" spans="1:2" x14ac:dyDescent="0.25">
      <c r="A11" s="2"/>
      <c r="B11" s="3"/>
    </row>
    <row r="12" spans="1:2" x14ac:dyDescent="0.25">
      <c r="A12" s="2" t="s">
        <v>7</v>
      </c>
      <c r="B12" s="3" t="s">
        <v>8</v>
      </c>
    </row>
    <row r="13" spans="1:2" x14ac:dyDescent="0.25">
      <c r="A13" s="2" t="s">
        <v>9</v>
      </c>
      <c r="B13" s="3">
        <f t="shared" ref="B13:B32" si="0">IF(A13="2½W",2.5/dagenperweek1,IF(RIGHT(A13,1)="W",VALUE(LEFT(A13,LEN(A13)-1))/dagenperweek1,IF(RIGHT(A13,1)="J",VALUE(LEFT(A13,LEN(A13)-1))/dagenperjaar1,"handmatig!")))</f>
        <v>1</v>
      </c>
    </row>
    <row r="14" spans="1:2" x14ac:dyDescent="0.25">
      <c r="A14" s="2" t="s">
        <v>10</v>
      </c>
      <c r="B14" s="3">
        <f t="shared" si="0"/>
        <v>1</v>
      </c>
    </row>
    <row r="15" spans="1:2" x14ac:dyDescent="0.25">
      <c r="A15" s="2" t="s">
        <v>11</v>
      </c>
      <c r="B15" s="3">
        <f t="shared" si="0"/>
        <v>0.96078431372549022</v>
      </c>
    </row>
    <row r="16" spans="1:2" x14ac:dyDescent="0.25">
      <c r="A16" s="2" t="s">
        <v>12</v>
      </c>
      <c r="B16" s="3">
        <f t="shared" si="0"/>
        <v>0.90196078431372551</v>
      </c>
    </row>
    <row r="17" spans="1:2" x14ac:dyDescent="0.25">
      <c r="A17" s="2" t="s">
        <v>13</v>
      </c>
      <c r="B17" s="3">
        <f t="shared" si="0"/>
        <v>0.8</v>
      </c>
    </row>
    <row r="18" spans="1:2" x14ac:dyDescent="0.25">
      <c r="A18" s="2" t="s">
        <v>14</v>
      </c>
      <c r="B18" s="3">
        <f t="shared" si="0"/>
        <v>0.6</v>
      </c>
    </row>
    <row r="19" spans="1:2" x14ac:dyDescent="0.25">
      <c r="A19" s="2" t="s">
        <v>15</v>
      </c>
      <c r="B19" s="3">
        <f t="shared" si="0"/>
        <v>0.6</v>
      </c>
    </row>
    <row r="20" spans="1:2" x14ac:dyDescent="0.25">
      <c r="A20" s="2" t="s">
        <v>16</v>
      </c>
      <c r="B20" s="3">
        <f t="shared" si="0"/>
        <v>0.4</v>
      </c>
    </row>
    <row r="21" spans="1:2" x14ac:dyDescent="0.25">
      <c r="A21" s="2" t="s">
        <v>17</v>
      </c>
      <c r="B21" s="3">
        <f t="shared" si="0"/>
        <v>0.3843137254901961</v>
      </c>
    </row>
    <row r="22" spans="1:2" x14ac:dyDescent="0.25">
      <c r="A22" s="2" t="s">
        <v>18</v>
      </c>
      <c r="B22" s="3">
        <f t="shared" si="0"/>
        <v>0.2</v>
      </c>
    </row>
    <row r="23" spans="1:2" x14ac:dyDescent="0.25">
      <c r="A23" s="2" t="s">
        <v>19</v>
      </c>
      <c r="B23" s="3">
        <f t="shared" si="0"/>
        <v>0.2</v>
      </c>
    </row>
    <row r="24" spans="1:2" x14ac:dyDescent="0.25">
      <c r="A24" s="2" t="s">
        <v>20</v>
      </c>
      <c r="B24" s="3">
        <f t="shared" si="0"/>
        <v>0.19215686274509805</v>
      </c>
    </row>
    <row r="25" spans="1:2" x14ac:dyDescent="0.25">
      <c r="A25" s="2" t="s">
        <v>21</v>
      </c>
      <c r="B25" s="3">
        <f t="shared" si="0"/>
        <v>0.1803921568627451</v>
      </c>
    </row>
    <row r="26" spans="1:2" x14ac:dyDescent="0.25">
      <c r="A26" s="2" t="s">
        <v>22</v>
      </c>
      <c r="B26" s="3">
        <f t="shared" si="0"/>
        <v>0.10196078431372549</v>
      </c>
    </row>
    <row r="27" spans="1:2" x14ac:dyDescent="0.25">
      <c r="A27" s="2" t="s">
        <v>23</v>
      </c>
      <c r="B27" s="3">
        <f t="shared" si="0"/>
        <v>4.7058823529411764E-2</v>
      </c>
    </row>
    <row r="28" spans="1:2" x14ac:dyDescent="0.25">
      <c r="A28" s="2" t="s">
        <v>24</v>
      </c>
      <c r="B28" s="3">
        <f t="shared" si="0"/>
        <v>2.3529411764705882E-2</v>
      </c>
    </row>
    <row r="29" spans="1:2" x14ac:dyDescent="0.25">
      <c r="A29" s="2" t="s">
        <v>25</v>
      </c>
      <c r="B29" s="3">
        <f t="shared" si="0"/>
        <v>1.5686274509803921E-2</v>
      </c>
    </row>
    <row r="30" spans="1:2" x14ac:dyDescent="0.25">
      <c r="A30" s="2" t="s">
        <v>26</v>
      </c>
      <c r="B30" s="3">
        <f t="shared" si="0"/>
        <v>1.1764705882352941E-2</v>
      </c>
    </row>
    <row r="31" spans="1:2" x14ac:dyDescent="0.25">
      <c r="A31" s="2" t="s">
        <v>27</v>
      </c>
      <c r="B31" s="3">
        <f t="shared" si="0"/>
        <v>7.8431372549019607E-3</v>
      </c>
    </row>
    <row r="32" spans="1:2" x14ac:dyDescent="0.25">
      <c r="A32" s="6" t="s">
        <v>28</v>
      </c>
      <c r="B32" s="7">
        <f t="shared" si="0"/>
        <v>3.9215686274509803E-3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E3513-75FE-4EFB-A132-F98BED792C4A}">
  <dimension ref="A1:L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H.8: ",tabeltype," afroep")</f>
        <v>Bijlage H.8: Invultabel afroep</v>
      </c>
    </row>
    <row r="3" spans="1:12" ht="45" x14ac:dyDescent="0.25">
      <c r="A3" s="8" t="s">
        <v>380</v>
      </c>
      <c r="B3" s="8" t="s">
        <v>7</v>
      </c>
      <c r="C3" s="8" t="s">
        <v>381</v>
      </c>
      <c r="D3" s="8" t="s">
        <v>32</v>
      </c>
      <c r="E3" s="8" t="s">
        <v>35</v>
      </c>
      <c r="F3" s="8" t="s">
        <v>382</v>
      </c>
      <c r="G3" s="8" t="s">
        <v>383</v>
      </c>
      <c r="H3" s="8" t="s">
        <v>384</v>
      </c>
      <c r="I3" s="8" t="s">
        <v>385</v>
      </c>
      <c r="J3" s="8" t="s">
        <v>386</v>
      </c>
      <c r="K3" s="8" t="s">
        <v>173</v>
      </c>
      <c r="L3" s="8" t="s">
        <v>307</v>
      </c>
    </row>
    <row r="4" spans="1:12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5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5">
      <c r="A6" s="15" t="s">
        <v>397</v>
      </c>
      <c r="B6" s="15" t="s">
        <v>23</v>
      </c>
      <c r="C6" s="16">
        <f>IF(ISBLANK(B6),0,IF(ISERROR(VALUE(B6)),VLOOKUP(B6,dagsoorttabel1,2,FALSE)*dagenperjaar1,VALUE(B6)))</f>
        <v>12</v>
      </c>
      <c r="D6" s="15" t="s">
        <v>398</v>
      </c>
      <c r="E6" s="15" t="s">
        <v>399</v>
      </c>
      <c r="F6" s="87">
        <v>20</v>
      </c>
      <c r="G6" s="19"/>
      <c r="H6" s="88"/>
      <c r="I6" s="19"/>
      <c r="J6" s="32">
        <f>IF(ISBLANK(F6),0,F6)*I6</f>
        <v>0</v>
      </c>
      <c r="K6" s="32">
        <f>C6*J6</f>
        <v>0</v>
      </c>
      <c r="L6" s="32">
        <f>K6/12</f>
        <v>0</v>
      </c>
    </row>
    <row r="7" spans="1:12" x14ac:dyDescent="0.25">
      <c r="A7" s="20" t="s">
        <v>400</v>
      </c>
      <c r="B7" s="20" t="s">
        <v>23</v>
      </c>
      <c r="C7" s="21">
        <f>IF(ISBLANK(B7),0,IF(ISERROR(VALUE(B7)),VLOOKUP(B7,dagsoorttabel1,2,FALSE)*dagenperjaar1,VALUE(B7)))</f>
        <v>12</v>
      </c>
      <c r="D7" s="20" t="s">
        <v>401</v>
      </c>
      <c r="E7" s="20" t="s">
        <v>399</v>
      </c>
      <c r="F7" s="89">
        <v>10</v>
      </c>
      <c r="G7" s="24"/>
      <c r="H7" s="90"/>
      <c r="I7" s="24"/>
      <c r="J7" s="35">
        <f>IF(ISBLANK(F7),0,F7)*I7</f>
        <v>0</v>
      </c>
      <c r="K7" s="35">
        <f>C7*J7</f>
        <v>0</v>
      </c>
      <c r="L7" s="35">
        <f>K7/12</f>
        <v>0</v>
      </c>
    </row>
    <row r="8" spans="1:12" x14ac:dyDescent="0.25">
      <c r="A8" s="25" t="s">
        <v>402</v>
      </c>
      <c r="B8" s="25" t="s">
        <v>23</v>
      </c>
      <c r="C8" s="26">
        <f>IF(ISBLANK(B8),0,IF(ISERROR(VALUE(B8)),VLOOKUP(B8,dagsoorttabel1,2,FALSE)*dagenperjaar1,VALUE(B8)))</f>
        <v>12</v>
      </c>
      <c r="D8" s="25" t="s">
        <v>403</v>
      </c>
      <c r="E8" s="25" t="s">
        <v>399</v>
      </c>
      <c r="F8" s="91">
        <v>5</v>
      </c>
      <c r="G8" s="29"/>
      <c r="H8" s="92"/>
      <c r="I8" s="29"/>
      <c r="J8" s="39">
        <f>IF(ISBLANK(F8),0,F8)*I8</f>
        <v>0</v>
      </c>
      <c r="K8" s="39">
        <f>C8*J8</f>
        <v>0</v>
      </c>
      <c r="L8" s="39">
        <f>K8/12</f>
        <v>0</v>
      </c>
    </row>
    <row r="9" spans="1:12" x14ac:dyDescent="0.25">
      <c r="A9" s="40" t="s">
        <v>248</v>
      </c>
      <c r="B9" s="41"/>
      <c r="C9" s="41"/>
      <c r="D9" s="41"/>
      <c r="E9" s="41"/>
      <c r="F9" s="41"/>
      <c r="G9" s="41"/>
      <c r="H9" s="41"/>
      <c r="I9" s="41"/>
      <c r="J9" s="41"/>
      <c r="K9" s="43">
        <f>SUM(K6:K8)</f>
        <v>0</v>
      </c>
      <c r="L9" s="82">
        <f>K9/12</f>
        <v>0</v>
      </c>
    </row>
    <row r="11" spans="1:12" x14ac:dyDescent="0.25">
      <c r="A11" s="40" t="s">
        <v>404</v>
      </c>
      <c r="B11" s="41"/>
      <c r="C11" s="41"/>
      <c r="D11" s="41"/>
      <c r="E11" s="41"/>
      <c r="F11" s="41"/>
      <c r="G11" s="41"/>
      <c r="H11" s="41"/>
      <c r="I11" s="41"/>
      <c r="J11" s="41"/>
      <c r="K11" s="43">
        <f>prijsjaarafroep1</f>
        <v>0</v>
      </c>
      <c r="L11" s="82">
        <f>K11/12</f>
        <v>0</v>
      </c>
    </row>
  </sheetData>
  <pageMargins left="0.7" right="0.7" top="0.75" bottom="0.75" header="0.3" footer="0.3"/>
  <pageSetup scale="65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7F9D-21AE-4A65-B354-CB33D6F0E890}">
  <dimension ref="A1:E92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 x14ac:dyDescent="0.25">
      <c r="A1" s="1" t="str">
        <f>CONCATENATE("Bijlage H.9: ",tabeltype," afroep incidenteel")</f>
        <v>Bijlage H.9: Invultabel afroep incidenteel</v>
      </c>
    </row>
    <row r="3" spans="1:5" ht="45" x14ac:dyDescent="0.25">
      <c r="A3" s="8" t="s">
        <v>380</v>
      </c>
      <c r="B3" s="8" t="s">
        <v>32</v>
      </c>
      <c r="C3" s="8" t="s">
        <v>35</v>
      </c>
      <c r="D3" s="8" t="s">
        <v>405</v>
      </c>
      <c r="E3" s="8" t="s">
        <v>385</v>
      </c>
    </row>
    <row r="4" spans="1:5" x14ac:dyDescent="0.25">
      <c r="A4" s="9"/>
      <c r="B4" s="10"/>
      <c r="C4" s="10"/>
      <c r="D4" s="10"/>
      <c r="E4" s="11"/>
    </row>
    <row r="5" spans="1:5" x14ac:dyDescent="0.25">
      <c r="A5" s="12" t="s">
        <v>37</v>
      </c>
      <c r="B5" s="13"/>
      <c r="C5" s="13"/>
      <c r="D5" s="13"/>
      <c r="E5" s="14"/>
    </row>
    <row r="6" spans="1:5" x14ac:dyDescent="0.25">
      <c r="A6" s="15" t="s">
        <v>406</v>
      </c>
      <c r="B6" s="15" t="s">
        <v>407</v>
      </c>
      <c r="C6" s="15" t="s">
        <v>408</v>
      </c>
      <c r="D6" s="15" t="s">
        <v>409</v>
      </c>
      <c r="E6" s="19"/>
    </row>
    <row r="7" spans="1:5" x14ac:dyDescent="0.25">
      <c r="A7" s="20" t="s">
        <v>410</v>
      </c>
      <c r="B7" s="20" t="s">
        <v>407</v>
      </c>
      <c r="C7" s="20" t="s">
        <v>408</v>
      </c>
      <c r="D7" s="20" t="s">
        <v>411</v>
      </c>
      <c r="E7" s="24"/>
    </row>
    <row r="8" spans="1:5" x14ac:dyDescent="0.25">
      <c r="A8" s="20" t="s">
        <v>412</v>
      </c>
      <c r="B8" s="20" t="s">
        <v>407</v>
      </c>
      <c r="C8" s="20" t="s">
        <v>408</v>
      </c>
      <c r="D8" s="20" t="s">
        <v>413</v>
      </c>
      <c r="E8" s="24"/>
    </row>
    <row r="9" spans="1:5" x14ac:dyDescent="0.25">
      <c r="A9" s="20" t="s">
        <v>414</v>
      </c>
      <c r="B9" s="20" t="s">
        <v>407</v>
      </c>
      <c r="C9" s="20" t="s">
        <v>408</v>
      </c>
      <c r="D9" s="20" t="s">
        <v>415</v>
      </c>
      <c r="E9" s="24"/>
    </row>
    <row r="10" spans="1:5" x14ac:dyDescent="0.25">
      <c r="A10" s="20" t="s">
        <v>416</v>
      </c>
      <c r="B10" s="20" t="s">
        <v>417</v>
      </c>
      <c r="C10" s="20" t="s">
        <v>408</v>
      </c>
      <c r="D10" s="20" t="s">
        <v>409</v>
      </c>
      <c r="E10" s="24"/>
    </row>
    <row r="11" spans="1:5" x14ac:dyDescent="0.25">
      <c r="A11" s="20" t="s">
        <v>418</v>
      </c>
      <c r="B11" s="20" t="s">
        <v>417</v>
      </c>
      <c r="C11" s="20" t="s">
        <v>408</v>
      </c>
      <c r="D11" s="20" t="s">
        <v>411</v>
      </c>
      <c r="E11" s="24"/>
    </row>
    <row r="12" spans="1:5" x14ac:dyDescent="0.25">
      <c r="A12" s="20" t="s">
        <v>419</v>
      </c>
      <c r="B12" s="20" t="s">
        <v>417</v>
      </c>
      <c r="C12" s="20" t="s">
        <v>408</v>
      </c>
      <c r="D12" s="20" t="s">
        <v>413</v>
      </c>
      <c r="E12" s="24"/>
    </row>
    <row r="13" spans="1:5" x14ac:dyDescent="0.25">
      <c r="A13" s="20" t="s">
        <v>420</v>
      </c>
      <c r="B13" s="20" t="s">
        <v>417</v>
      </c>
      <c r="C13" s="20" t="s">
        <v>408</v>
      </c>
      <c r="D13" s="20" t="s">
        <v>415</v>
      </c>
      <c r="E13" s="24"/>
    </row>
    <row r="14" spans="1:5" x14ac:dyDescent="0.25">
      <c r="A14" s="20" t="s">
        <v>421</v>
      </c>
      <c r="B14" s="20" t="s">
        <v>422</v>
      </c>
      <c r="C14" s="20" t="s">
        <v>408</v>
      </c>
      <c r="D14" s="20" t="s">
        <v>409</v>
      </c>
      <c r="E14" s="24"/>
    </row>
    <row r="15" spans="1:5" x14ac:dyDescent="0.25">
      <c r="A15" s="20" t="s">
        <v>423</v>
      </c>
      <c r="B15" s="20" t="s">
        <v>422</v>
      </c>
      <c r="C15" s="20" t="s">
        <v>408</v>
      </c>
      <c r="D15" s="20" t="s">
        <v>411</v>
      </c>
      <c r="E15" s="24"/>
    </row>
    <row r="16" spans="1:5" x14ac:dyDescent="0.25">
      <c r="A16" s="20" t="s">
        <v>424</v>
      </c>
      <c r="B16" s="20" t="s">
        <v>422</v>
      </c>
      <c r="C16" s="20" t="s">
        <v>408</v>
      </c>
      <c r="D16" s="20" t="s">
        <v>413</v>
      </c>
      <c r="E16" s="24"/>
    </row>
    <row r="17" spans="1:5" x14ac:dyDescent="0.25">
      <c r="A17" s="20" t="s">
        <v>425</v>
      </c>
      <c r="B17" s="20" t="s">
        <v>422</v>
      </c>
      <c r="C17" s="20" t="s">
        <v>408</v>
      </c>
      <c r="D17" s="20" t="s">
        <v>415</v>
      </c>
      <c r="E17" s="24"/>
    </row>
    <row r="18" spans="1:5" x14ac:dyDescent="0.25">
      <c r="A18" s="20" t="s">
        <v>426</v>
      </c>
      <c r="B18" s="20" t="s">
        <v>427</v>
      </c>
      <c r="C18" s="20" t="s">
        <v>408</v>
      </c>
      <c r="D18" s="20" t="s">
        <v>409</v>
      </c>
      <c r="E18" s="24"/>
    </row>
    <row r="19" spans="1:5" x14ac:dyDescent="0.25">
      <c r="A19" s="20" t="s">
        <v>428</v>
      </c>
      <c r="B19" s="20" t="s">
        <v>427</v>
      </c>
      <c r="C19" s="20" t="s">
        <v>408</v>
      </c>
      <c r="D19" s="20" t="s">
        <v>411</v>
      </c>
      <c r="E19" s="24"/>
    </row>
    <row r="20" spans="1:5" x14ac:dyDescent="0.25">
      <c r="A20" s="20" t="s">
        <v>429</v>
      </c>
      <c r="B20" s="20" t="s">
        <v>427</v>
      </c>
      <c r="C20" s="20" t="s">
        <v>408</v>
      </c>
      <c r="D20" s="20" t="s">
        <v>413</v>
      </c>
      <c r="E20" s="24"/>
    </row>
    <row r="21" spans="1:5" x14ac:dyDescent="0.25">
      <c r="A21" s="20" t="s">
        <v>430</v>
      </c>
      <c r="B21" s="20" t="s">
        <v>427</v>
      </c>
      <c r="C21" s="20" t="s">
        <v>408</v>
      </c>
      <c r="D21" s="20" t="s">
        <v>415</v>
      </c>
      <c r="E21" s="24"/>
    </row>
    <row r="22" spans="1:5" x14ac:dyDescent="0.25">
      <c r="A22" s="20" t="s">
        <v>431</v>
      </c>
      <c r="B22" s="20" t="s">
        <v>432</v>
      </c>
      <c r="C22" s="20" t="s">
        <v>433</v>
      </c>
      <c r="D22" s="20" t="s">
        <v>434</v>
      </c>
      <c r="E22" s="24"/>
    </row>
    <row r="23" spans="1:5" x14ac:dyDescent="0.25">
      <c r="A23" s="20" t="s">
        <v>435</v>
      </c>
      <c r="B23" s="20" t="s">
        <v>432</v>
      </c>
      <c r="C23" s="20" t="s">
        <v>433</v>
      </c>
      <c r="D23" s="20" t="s">
        <v>436</v>
      </c>
      <c r="E23" s="24"/>
    </row>
    <row r="24" spans="1:5" x14ac:dyDescent="0.25">
      <c r="A24" s="20" t="s">
        <v>437</v>
      </c>
      <c r="B24" s="20" t="s">
        <v>432</v>
      </c>
      <c r="C24" s="20" t="s">
        <v>433</v>
      </c>
      <c r="D24" s="20" t="s">
        <v>438</v>
      </c>
      <c r="E24" s="24"/>
    </row>
    <row r="25" spans="1:5" x14ac:dyDescent="0.25">
      <c r="A25" s="20" t="s">
        <v>439</v>
      </c>
      <c r="B25" s="20" t="s">
        <v>432</v>
      </c>
      <c r="C25" s="20" t="s">
        <v>433</v>
      </c>
      <c r="D25" s="20" t="s">
        <v>440</v>
      </c>
      <c r="E25" s="24"/>
    </row>
    <row r="26" spans="1:5" x14ac:dyDescent="0.25">
      <c r="A26" s="20" t="s">
        <v>441</v>
      </c>
      <c r="B26" s="20" t="s">
        <v>442</v>
      </c>
      <c r="C26" s="20" t="s">
        <v>433</v>
      </c>
      <c r="D26" s="20" t="s">
        <v>434</v>
      </c>
      <c r="E26" s="24"/>
    </row>
    <row r="27" spans="1:5" x14ac:dyDescent="0.25">
      <c r="A27" s="20" t="s">
        <v>443</v>
      </c>
      <c r="B27" s="20" t="s">
        <v>442</v>
      </c>
      <c r="C27" s="20" t="s">
        <v>433</v>
      </c>
      <c r="D27" s="20" t="s">
        <v>436</v>
      </c>
      <c r="E27" s="24"/>
    </row>
    <row r="28" spans="1:5" x14ac:dyDescent="0.25">
      <c r="A28" s="20" t="s">
        <v>444</v>
      </c>
      <c r="B28" s="20" t="s">
        <v>442</v>
      </c>
      <c r="C28" s="20" t="s">
        <v>433</v>
      </c>
      <c r="D28" s="20" t="s">
        <v>438</v>
      </c>
      <c r="E28" s="24"/>
    </row>
    <row r="29" spans="1:5" x14ac:dyDescent="0.25">
      <c r="A29" s="20" t="s">
        <v>445</v>
      </c>
      <c r="B29" s="20" t="s">
        <v>442</v>
      </c>
      <c r="C29" s="20" t="s">
        <v>433</v>
      </c>
      <c r="D29" s="20" t="s">
        <v>440</v>
      </c>
      <c r="E29" s="24"/>
    </row>
    <row r="30" spans="1:5" x14ac:dyDescent="0.25">
      <c r="A30" s="20" t="s">
        <v>446</v>
      </c>
      <c r="B30" s="20" t="s">
        <v>447</v>
      </c>
      <c r="C30" s="20" t="s">
        <v>433</v>
      </c>
      <c r="D30" s="20" t="s">
        <v>434</v>
      </c>
      <c r="E30" s="24"/>
    </row>
    <row r="31" spans="1:5" x14ac:dyDescent="0.25">
      <c r="A31" s="20" t="s">
        <v>448</v>
      </c>
      <c r="B31" s="20" t="s">
        <v>447</v>
      </c>
      <c r="C31" s="20" t="s">
        <v>433</v>
      </c>
      <c r="D31" s="20" t="s">
        <v>436</v>
      </c>
      <c r="E31" s="24"/>
    </row>
    <row r="32" spans="1:5" x14ac:dyDescent="0.25">
      <c r="A32" s="20" t="s">
        <v>449</v>
      </c>
      <c r="B32" s="20" t="s">
        <v>447</v>
      </c>
      <c r="C32" s="20" t="s">
        <v>433</v>
      </c>
      <c r="D32" s="20" t="s">
        <v>438</v>
      </c>
      <c r="E32" s="24"/>
    </row>
    <row r="33" spans="1:5" x14ac:dyDescent="0.25">
      <c r="A33" s="20" t="s">
        <v>450</v>
      </c>
      <c r="B33" s="20" t="s">
        <v>447</v>
      </c>
      <c r="C33" s="20" t="s">
        <v>433</v>
      </c>
      <c r="D33" s="20" t="s">
        <v>440</v>
      </c>
      <c r="E33" s="24"/>
    </row>
    <row r="34" spans="1:5" x14ac:dyDescent="0.25">
      <c r="A34" s="20" t="s">
        <v>451</v>
      </c>
      <c r="B34" s="20" t="s">
        <v>452</v>
      </c>
      <c r="C34" s="20" t="s">
        <v>433</v>
      </c>
      <c r="D34" s="20" t="s">
        <v>434</v>
      </c>
      <c r="E34" s="24"/>
    </row>
    <row r="35" spans="1:5" x14ac:dyDescent="0.25">
      <c r="A35" s="20" t="s">
        <v>453</v>
      </c>
      <c r="B35" s="20" t="s">
        <v>452</v>
      </c>
      <c r="C35" s="20" t="s">
        <v>433</v>
      </c>
      <c r="D35" s="20" t="s">
        <v>436</v>
      </c>
      <c r="E35" s="24"/>
    </row>
    <row r="36" spans="1:5" x14ac:dyDescent="0.25">
      <c r="A36" s="20" t="s">
        <v>454</v>
      </c>
      <c r="B36" s="20" t="s">
        <v>452</v>
      </c>
      <c r="C36" s="20" t="s">
        <v>433</v>
      </c>
      <c r="D36" s="20" t="s">
        <v>438</v>
      </c>
      <c r="E36" s="24"/>
    </row>
    <row r="37" spans="1:5" x14ac:dyDescent="0.25">
      <c r="A37" s="20" t="s">
        <v>455</v>
      </c>
      <c r="B37" s="20" t="s">
        <v>452</v>
      </c>
      <c r="C37" s="20" t="s">
        <v>433</v>
      </c>
      <c r="D37" s="20" t="s">
        <v>440</v>
      </c>
      <c r="E37" s="24"/>
    </row>
    <row r="38" spans="1:5" x14ac:dyDescent="0.25">
      <c r="A38" s="20" t="s">
        <v>456</v>
      </c>
      <c r="B38" s="20" t="s">
        <v>457</v>
      </c>
      <c r="C38" s="20" t="s">
        <v>433</v>
      </c>
      <c r="D38" s="20" t="s">
        <v>434</v>
      </c>
      <c r="E38" s="24"/>
    </row>
    <row r="39" spans="1:5" x14ac:dyDescent="0.25">
      <c r="A39" s="20" t="s">
        <v>458</v>
      </c>
      <c r="B39" s="20" t="s">
        <v>457</v>
      </c>
      <c r="C39" s="20" t="s">
        <v>433</v>
      </c>
      <c r="D39" s="20" t="s">
        <v>436</v>
      </c>
      <c r="E39" s="24"/>
    </row>
    <row r="40" spans="1:5" x14ac:dyDescent="0.25">
      <c r="A40" s="20" t="s">
        <v>459</v>
      </c>
      <c r="B40" s="20" t="s">
        <v>457</v>
      </c>
      <c r="C40" s="20" t="s">
        <v>433</v>
      </c>
      <c r="D40" s="20" t="s">
        <v>438</v>
      </c>
      <c r="E40" s="24"/>
    </row>
    <row r="41" spans="1:5" x14ac:dyDescent="0.25">
      <c r="A41" s="20" t="s">
        <v>460</v>
      </c>
      <c r="B41" s="20" t="s">
        <v>457</v>
      </c>
      <c r="C41" s="20" t="s">
        <v>433</v>
      </c>
      <c r="D41" s="20" t="s">
        <v>440</v>
      </c>
      <c r="E41" s="24"/>
    </row>
    <row r="42" spans="1:5" x14ac:dyDescent="0.25">
      <c r="A42" s="20" t="s">
        <v>461</v>
      </c>
      <c r="B42" s="20" t="s">
        <v>462</v>
      </c>
      <c r="C42" s="20" t="s">
        <v>433</v>
      </c>
      <c r="D42" s="20" t="s">
        <v>434</v>
      </c>
      <c r="E42" s="24"/>
    </row>
    <row r="43" spans="1:5" x14ac:dyDescent="0.25">
      <c r="A43" s="20" t="s">
        <v>463</v>
      </c>
      <c r="B43" s="20" t="s">
        <v>462</v>
      </c>
      <c r="C43" s="20" t="s">
        <v>433</v>
      </c>
      <c r="D43" s="20" t="s">
        <v>436</v>
      </c>
      <c r="E43" s="24"/>
    </row>
    <row r="44" spans="1:5" x14ac:dyDescent="0.25">
      <c r="A44" s="20" t="s">
        <v>464</v>
      </c>
      <c r="B44" s="20" t="s">
        <v>462</v>
      </c>
      <c r="C44" s="20" t="s">
        <v>433</v>
      </c>
      <c r="D44" s="20" t="s">
        <v>438</v>
      </c>
      <c r="E44" s="24"/>
    </row>
    <row r="45" spans="1:5" x14ac:dyDescent="0.25">
      <c r="A45" s="20" t="s">
        <v>465</v>
      </c>
      <c r="B45" s="20" t="s">
        <v>462</v>
      </c>
      <c r="C45" s="20" t="s">
        <v>433</v>
      </c>
      <c r="D45" s="20" t="s">
        <v>440</v>
      </c>
      <c r="E45" s="24"/>
    </row>
    <row r="46" spans="1:5" x14ac:dyDescent="0.25">
      <c r="A46" s="20" t="s">
        <v>466</v>
      </c>
      <c r="B46" s="20" t="s">
        <v>467</v>
      </c>
      <c r="C46" s="20" t="s">
        <v>433</v>
      </c>
      <c r="D46" s="20" t="s">
        <v>434</v>
      </c>
      <c r="E46" s="24"/>
    </row>
    <row r="47" spans="1:5" x14ac:dyDescent="0.25">
      <c r="A47" s="20" t="s">
        <v>468</v>
      </c>
      <c r="B47" s="20" t="s">
        <v>467</v>
      </c>
      <c r="C47" s="20" t="s">
        <v>433</v>
      </c>
      <c r="D47" s="20" t="s">
        <v>436</v>
      </c>
      <c r="E47" s="24"/>
    </row>
    <row r="48" spans="1:5" x14ac:dyDescent="0.25">
      <c r="A48" s="20" t="s">
        <v>469</v>
      </c>
      <c r="B48" s="20" t="s">
        <v>467</v>
      </c>
      <c r="C48" s="20" t="s">
        <v>433</v>
      </c>
      <c r="D48" s="20" t="s">
        <v>438</v>
      </c>
      <c r="E48" s="24"/>
    </row>
    <row r="49" spans="1:5" x14ac:dyDescent="0.25">
      <c r="A49" s="20" t="s">
        <v>470</v>
      </c>
      <c r="B49" s="20" t="s">
        <v>467</v>
      </c>
      <c r="C49" s="20" t="s">
        <v>433</v>
      </c>
      <c r="D49" s="20" t="s">
        <v>440</v>
      </c>
      <c r="E49" s="24"/>
    </row>
    <row r="50" spans="1:5" x14ac:dyDescent="0.25">
      <c r="A50" s="20" t="s">
        <v>471</v>
      </c>
      <c r="B50" s="20" t="s">
        <v>472</v>
      </c>
      <c r="C50" s="20" t="s">
        <v>433</v>
      </c>
      <c r="D50" s="20" t="s">
        <v>473</v>
      </c>
      <c r="E50" s="24"/>
    </row>
    <row r="51" spans="1:5" x14ac:dyDescent="0.25">
      <c r="A51" s="20" t="s">
        <v>474</v>
      </c>
      <c r="B51" s="20" t="s">
        <v>472</v>
      </c>
      <c r="C51" s="20" t="s">
        <v>433</v>
      </c>
      <c r="D51" s="20" t="s">
        <v>475</v>
      </c>
      <c r="E51" s="24"/>
    </row>
    <row r="52" spans="1:5" x14ac:dyDescent="0.25">
      <c r="A52" s="20" t="s">
        <v>476</v>
      </c>
      <c r="B52" s="20" t="s">
        <v>472</v>
      </c>
      <c r="C52" s="20" t="s">
        <v>433</v>
      </c>
      <c r="D52" s="20" t="s">
        <v>477</v>
      </c>
      <c r="E52" s="24"/>
    </row>
    <row r="53" spans="1:5" x14ac:dyDescent="0.25">
      <c r="A53" s="20" t="s">
        <v>478</v>
      </c>
      <c r="B53" s="20" t="s">
        <v>472</v>
      </c>
      <c r="C53" s="20" t="s">
        <v>433</v>
      </c>
      <c r="D53" s="20" t="s">
        <v>479</v>
      </c>
      <c r="E53" s="24"/>
    </row>
    <row r="54" spans="1:5" x14ac:dyDescent="0.25">
      <c r="A54" s="20" t="s">
        <v>480</v>
      </c>
      <c r="B54" s="20" t="s">
        <v>481</v>
      </c>
      <c r="C54" s="20" t="s">
        <v>433</v>
      </c>
      <c r="D54" s="20" t="s">
        <v>473</v>
      </c>
      <c r="E54" s="24"/>
    </row>
    <row r="55" spans="1:5" x14ac:dyDescent="0.25">
      <c r="A55" s="20" t="s">
        <v>482</v>
      </c>
      <c r="B55" s="20" t="s">
        <v>481</v>
      </c>
      <c r="C55" s="20" t="s">
        <v>433</v>
      </c>
      <c r="D55" s="20" t="s">
        <v>475</v>
      </c>
      <c r="E55" s="24"/>
    </row>
    <row r="56" spans="1:5" x14ac:dyDescent="0.25">
      <c r="A56" s="20" t="s">
        <v>483</v>
      </c>
      <c r="B56" s="20" t="s">
        <v>481</v>
      </c>
      <c r="C56" s="20" t="s">
        <v>433</v>
      </c>
      <c r="D56" s="20" t="s">
        <v>477</v>
      </c>
      <c r="E56" s="24"/>
    </row>
    <row r="57" spans="1:5" x14ac:dyDescent="0.25">
      <c r="A57" s="20" t="s">
        <v>484</v>
      </c>
      <c r="B57" s="20" t="s">
        <v>481</v>
      </c>
      <c r="C57" s="20" t="s">
        <v>433</v>
      </c>
      <c r="D57" s="20" t="s">
        <v>479</v>
      </c>
      <c r="E57" s="24"/>
    </row>
    <row r="58" spans="1:5" x14ac:dyDescent="0.25">
      <c r="A58" s="20" t="s">
        <v>485</v>
      </c>
      <c r="B58" s="20" t="s">
        <v>486</v>
      </c>
      <c r="C58" s="20" t="s">
        <v>433</v>
      </c>
      <c r="D58" s="20" t="s">
        <v>473</v>
      </c>
      <c r="E58" s="24"/>
    </row>
    <row r="59" spans="1:5" x14ac:dyDescent="0.25">
      <c r="A59" s="20" t="s">
        <v>487</v>
      </c>
      <c r="B59" s="20" t="s">
        <v>486</v>
      </c>
      <c r="C59" s="20" t="s">
        <v>433</v>
      </c>
      <c r="D59" s="20" t="s">
        <v>475</v>
      </c>
      <c r="E59" s="24"/>
    </row>
    <row r="60" spans="1:5" x14ac:dyDescent="0.25">
      <c r="A60" s="20" t="s">
        <v>488</v>
      </c>
      <c r="B60" s="20" t="s">
        <v>486</v>
      </c>
      <c r="C60" s="20" t="s">
        <v>433</v>
      </c>
      <c r="D60" s="20" t="s">
        <v>477</v>
      </c>
      <c r="E60" s="24"/>
    </row>
    <row r="61" spans="1:5" x14ac:dyDescent="0.25">
      <c r="A61" s="20" t="s">
        <v>489</v>
      </c>
      <c r="B61" s="20" t="s">
        <v>486</v>
      </c>
      <c r="C61" s="20" t="s">
        <v>433</v>
      </c>
      <c r="D61" s="20" t="s">
        <v>479</v>
      </c>
      <c r="E61" s="24"/>
    </row>
    <row r="62" spans="1:5" x14ac:dyDescent="0.25">
      <c r="A62" s="20" t="s">
        <v>490</v>
      </c>
      <c r="B62" s="20" t="s">
        <v>491</v>
      </c>
      <c r="C62" s="20" t="s">
        <v>433</v>
      </c>
      <c r="D62" s="20" t="s">
        <v>473</v>
      </c>
      <c r="E62" s="24"/>
    </row>
    <row r="63" spans="1:5" x14ac:dyDescent="0.25">
      <c r="A63" s="20" t="s">
        <v>492</v>
      </c>
      <c r="B63" s="20" t="s">
        <v>491</v>
      </c>
      <c r="C63" s="20" t="s">
        <v>433</v>
      </c>
      <c r="D63" s="20" t="s">
        <v>475</v>
      </c>
      <c r="E63" s="24"/>
    </row>
    <row r="64" spans="1:5" x14ac:dyDescent="0.25">
      <c r="A64" s="20" t="s">
        <v>493</v>
      </c>
      <c r="B64" s="20" t="s">
        <v>491</v>
      </c>
      <c r="C64" s="20" t="s">
        <v>433</v>
      </c>
      <c r="D64" s="20" t="s">
        <v>477</v>
      </c>
      <c r="E64" s="24"/>
    </row>
    <row r="65" spans="1:5" x14ac:dyDescent="0.25">
      <c r="A65" s="20" t="s">
        <v>494</v>
      </c>
      <c r="B65" s="20" t="s">
        <v>491</v>
      </c>
      <c r="C65" s="20" t="s">
        <v>433</v>
      </c>
      <c r="D65" s="20" t="s">
        <v>479</v>
      </c>
      <c r="E65" s="24"/>
    </row>
    <row r="66" spans="1:5" x14ac:dyDescent="0.25">
      <c r="A66" s="20" t="s">
        <v>495</v>
      </c>
      <c r="B66" s="20" t="s">
        <v>496</v>
      </c>
      <c r="C66" s="20" t="s">
        <v>433</v>
      </c>
      <c r="D66" s="20" t="s">
        <v>473</v>
      </c>
      <c r="E66" s="24"/>
    </row>
    <row r="67" spans="1:5" x14ac:dyDescent="0.25">
      <c r="A67" s="20" t="s">
        <v>497</v>
      </c>
      <c r="B67" s="20" t="s">
        <v>496</v>
      </c>
      <c r="C67" s="20" t="s">
        <v>433</v>
      </c>
      <c r="D67" s="20" t="s">
        <v>475</v>
      </c>
      <c r="E67" s="24"/>
    </row>
    <row r="68" spans="1:5" x14ac:dyDescent="0.25">
      <c r="A68" s="20" t="s">
        <v>498</v>
      </c>
      <c r="B68" s="20" t="s">
        <v>496</v>
      </c>
      <c r="C68" s="20" t="s">
        <v>433</v>
      </c>
      <c r="D68" s="20" t="s">
        <v>477</v>
      </c>
      <c r="E68" s="24"/>
    </row>
    <row r="69" spans="1:5" x14ac:dyDescent="0.25">
      <c r="A69" s="20" t="s">
        <v>499</v>
      </c>
      <c r="B69" s="20" t="s">
        <v>496</v>
      </c>
      <c r="C69" s="20" t="s">
        <v>433</v>
      </c>
      <c r="D69" s="20" t="s">
        <v>479</v>
      </c>
      <c r="E69" s="24"/>
    </row>
    <row r="70" spans="1:5" x14ac:dyDescent="0.25">
      <c r="A70" s="20" t="s">
        <v>500</v>
      </c>
      <c r="B70" s="20" t="s">
        <v>501</v>
      </c>
      <c r="C70" s="20" t="s">
        <v>433</v>
      </c>
      <c r="D70" s="20" t="s">
        <v>473</v>
      </c>
      <c r="E70" s="24"/>
    </row>
    <row r="71" spans="1:5" x14ac:dyDescent="0.25">
      <c r="A71" s="20" t="s">
        <v>502</v>
      </c>
      <c r="B71" s="20" t="s">
        <v>501</v>
      </c>
      <c r="C71" s="20" t="s">
        <v>433</v>
      </c>
      <c r="D71" s="20" t="s">
        <v>475</v>
      </c>
      <c r="E71" s="24"/>
    </row>
    <row r="72" spans="1:5" x14ac:dyDescent="0.25">
      <c r="A72" s="20" t="s">
        <v>503</v>
      </c>
      <c r="B72" s="20" t="s">
        <v>501</v>
      </c>
      <c r="C72" s="20" t="s">
        <v>433</v>
      </c>
      <c r="D72" s="20" t="s">
        <v>477</v>
      </c>
      <c r="E72" s="24"/>
    </row>
    <row r="73" spans="1:5" x14ac:dyDescent="0.25">
      <c r="A73" s="20" t="s">
        <v>504</v>
      </c>
      <c r="B73" s="20" t="s">
        <v>501</v>
      </c>
      <c r="C73" s="20" t="s">
        <v>433</v>
      </c>
      <c r="D73" s="20" t="s">
        <v>479</v>
      </c>
      <c r="E73" s="24"/>
    </row>
    <row r="74" spans="1:5" x14ac:dyDescent="0.25">
      <c r="A74" s="20" t="s">
        <v>505</v>
      </c>
      <c r="B74" s="20" t="s">
        <v>506</v>
      </c>
      <c r="C74" s="20" t="s">
        <v>433</v>
      </c>
      <c r="D74" s="20" t="s">
        <v>473</v>
      </c>
      <c r="E74" s="24"/>
    </row>
    <row r="75" spans="1:5" x14ac:dyDescent="0.25">
      <c r="A75" s="20" t="s">
        <v>507</v>
      </c>
      <c r="B75" s="20" t="s">
        <v>506</v>
      </c>
      <c r="C75" s="20" t="s">
        <v>433</v>
      </c>
      <c r="D75" s="20" t="s">
        <v>475</v>
      </c>
      <c r="E75" s="24"/>
    </row>
    <row r="76" spans="1:5" x14ac:dyDescent="0.25">
      <c r="A76" s="20" t="s">
        <v>508</v>
      </c>
      <c r="B76" s="20" t="s">
        <v>506</v>
      </c>
      <c r="C76" s="20" t="s">
        <v>433</v>
      </c>
      <c r="D76" s="20" t="s">
        <v>477</v>
      </c>
      <c r="E76" s="24"/>
    </row>
    <row r="77" spans="1:5" x14ac:dyDescent="0.25">
      <c r="A77" s="20" t="s">
        <v>509</v>
      </c>
      <c r="B77" s="20" t="s">
        <v>506</v>
      </c>
      <c r="C77" s="20" t="s">
        <v>433</v>
      </c>
      <c r="D77" s="20" t="s">
        <v>479</v>
      </c>
      <c r="E77" s="24"/>
    </row>
    <row r="78" spans="1:5" x14ac:dyDescent="0.25">
      <c r="A78" s="20" t="s">
        <v>510</v>
      </c>
      <c r="B78" s="20" t="s">
        <v>511</v>
      </c>
      <c r="C78" s="20" t="s">
        <v>433</v>
      </c>
      <c r="D78" s="20" t="s">
        <v>473</v>
      </c>
      <c r="E78" s="24"/>
    </row>
    <row r="79" spans="1:5" x14ac:dyDescent="0.25">
      <c r="A79" s="20" t="s">
        <v>512</v>
      </c>
      <c r="B79" s="20" t="s">
        <v>511</v>
      </c>
      <c r="C79" s="20" t="s">
        <v>433</v>
      </c>
      <c r="D79" s="20" t="s">
        <v>475</v>
      </c>
      <c r="E79" s="24"/>
    </row>
    <row r="80" spans="1:5" x14ac:dyDescent="0.25">
      <c r="A80" s="20" t="s">
        <v>513</v>
      </c>
      <c r="B80" s="20" t="s">
        <v>511</v>
      </c>
      <c r="C80" s="20" t="s">
        <v>433</v>
      </c>
      <c r="D80" s="20" t="s">
        <v>477</v>
      </c>
      <c r="E80" s="24"/>
    </row>
    <row r="81" spans="1:5" x14ac:dyDescent="0.25">
      <c r="A81" s="20" t="s">
        <v>514</v>
      </c>
      <c r="B81" s="20" t="s">
        <v>511</v>
      </c>
      <c r="C81" s="20" t="s">
        <v>433</v>
      </c>
      <c r="D81" s="20" t="s">
        <v>479</v>
      </c>
      <c r="E81" s="24"/>
    </row>
    <row r="82" spans="1:5" x14ac:dyDescent="0.25">
      <c r="A82" s="20" t="s">
        <v>515</v>
      </c>
      <c r="B82" s="20" t="s">
        <v>516</v>
      </c>
      <c r="C82" s="20" t="s">
        <v>433</v>
      </c>
      <c r="D82" s="20" t="s">
        <v>473</v>
      </c>
      <c r="E82" s="24"/>
    </row>
    <row r="83" spans="1:5" x14ac:dyDescent="0.25">
      <c r="A83" s="20" t="s">
        <v>517</v>
      </c>
      <c r="B83" s="20" t="s">
        <v>516</v>
      </c>
      <c r="C83" s="20" t="s">
        <v>433</v>
      </c>
      <c r="D83" s="20" t="s">
        <v>475</v>
      </c>
      <c r="E83" s="24"/>
    </row>
    <row r="84" spans="1:5" x14ac:dyDescent="0.25">
      <c r="A84" s="20" t="s">
        <v>518</v>
      </c>
      <c r="B84" s="20" t="s">
        <v>516</v>
      </c>
      <c r="C84" s="20" t="s">
        <v>433</v>
      </c>
      <c r="D84" s="20" t="s">
        <v>477</v>
      </c>
      <c r="E84" s="24"/>
    </row>
    <row r="85" spans="1:5" x14ac:dyDescent="0.25">
      <c r="A85" s="20" t="s">
        <v>519</v>
      </c>
      <c r="B85" s="20" t="s">
        <v>516</v>
      </c>
      <c r="C85" s="20" t="s">
        <v>433</v>
      </c>
      <c r="D85" s="20" t="s">
        <v>479</v>
      </c>
      <c r="E85" s="24"/>
    </row>
    <row r="86" spans="1:5" x14ac:dyDescent="0.25">
      <c r="A86" s="20" t="s">
        <v>520</v>
      </c>
      <c r="B86" s="20" t="s">
        <v>521</v>
      </c>
      <c r="C86" s="20" t="s">
        <v>408</v>
      </c>
      <c r="D86" s="20" t="s">
        <v>409</v>
      </c>
      <c r="E86" s="24"/>
    </row>
    <row r="87" spans="1:5" x14ac:dyDescent="0.25">
      <c r="A87" s="20" t="s">
        <v>522</v>
      </c>
      <c r="B87" s="20" t="s">
        <v>521</v>
      </c>
      <c r="C87" s="20" t="s">
        <v>408</v>
      </c>
      <c r="D87" s="20" t="s">
        <v>411</v>
      </c>
      <c r="E87" s="24"/>
    </row>
    <row r="88" spans="1:5" x14ac:dyDescent="0.25">
      <c r="A88" s="20" t="s">
        <v>523</v>
      </c>
      <c r="B88" s="20" t="s">
        <v>521</v>
      </c>
      <c r="C88" s="20" t="s">
        <v>408</v>
      </c>
      <c r="D88" s="20" t="s">
        <v>413</v>
      </c>
      <c r="E88" s="24"/>
    </row>
    <row r="89" spans="1:5" x14ac:dyDescent="0.25">
      <c r="A89" s="25" t="s">
        <v>524</v>
      </c>
      <c r="B89" s="25" t="s">
        <v>521</v>
      </c>
      <c r="C89" s="25" t="s">
        <v>408</v>
      </c>
      <c r="D89" s="25" t="s">
        <v>415</v>
      </c>
      <c r="E89" s="29"/>
    </row>
    <row r="90" spans="1:5" x14ac:dyDescent="0.25">
      <c r="A90" s="40" t="s">
        <v>248</v>
      </c>
      <c r="B90" s="41"/>
      <c r="C90" s="41"/>
      <c r="D90" s="41"/>
      <c r="E90" s="84"/>
    </row>
    <row r="92" spans="1:5" x14ac:dyDescent="0.25">
      <c r="A92" s="40" t="s">
        <v>525</v>
      </c>
      <c r="B92" s="41"/>
      <c r="C92" s="41"/>
      <c r="D92" s="41"/>
      <c r="E92" s="84"/>
    </row>
  </sheetData>
  <pageMargins left="0.7" right="0.7" top="0.75" bottom="0.75" header="0.3" footer="0.3"/>
  <pageSetup scale="65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D53F-F39B-4148-A4E3-39F42F675D84}">
  <dimension ref="A1:L22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H.10: ",tabeltype," glas")</f>
        <v>Bijlage H.10: Invultabel glas</v>
      </c>
    </row>
    <row r="3" spans="1:12" ht="45" x14ac:dyDescent="0.25">
      <c r="A3" s="8" t="s">
        <v>380</v>
      </c>
      <c r="B3" s="8" t="s">
        <v>7</v>
      </c>
      <c r="C3" s="8" t="s">
        <v>381</v>
      </c>
      <c r="D3" s="8" t="s">
        <v>32</v>
      </c>
      <c r="E3" s="8" t="s">
        <v>35</v>
      </c>
      <c r="F3" s="8" t="s">
        <v>382</v>
      </c>
      <c r="G3" s="8" t="s">
        <v>383</v>
      </c>
      <c r="H3" s="8" t="s">
        <v>384</v>
      </c>
      <c r="I3" s="8" t="s">
        <v>385</v>
      </c>
      <c r="J3" s="8" t="s">
        <v>386</v>
      </c>
      <c r="K3" s="8" t="s">
        <v>173</v>
      </c>
      <c r="L3" s="8" t="s">
        <v>307</v>
      </c>
    </row>
    <row r="4" spans="1:12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5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5">
      <c r="A6" s="15" t="s">
        <v>526</v>
      </c>
      <c r="B6" s="15" t="s">
        <v>27</v>
      </c>
      <c r="C6" s="16">
        <f t="shared" ref="C6:C19" si="0">IF(ISBLANK(B6),0,IF(ISERROR(VALUE(B6)),VLOOKUP(B6,dagsoorttabel1,2,FALSE)*dagenperjaar1,VALUE(B6)))</f>
        <v>2</v>
      </c>
      <c r="D6" s="15" t="s">
        <v>527</v>
      </c>
      <c r="E6" s="15" t="s">
        <v>433</v>
      </c>
      <c r="F6" s="87">
        <v>733.66000000000008</v>
      </c>
      <c r="G6" s="19"/>
      <c r="H6" s="88"/>
      <c r="I6" s="19"/>
      <c r="J6" s="32">
        <f t="shared" ref="J6:J19" si="1">IF(ISBLANK(F6),0,F6)*I6</f>
        <v>0</v>
      </c>
      <c r="K6" s="32">
        <f t="shared" ref="K6:K19" si="2">C6*J6</f>
        <v>0</v>
      </c>
      <c r="L6" s="32">
        <f t="shared" ref="L6:L20" si="3">K6/12</f>
        <v>0</v>
      </c>
    </row>
    <row r="7" spans="1:12" x14ac:dyDescent="0.25">
      <c r="A7" s="20" t="s">
        <v>526</v>
      </c>
      <c r="B7" s="20" t="s">
        <v>25</v>
      </c>
      <c r="C7" s="21">
        <f t="shared" si="0"/>
        <v>4</v>
      </c>
      <c r="D7" s="20" t="s">
        <v>527</v>
      </c>
      <c r="E7" s="20" t="s">
        <v>433</v>
      </c>
      <c r="F7" s="89">
        <v>1330.67</v>
      </c>
      <c r="G7" s="24"/>
      <c r="H7" s="90"/>
      <c r="I7" s="24"/>
      <c r="J7" s="35">
        <f t="shared" si="1"/>
        <v>0</v>
      </c>
      <c r="K7" s="35">
        <f t="shared" si="2"/>
        <v>0</v>
      </c>
      <c r="L7" s="35">
        <f t="shared" si="3"/>
        <v>0</v>
      </c>
    </row>
    <row r="8" spans="1:12" x14ac:dyDescent="0.25">
      <c r="A8" s="20" t="s">
        <v>528</v>
      </c>
      <c r="B8" s="20" t="s">
        <v>27</v>
      </c>
      <c r="C8" s="21">
        <f t="shared" si="0"/>
        <v>2</v>
      </c>
      <c r="D8" s="20" t="s">
        <v>529</v>
      </c>
      <c r="E8" s="20" t="s">
        <v>433</v>
      </c>
      <c r="F8" s="89">
        <v>733.66000000000008</v>
      </c>
      <c r="G8" s="24"/>
      <c r="H8" s="90"/>
      <c r="I8" s="24"/>
      <c r="J8" s="35">
        <f t="shared" si="1"/>
        <v>0</v>
      </c>
      <c r="K8" s="35">
        <f t="shared" si="2"/>
        <v>0</v>
      </c>
      <c r="L8" s="35">
        <f t="shared" si="3"/>
        <v>0</v>
      </c>
    </row>
    <row r="9" spans="1:12" x14ac:dyDescent="0.25">
      <c r="A9" s="20" t="s">
        <v>528</v>
      </c>
      <c r="B9" s="20" t="s">
        <v>25</v>
      </c>
      <c r="C9" s="21">
        <f t="shared" si="0"/>
        <v>4</v>
      </c>
      <c r="D9" s="20" t="s">
        <v>529</v>
      </c>
      <c r="E9" s="20" t="s">
        <v>433</v>
      </c>
      <c r="F9" s="89">
        <v>1326.39</v>
      </c>
      <c r="G9" s="24"/>
      <c r="H9" s="90"/>
      <c r="I9" s="24"/>
      <c r="J9" s="35">
        <f t="shared" si="1"/>
        <v>0</v>
      </c>
      <c r="K9" s="35">
        <f t="shared" si="2"/>
        <v>0</v>
      </c>
      <c r="L9" s="35">
        <f t="shared" si="3"/>
        <v>0</v>
      </c>
    </row>
    <row r="10" spans="1:12" x14ac:dyDescent="0.25">
      <c r="A10" s="20" t="s">
        <v>530</v>
      </c>
      <c r="B10" s="20" t="s">
        <v>27</v>
      </c>
      <c r="C10" s="21">
        <f t="shared" si="0"/>
        <v>2</v>
      </c>
      <c r="D10" s="20" t="s">
        <v>531</v>
      </c>
      <c r="E10" s="20" t="s">
        <v>433</v>
      </c>
      <c r="F10" s="89">
        <v>935.66</v>
      </c>
      <c r="G10" s="24"/>
      <c r="H10" s="90"/>
      <c r="I10" s="24"/>
      <c r="J10" s="35">
        <f t="shared" si="1"/>
        <v>0</v>
      </c>
      <c r="K10" s="35">
        <f t="shared" si="2"/>
        <v>0</v>
      </c>
      <c r="L10" s="35">
        <f t="shared" si="3"/>
        <v>0</v>
      </c>
    </row>
    <row r="11" spans="1:12" x14ac:dyDescent="0.25">
      <c r="A11" s="20" t="s">
        <v>530</v>
      </c>
      <c r="B11" s="20" t="s">
        <v>25</v>
      </c>
      <c r="C11" s="21">
        <f t="shared" si="0"/>
        <v>4</v>
      </c>
      <c r="D11" s="20" t="s">
        <v>531</v>
      </c>
      <c r="E11" s="20" t="s">
        <v>433</v>
      </c>
      <c r="F11" s="89">
        <v>2044.56</v>
      </c>
      <c r="G11" s="24"/>
      <c r="H11" s="90"/>
      <c r="I11" s="24"/>
      <c r="J11" s="35">
        <f t="shared" si="1"/>
        <v>0</v>
      </c>
      <c r="K11" s="35">
        <f t="shared" si="2"/>
        <v>0</v>
      </c>
      <c r="L11" s="35">
        <f t="shared" si="3"/>
        <v>0</v>
      </c>
    </row>
    <row r="12" spans="1:12" x14ac:dyDescent="0.25">
      <c r="A12" s="20" t="s">
        <v>532</v>
      </c>
      <c r="B12" s="20" t="s">
        <v>25</v>
      </c>
      <c r="C12" s="21">
        <f t="shared" si="0"/>
        <v>4</v>
      </c>
      <c r="D12" s="20" t="s">
        <v>533</v>
      </c>
      <c r="E12" s="20" t="s">
        <v>433</v>
      </c>
      <c r="F12" s="89">
        <v>2.67</v>
      </c>
      <c r="G12" s="24"/>
      <c r="H12" s="90"/>
      <c r="I12" s="24"/>
      <c r="J12" s="35">
        <f t="shared" si="1"/>
        <v>0</v>
      </c>
      <c r="K12" s="35">
        <f t="shared" si="2"/>
        <v>0</v>
      </c>
      <c r="L12" s="35">
        <f t="shared" si="3"/>
        <v>0</v>
      </c>
    </row>
    <row r="13" spans="1:12" x14ac:dyDescent="0.25">
      <c r="A13" s="20" t="s">
        <v>534</v>
      </c>
      <c r="B13" s="20" t="s">
        <v>28</v>
      </c>
      <c r="C13" s="21">
        <f t="shared" si="0"/>
        <v>1</v>
      </c>
      <c r="D13" s="20" t="s">
        <v>535</v>
      </c>
      <c r="E13" s="20" t="s">
        <v>408</v>
      </c>
      <c r="F13" s="89">
        <v>1</v>
      </c>
      <c r="G13" s="24"/>
      <c r="H13" s="90"/>
      <c r="I13" s="24"/>
      <c r="J13" s="35">
        <f t="shared" si="1"/>
        <v>0</v>
      </c>
      <c r="K13" s="35">
        <f t="shared" si="2"/>
        <v>0</v>
      </c>
      <c r="L13" s="35">
        <f t="shared" si="3"/>
        <v>0</v>
      </c>
    </row>
    <row r="14" spans="1:12" x14ac:dyDescent="0.25">
      <c r="A14" s="20" t="s">
        <v>536</v>
      </c>
      <c r="B14" s="20" t="s">
        <v>28</v>
      </c>
      <c r="C14" s="21">
        <f t="shared" si="0"/>
        <v>1</v>
      </c>
      <c r="D14" s="20" t="s">
        <v>537</v>
      </c>
      <c r="E14" s="20" t="s">
        <v>408</v>
      </c>
      <c r="F14" s="89">
        <v>1</v>
      </c>
      <c r="G14" s="24"/>
      <c r="H14" s="90"/>
      <c r="I14" s="24"/>
      <c r="J14" s="35">
        <f t="shared" si="1"/>
        <v>0</v>
      </c>
      <c r="K14" s="35">
        <f t="shared" si="2"/>
        <v>0</v>
      </c>
      <c r="L14" s="35">
        <f t="shared" si="3"/>
        <v>0</v>
      </c>
    </row>
    <row r="15" spans="1:12" x14ac:dyDescent="0.25">
      <c r="A15" s="20" t="s">
        <v>538</v>
      </c>
      <c r="B15" s="20" t="s">
        <v>25</v>
      </c>
      <c r="C15" s="21">
        <f t="shared" si="0"/>
        <v>4</v>
      </c>
      <c r="D15" s="20" t="s">
        <v>539</v>
      </c>
      <c r="E15" s="20" t="s">
        <v>433</v>
      </c>
      <c r="F15" s="89">
        <v>3</v>
      </c>
      <c r="G15" s="24"/>
      <c r="H15" s="90"/>
      <c r="I15" s="24"/>
      <c r="J15" s="35">
        <f t="shared" si="1"/>
        <v>0</v>
      </c>
      <c r="K15" s="35">
        <f t="shared" si="2"/>
        <v>0</v>
      </c>
      <c r="L15" s="35">
        <f t="shared" si="3"/>
        <v>0</v>
      </c>
    </row>
    <row r="16" spans="1:12" x14ac:dyDescent="0.25">
      <c r="A16" s="20" t="s">
        <v>540</v>
      </c>
      <c r="B16" s="20" t="s">
        <v>28</v>
      </c>
      <c r="C16" s="21">
        <f t="shared" si="0"/>
        <v>1</v>
      </c>
      <c r="D16" s="20" t="s">
        <v>541</v>
      </c>
      <c r="E16" s="20" t="s">
        <v>433</v>
      </c>
      <c r="F16" s="89">
        <v>80.37</v>
      </c>
      <c r="G16" s="24"/>
      <c r="H16" s="90"/>
      <c r="I16" s="24"/>
      <c r="J16" s="35">
        <f t="shared" si="1"/>
        <v>0</v>
      </c>
      <c r="K16" s="35">
        <f t="shared" si="2"/>
        <v>0</v>
      </c>
      <c r="L16" s="35">
        <f t="shared" si="3"/>
        <v>0</v>
      </c>
    </row>
    <row r="17" spans="1:12" x14ac:dyDescent="0.25">
      <c r="A17" s="20" t="s">
        <v>542</v>
      </c>
      <c r="B17" s="20" t="s">
        <v>28</v>
      </c>
      <c r="C17" s="21">
        <f t="shared" si="0"/>
        <v>1</v>
      </c>
      <c r="D17" s="20" t="s">
        <v>543</v>
      </c>
      <c r="E17" s="20" t="s">
        <v>433</v>
      </c>
      <c r="F17" s="89">
        <v>2.5</v>
      </c>
      <c r="G17" s="24"/>
      <c r="H17" s="90"/>
      <c r="I17" s="24"/>
      <c r="J17" s="35">
        <f t="shared" si="1"/>
        <v>0</v>
      </c>
      <c r="K17" s="35">
        <f t="shared" si="2"/>
        <v>0</v>
      </c>
      <c r="L17" s="35">
        <f t="shared" si="3"/>
        <v>0</v>
      </c>
    </row>
    <row r="18" spans="1:12" x14ac:dyDescent="0.25">
      <c r="A18" s="20" t="s">
        <v>542</v>
      </c>
      <c r="B18" s="20" t="s">
        <v>27</v>
      </c>
      <c r="C18" s="21">
        <f t="shared" si="0"/>
        <v>2</v>
      </c>
      <c r="D18" s="20" t="s">
        <v>544</v>
      </c>
      <c r="E18" s="20" t="s">
        <v>433</v>
      </c>
      <c r="F18" s="89">
        <v>40.949999999999996</v>
      </c>
      <c r="G18" s="24"/>
      <c r="H18" s="90"/>
      <c r="I18" s="24"/>
      <c r="J18" s="35">
        <f t="shared" si="1"/>
        <v>0</v>
      </c>
      <c r="K18" s="35">
        <f t="shared" si="2"/>
        <v>0</v>
      </c>
      <c r="L18" s="35">
        <f t="shared" si="3"/>
        <v>0</v>
      </c>
    </row>
    <row r="19" spans="1:12" x14ac:dyDescent="0.25">
      <c r="A19" s="25" t="s">
        <v>545</v>
      </c>
      <c r="B19" s="25" t="s">
        <v>28</v>
      </c>
      <c r="C19" s="26">
        <f t="shared" si="0"/>
        <v>1</v>
      </c>
      <c r="D19" s="25" t="s">
        <v>546</v>
      </c>
      <c r="E19" s="25" t="s">
        <v>547</v>
      </c>
      <c r="F19" s="91">
        <v>12</v>
      </c>
      <c r="G19" s="29"/>
      <c r="H19" s="92"/>
      <c r="I19" s="29"/>
      <c r="J19" s="39">
        <f t="shared" si="1"/>
        <v>0</v>
      </c>
      <c r="K19" s="39">
        <f t="shared" si="2"/>
        <v>0</v>
      </c>
      <c r="L19" s="39">
        <f t="shared" si="3"/>
        <v>0</v>
      </c>
    </row>
    <row r="20" spans="1:12" x14ac:dyDescent="0.25">
      <c r="A20" s="40" t="s">
        <v>248</v>
      </c>
      <c r="B20" s="41"/>
      <c r="C20" s="41"/>
      <c r="D20" s="41"/>
      <c r="E20" s="41"/>
      <c r="F20" s="41"/>
      <c r="G20" s="41"/>
      <c r="H20" s="41"/>
      <c r="I20" s="41"/>
      <c r="J20" s="41"/>
      <c r="K20" s="43">
        <f>SUM(K6:K19)</f>
        <v>0</v>
      </c>
      <c r="L20" s="82">
        <f t="shared" si="3"/>
        <v>0</v>
      </c>
    </row>
    <row r="22" spans="1:12" x14ac:dyDescent="0.25">
      <c r="A22" s="40" t="s">
        <v>548</v>
      </c>
      <c r="B22" s="41"/>
      <c r="C22" s="41"/>
      <c r="D22" s="41"/>
      <c r="E22" s="41"/>
      <c r="F22" s="41"/>
      <c r="G22" s="41"/>
      <c r="H22" s="41"/>
      <c r="I22" s="41"/>
      <c r="J22" s="41"/>
      <c r="K22" s="43">
        <f>prijsjaarglas1</f>
        <v>0</v>
      </c>
      <c r="L22" s="82">
        <f>K22/12</f>
        <v>0</v>
      </c>
    </row>
  </sheetData>
  <pageMargins left="0.7" right="0.7" top="0.75" bottom="0.75" header="0.3" footer="0.3"/>
  <pageSetup scale="65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46F8-5553-4DA7-97FF-97993091CE26}">
  <dimension ref="A1:M97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H.11: ",tabeltype," glas per kostenplaats/locatie")</f>
        <v>Bijlage H.11: Invultabel glas per kostenplaats/locatie</v>
      </c>
    </row>
    <row r="3" spans="1:13" ht="45" x14ac:dyDescent="0.25">
      <c r="A3" s="8" t="s">
        <v>380</v>
      </c>
      <c r="B3" s="8" t="s">
        <v>7</v>
      </c>
      <c r="C3" s="8" t="s">
        <v>381</v>
      </c>
      <c r="D3" s="8" t="s">
        <v>270</v>
      </c>
      <c r="E3" s="8" t="s">
        <v>32</v>
      </c>
      <c r="F3" s="8" t="s">
        <v>35</v>
      </c>
      <c r="G3" s="8" t="s">
        <v>382</v>
      </c>
      <c r="H3" s="8" t="s">
        <v>383</v>
      </c>
      <c r="I3" s="8" t="s">
        <v>384</v>
      </c>
      <c r="J3" s="8" t="s">
        <v>385</v>
      </c>
      <c r="K3" s="8" t="s">
        <v>386</v>
      </c>
      <c r="L3" s="8" t="s">
        <v>173</v>
      </c>
      <c r="M3" s="8" t="s">
        <v>307</v>
      </c>
    </row>
    <row r="5" spans="1:13" x14ac:dyDescent="0.25">
      <c r="A5" s="83" t="s">
        <v>549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84"/>
    </row>
    <row r="6" spans="1:13" x14ac:dyDescent="0.25">
      <c r="A6" s="15" t="s">
        <v>526</v>
      </c>
      <c r="B6" s="15" t="s">
        <v>25</v>
      </c>
      <c r="C6" s="16">
        <f>IF(ISBLANK(B6),0,IF(ISERROR(VALUE(B6)),VLOOKUP(B6,dagsoorttabel1,2,FALSE)*dagenperjaar1,VALUE(B6)))</f>
        <v>4</v>
      </c>
      <c r="D6" s="15" t="s">
        <v>293</v>
      </c>
      <c r="E6" s="15" t="s">
        <v>527</v>
      </c>
      <c r="F6" s="15" t="s">
        <v>433</v>
      </c>
      <c r="G6" s="87">
        <v>461.4</v>
      </c>
      <c r="H6" s="93">
        <f>Glas!G7</f>
        <v>0</v>
      </c>
      <c r="I6" s="88"/>
      <c r="J6" s="93">
        <f>Glas!I7</f>
        <v>0</v>
      </c>
      <c r="K6" s="32">
        <f>IF(ISBLANK(G6),0,G6)*J6</f>
        <v>0</v>
      </c>
      <c r="L6" s="32">
        <f>C6*K6</f>
        <v>0</v>
      </c>
      <c r="M6" s="32">
        <f t="shared" ref="M6:M11" si="0">L6/12</f>
        <v>0</v>
      </c>
    </row>
    <row r="7" spans="1:13" x14ac:dyDescent="0.25">
      <c r="A7" s="20" t="s">
        <v>528</v>
      </c>
      <c r="B7" s="20" t="s">
        <v>25</v>
      </c>
      <c r="C7" s="21">
        <f>IF(ISBLANK(B7),0,IF(ISERROR(VALUE(B7)),VLOOKUP(B7,dagsoorttabel1,2,FALSE)*dagenperjaar1,VALUE(B7)))</f>
        <v>4</v>
      </c>
      <c r="D7" s="20" t="s">
        <v>293</v>
      </c>
      <c r="E7" s="20" t="s">
        <v>529</v>
      </c>
      <c r="F7" s="20" t="s">
        <v>433</v>
      </c>
      <c r="G7" s="89">
        <v>476.12</v>
      </c>
      <c r="H7" s="94">
        <f>Glas!G9</f>
        <v>0</v>
      </c>
      <c r="I7" s="90"/>
      <c r="J7" s="94">
        <f>Glas!I9</f>
        <v>0</v>
      </c>
      <c r="K7" s="35">
        <f>IF(ISBLANK(G7),0,G7)*J7</f>
        <v>0</v>
      </c>
      <c r="L7" s="35">
        <f>C7*K7</f>
        <v>0</v>
      </c>
      <c r="M7" s="35">
        <f t="shared" si="0"/>
        <v>0</v>
      </c>
    </row>
    <row r="8" spans="1:13" x14ac:dyDescent="0.25">
      <c r="A8" s="20" t="s">
        <v>530</v>
      </c>
      <c r="B8" s="20" t="s">
        <v>25</v>
      </c>
      <c r="C8" s="21">
        <f>IF(ISBLANK(B8),0,IF(ISERROR(VALUE(B8)),VLOOKUP(B8,dagsoorttabel1,2,FALSE)*dagenperjaar1,VALUE(B8)))</f>
        <v>4</v>
      </c>
      <c r="D8" s="20" t="s">
        <v>293</v>
      </c>
      <c r="E8" s="20" t="s">
        <v>531</v>
      </c>
      <c r="F8" s="20" t="s">
        <v>433</v>
      </c>
      <c r="G8" s="89">
        <v>520.14</v>
      </c>
      <c r="H8" s="94">
        <f>Glas!G11</f>
        <v>0</v>
      </c>
      <c r="I8" s="90"/>
      <c r="J8" s="94">
        <f>Glas!I11</f>
        <v>0</v>
      </c>
      <c r="K8" s="35">
        <f>IF(ISBLANK(G8),0,G8)*J8</f>
        <v>0</v>
      </c>
      <c r="L8" s="35">
        <f>C8*K8</f>
        <v>0</v>
      </c>
      <c r="M8" s="35">
        <f t="shared" si="0"/>
        <v>0</v>
      </c>
    </row>
    <row r="9" spans="1:13" x14ac:dyDescent="0.25">
      <c r="A9" s="20" t="s">
        <v>540</v>
      </c>
      <c r="B9" s="20" t="s">
        <v>28</v>
      </c>
      <c r="C9" s="21">
        <f>IF(ISBLANK(B9),0,IF(ISERROR(VALUE(B9)),VLOOKUP(B9,dagsoorttabel1,2,FALSE)*dagenperjaar1,VALUE(B9)))</f>
        <v>1</v>
      </c>
      <c r="D9" s="20" t="s">
        <v>293</v>
      </c>
      <c r="E9" s="20" t="s">
        <v>541</v>
      </c>
      <c r="F9" s="20" t="s">
        <v>433</v>
      </c>
      <c r="G9" s="89">
        <v>27.37</v>
      </c>
      <c r="H9" s="94">
        <f>Glas!G16</f>
        <v>0</v>
      </c>
      <c r="I9" s="90"/>
      <c r="J9" s="94">
        <f>Glas!I16</f>
        <v>0</v>
      </c>
      <c r="K9" s="35">
        <f>IF(ISBLANK(G9),0,G9)*J9</f>
        <v>0</v>
      </c>
      <c r="L9" s="35">
        <f>C9*K9</f>
        <v>0</v>
      </c>
      <c r="M9" s="35">
        <f t="shared" si="0"/>
        <v>0</v>
      </c>
    </row>
    <row r="10" spans="1:13" x14ac:dyDescent="0.25">
      <c r="A10" s="25" t="s">
        <v>545</v>
      </c>
      <c r="B10" s="25" t="s">
        <v>28</v>
      </c>
      <c r="C10" s="26">
        <f>IF(ISBLANK(B10),0,IF(ISERROR(VALUE(B10)),VLOOKUP(B10,dagsoorttabel1,2,FALSE)*dagenperjaar1,VALUE(B10)))</f>
        <v>1</v>
      </c>
      <c r="D10" s="25" t="s">
        <v>293</v>
      </c>
      <c r="E10" s="25" t="s">
        <v>546</v>
      </c>
      <c r="F10" s="25" t="s">
        <v>547</v>
      </c>
      <c r="G10" s="91">
        <v>4</v>
      </c>
      <c r="H10" s="95">
        <f>Glas!G19</f>
        <v>0</v>
      </c>
      <c r="I10" s="92"/>
      <c r="J10" s="95">
        <f>Glas!I19</f>
        <v>0</v>
      </c>
      <c r="K10" s="39">
        <f>IF(ISBLANK(G10),0,G10)*J10</f>
        <v>0</v>
      </c>
      <c r="L10" s="39">
        <f>C10*K10</f>
        <v>0</v>
      </c>
      <c r="M10" s="39">
        <f t="shared" si="0"/>
        <v>0</v>
      </c>
    </row>
    <row r="11" spans="1:13" x14ac:dyDescent="0.25">
      <c r="A11" s="72" t="s">
        <v>550</v>
      </c>
      <c r="B11" s="41"/>
      <c r="C11" s="41"/>
      <c r="D11" s="41"/>
      <c r="E11" s="41"/>
      <c r="F11" s="41"/>
      <c r="G11" s="41"/>
      <c r="H11" s="41"/>
      <c r="I11" s="41"/>
      <c r="J11" s="41"/>
      <c r="K11" s="43">
        <f>SUM(K6:K10)</f>
        <v>0</v>
      </c>
      <c r="L11" s="43">
        <f>SUM(L6:L10)</f>
        <v>0</v>
      </c>
      <c r="M11" s="82">
        <f t="shared" si="0"/>
        <v>0</v>
      </c>
    </row>
    <row r="13" spans="1:13" x14ac:dyDescent="0.25">
      <c r="A13" s="83" t="s">
        <v>551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84"/>
    </row>
    <row r="14" spans="1:13" x14ac:dyDescent="0.25">
      <c r="A14" s="15" t="s">
        <v>526</v>
      </c>
      <c r="B14" s="15" t="s">
        <v>25</v>
      </c>
      <c r="C14" s="16">
        <f t="shared" ref="C14:C20" si="1">IF(ISBLANK(B14),0,IF(ISERROR(VALUE(B14)),VLOOKUP(B14,dagsoorttabel1,2,FALSE)*dagenperjaar1,VALUE(B14)))</f>
        <v>4</v>
      </c>
      <c r="D14" s="15" t="s">
        <v>293</v>
      </c>
      <c r="E14" s="15" t="s">
        <v>527</v>
      </c>
      <c r="F14" s="15" t="s">
        <v>433</v>
      </c>
      <c r="G14" s="87">
        <v>169.6</v>
      </c>
      <c r="H14" s="93">
        <f>Glas!G7</f>
        <v>0</v>
      </c>
      <c r="I14" s="88"/>
      <c r="J14" s="93">
        <f>Glas!I7</f>
        <v>0</v>
      </c>
      <c r="K14" s="32">
        <f t="shared" ref="K14:K20" si="2">IF(ISBLANK(G14),0,G14)*J14</f>
        <v>0</v>
      </c>
      <c r="L14" s="32">
        <f t="shared" ref="L14:L20" si="3">C14*K14</f>
        <v>0</v>
      </c>
      <c r="M14" s="32">
        <f t="shared" ref="M14:M21" si="4">L14/12</f>
        <v>0</v>
      </c>
    </row>
    <row r="15" spans="1:13" x14ac:dyDescent="0.25">
      <c r="A15" s="20" t="s">
        <v>528</v>
      </c>
      <c r="B15" s="20" t="s">
        <v>25</v>
      </c>
      <c r="C15" s="21">
        <f t="shared" si="1"/>
        <v>4</v>
      </c>
      <c r="D15" s="20" t="s">
        <v>293</v>
      </c>
      <c r="E15" s="20" t="s">
        <v>529</v>
      </c>
      <c r="F15" s="20" t="s">
        <v>433</v>
      </c>
      <c r="G15" s="89">
        <v>169.6</v>
      </c>
      <c r="H15" s="94">
        <f>Glas!G9</f>
        <v>0</v>
      </c>
      <c r="I15" s="90"/>
      <c r="J15" s="94">
        <f>Glas!I9</f>
        <v>0</v>
      </c>
      <c r="K15" s="35">
        <f t="shared" si="2"/>
        <v>0</v>
      </c>
      <c r="L15" s="35">
        <f t="shared" si="3"/>
        <v>0</v>
      </c>
      <c r="M15" s="35">
        <f t="shared" si="4"/>
        <v>0</v>
      </c>
    </row>
    <row r="16" spans="1:13" x14ac:dyDescent="0.25">
      <c r="A16" s="20" t="s">
        <v>530</v>
      </c>
      <c r="B16" s="20" t="s">
        <v>25</v>
      </c>
      <c r="C16" s="21">
        <f t="shared" si="1"/>
        <v>4</v>
      </c>
      <c r="D16" s="20" t="s">
        <v>293</v>
      </c>
      <c r="E16" s="20" t="s">
        <v>531</v>
      </c>
      <c r="F16" s="20" t="s">
        <v>433</v>
      </c>
      <c r="G16" s="89">
        <v>782.6</v>
      </c>
      <c r="H16" s="94">
        <f>Glas!G11</f>
        <v>0</v>
      </c>
      <c r="I16" s="90"/>
      <c r="J16" s="94">
        <f>Glas!I11</f>
        <v>0</v>
      </c>
      <c r="K16" s="35">
        <f t="shared" si="2"/>
        <v>0</v>
      </c>
      <c r="L16" s="35">
        <f t="shared" si="3"/>
        <v>0</v>
      </c>
      <c r="M16" s="35">
        <f t="shared" si="4"/>
        <v>0</v>
      </c>
    </row>
    <row r="17" spans="1:13" x14ac:dyDescent="0.25">
      <c r="A17" s="20" t="s">
        <v>532</v>
      </c>
      <c r="B17" s="20" t="s">
        <v>25</v>
      </c>
      <c r="C17" s="21">
        <f t="shared" si="1"/>
        <v>4</v>
      </c>
      <c r="D17" s="20" t="s">
        <v>293</v>
      </c>
      <c r="E17" s="20" t="s">
        <v>533</v>
      </c>
      <c r="F17" s="20" t="s">
        <v>433</v>
      </c>
      <c r="G17" s="89">
        <v>2.67</v>
      </c>
      <c r="H17" s="94">
        <f>Glas!G12</f>
        <v>0</v>
      </c>
      <c r="I17" s="90"/>
      <c r="J17" s="94">
        <f>Glas!I12</f>
        <v>0</v>
      </c>
      <c r="K17" s="35">
        <f t="shared" si="2"/>
        <v>0</v>
      </c>
      <c r="L17" s="35">
        <f t="shared" si="3"/>
        <v>0</v>
      </c>
      <c r="M17" s="35">
        <f t="shared" si="4"/>
        <v>0</v>
      </c>
    </row>
    <row r="18" spans="1:13" x14ac:dyDescent="0.25">
      <c r="A18" s="20" t="s">
        <v>534</v>
      </c>
      <c r="B18" s="20" t="s">
        <v>28</v>
      </c>
      <c r="C18" s="21">
        <f t="shared" si="1"/>
        <v>1</v>
      </c>
      <c r="D18" s="20" t="s">
        <v>293</v>
      </c>
      <c r="E18" s="20" t="s">
        <v>535</v>
      </c>
      <c r="F18" s="20" t="s">
        <v>408</v>
      </c>
      <c r="G18" s="89">
        <v>1</v>
      </c>
      <c r="H18" s="94">
        <f>Glas!G13</f>
        <v>0</v>
      </c>
      <c r="I18" s="90"/>
      <c r="J18" s="94">
        <f>Glas!I13</f>
        <v>0</v>
      </c>
      <c r="K18" s="35">
        <f t="shared" si="2"/>
        <v>0</v>
      </c>
      <c r="L18" s="35">
        <f t="shared" si="3"/>
        <v>0</v>
      </c>
      <c r="M18" s="35">
        <f t="shared" si="4"/>
        <v>0</v>
      </c>
    </row>
    <row r="19" spans="1:13" x14ac:dyDescent="0.25">
      <c r="A19" s="20" t="s">
        <v>540</v>
      </c>
      <c r="B19" s="20" t="s">
        <v>28</v>
      </c>
      <c r="C19" s="21">
        <f t="shared" si="1"/>
        <v>1</v>
      </c>
      <c r="D19" s="20" t="s">
        <v>293</v>
      </c>
      <c r="E19" s="20" t="s">
        <v>541</v>
      </c>
      <c r="F19" s="20" t="s">
        <v>433</v>
      </c>
      <c r="G19" s="89">
        <v>4.8</v>
      </c>
      <c r="H19" s="94">
        <f>Glas!G16</f>
        <v>0</v>
      </c>
      <c r="I19" s="90"/>
      <c r="J19" s="94">
        <f>Glas!I16</f>
        <v>0</v>
      </c>
      <c r="K19" s="35">
        <f t="shared" si="2"/>
        <v>0</v>
      </c>
      <c r="L19" s="35">
        <f t="shared" si="3"/>
        <v>0</v>
      </c>
      <c r="M19" s="35">
        <f t="shared" si="4"/>
        <v>0</v>
      </c>
    </row>
    <row r="20" spans="1:13" x14ac:dyDescent="0.25">
      <c r="A20" s="25" t="s">
        <v>545</v>
      </c>
      <c r="B20" s="25" t="s">
        <v>28</v>
      </c>
      <c r="C20" s="26">
        <f t="shared" si="1"/>
        <v>1</v>
      </c>
      <c r="D20" s="25" t="s">
        <v>293</v>
      </c>
      <c r="E20" s="25" t="s">
        <v>546</v>
      </c>
      <c r="F20" s="25" t="s">
        <v>547</v>
      </c>
      <c r="G20" s="91">
        <v>4</v>
      </c>
      <c r="H20" s="95">
        <f>Glas!G19</f>
        <v>0</v>
      </c>
      <c r="I20" s="92"/>
      <c r="J20" s="95">
        <f>Glas!I19</f>
        <v>0</v>
      </c>
      <c r="K20" s="39">
        <f t="shared" si="2"/>
        <v>0</v>
      </c>
      <c r="L20" s="39">
        <f t="shared" si="3"/>
        <v>0</v>
      </c>
      <c r="M20" s="39">
        <f t="shared" si="4"/>
        <v>0</v>
      </c>
    </row>
    <row r="21" spans="1:13" x14ac:dyDescent="0.25">
      <c r="A21" s="72" t="s">
        <v>552</v>
      </c>
      <c r="B21" s="41"/>
      <c r="C21" s="41"/>
      <c r="D21" s="41"/>
      <c r="E21" s="41"/>
      <c r="F21" s="41"/>
      <c r="G21" s="41"/>
      <c r="H21" s="41"/>
      <c r="I21" s="41"/>
      <c r="J21" s="41"/>
      <c r="K21" s="43">
        <f>SUM(K14:K20)</f>
        <v>0</v>
      </c>
      <c r="L21" s="43">
        <f>SUM(L14:L20)</f>
        <v>0</v>
      </c>
      <c r="M21" s="82">
        <f t="shared" si="4"/>
        <v>0</v>
      </c>
    </row>
    <row r="23" spans="1:13" x14ac:dyDescent="0.25">
      <c r="A23" s="83" t="s">
        <v>391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84"/>
    </row>
    <row r="24" spans="1:13" x14ac:dyDescent="0.25">
      <c r="A24" s="15" t="s">
        <v>526</v>
      </c>
      <c r="B24" s="15" t="s">
        <v>25</v>
      </c>
      <c r="C24" s="16">
        <f>IF(ISBLANK(B24),0,IF(ISERROR(VALUE(B24)),VLOOKUP(B24,dagsoorttabel1,2,FALSE)*dagenperjaar1,VALUE(B24)))</f>
        <v>4</v>
      </c>
      <c r="D24" s="15" t="s">
        <v>293</v>
      </c>
      <c r="E24" s="15" t="s">
        <v>527</v>
      </c>
      <c r="F24" s="15" t="s">
        <v>433</v>
      </c>
      <c r="G24" s="87">
        <v>115.42</v>
      </c>
      <c r="H24" s="93">
        <f>Glas!G7</f>
        <v>0</v>
      </c>
      <c r="I24" s="88"/>
      <c r="J24" s="93">
        <f>Glas!I7</f>
        <v>0</v>
      </c>
      <c r="K24" s="32">
        <f>IF(ISBLANK(G24),0,G24)*J24</f>
        <v>0</v>
      </c>
      <c r="L24" s="32">
        <f>C24*K24</f>
        <v>0</v>
      </c>
      <c r="M24" s="32">
        <f t="shared" ref="M24:M29" si="5">L24/12</f>
        <v>0</v>
      </c>
    </row>
    <row r="25" spans="1:13" x14ac:dyDescent="0.25">
      <c r="A25" s="20" t="s">
        <v>528</v>
      </c>
      <c r="B25" s="20" t="s">
        <v>25</v>
      </c>
      <c r="C25" s="21">
        <f>IF(ISBLANK(B25),0,IF(ISERROR(VALUE(B25)),VLOOKUP(B25,dagsoorttabel1,2,FALSE)*dagenperjaar1,VALUE(B25)))</f>
        <v>4</v>
      </c>
      <c r="D25" s="20" t="s">
        <v>293</v>
      </c>
      <c r="E25" s="20" t="s">
        <v>529</v>
      </c>
      <c r="F25" s="20" t="s">
        <v>433</v>
      </c>
      <c r="G25" s="89">
        <v>115.42</v>
      </c>
      <c r="H25" s="94">
        <f>Glas!G9</f>
        <v>0</v>
      </c>
      <c r="I25" s="90"/>
      <c r="J25" s="94">
        <f>Glas!I9</f>
        <v>0</v>
      </c>
      <c r="K25" s="35">
        <f>IF(ISBLANK(G25),0,G25)*J25</f>
        <v>0</v>
      </c>
      <c r="L25" s="35">
        <f>C25*K25</f>
        <v>0</v>
      </c>
      <c r="M25" s="35">
        <f t="shared" si="5"/>
        <v>0</v>
      </c>
    </row>
    <row r="26" spans="1:13" x14ac:dyDescent="0.25">
      <c r="A26" s="20" t="s">
        <v>530</v>
      </c>
      <c r="B26" s="20" t="s">
        <v>25</v>
      </c>
      <c r="C26" s="21">
        <f>IF(ISBLANK(B26),0,IF(ISERROR(VALUE(B26)),VLOOKUP(B26,dagsoorttabel1,2,FALSE)*dagenperjaar1,VALUE(B26)))</f>
        <v>4</v>
      </c>
      <c r="D26" s="20" t="s">
        <v>293</v>
      </c>
      <c r="E26" s="20" t="s">
        <v>531</v>
      </c>
      <c r="F26" s="20" t="s">
        <v>433</v>
      </c>
      <c r="G26" s="89">
        <v>163.82000000000002</v>
      </c>
      <c r="H26" s="94">
        <f>Glas!G11</f>
        <v>0</v>
      </c>
      <c r="I26" s="90"/>
      <c r="J26" s="94">
        <f>Glas!I11</f>
        <v>0</v>
      </c>
      <c r="K26" s="35">
        <f>IF(ISBLANK(G26),0,G26)*J26</f>
        <v>0</v>
      </c>
      <c r="L26" s="35">
        <f>C26*K26</f>
        <v>0</v>
      </c>
      <c r="M26" s="35">
        <f t="shared" si="5"/>
        <v>0</v>
      </c>
    </row>
    <row r="27" spans="1:13" x14ac:dyDescent="0.25">
      <c r="A27" s="20" t="s">
        <v>540</v>
      </c>
      <c r="B27" s="20" t="s">
        <v>28</v>
      </c>
      <c r="C27" s="21">
        <f>IF(ISBLANK(B27),0,IF(ISERROR(VALUE(B27)),VLOOKUP(B27,dagsoorttabel1,2,FALSE)*dagenperjaar1,VALUE(B27)))</f>
        <v>1</v>
      </c>
      <c r="D27" s="20" t="s">
        <v>293</v>
      </c>
      <c r="E27" s="20" t="s">
        <v>541</v>
      </c>
      <c r="F27" s="20" t="s">
        <v>433</v>
      </c>
      <c r="G27" s="89">
        <v>21.2</v>
      </c>
      <c r="H27" s="94">
        <f>Glas!G16</f>
        <v>0</v>
      </c>
      <c r="I27" s="90"/>
      <c r="J27" s="94">
        <f>Glas!I16</f>
        <v>0</v>
      </c>
      <c r="K27" s="35">
        <f>IF(ISBLANK(G27),0,G27)*J27</f>
        <v>0</v>
      </c>
      <c r="L27" s="35">
        <f>C27*K27</f>
        <v>0</v>
      </c>
      <c r="M27" s="35">
        <f t="shared" si="5"/>
        <v>0</v>
      </c>
    </row>
    <row r="28" spans="1:13" x14ac:dyDescent="0.25">
      <c r="A28" s="25" t="s">
        <v>545</v>
      </c>
      <c r="B28" s="25" t="s">
        <v>28</v>
      </c>
      <c r="C28" s="26">
        <f>IF(ISBLANK(B28),0,IF(ISERROR(VALUE(B28)),VLOOKUP(B28,dagsoorttabel1,2,FALSE)*dagenperjaar1,VALUE(B28)))</f>
        <v>1</v>
      </c>
      <c r="D28" s="25" t="s">
        <v>293</v>
      </c>
      <c r="E28" s="25" t="s">
        <v>546</v>
      </c>
      <c r="F28" s="25" t="s">
        <v>547</v>
      </c>
      <c r="G28" s="91">
        <v>4</v>
      </c>
      <c r="H28" s="95">
        <f>Glas!G19</f>
        <v>0</v>
      </c>
      <c r="I28" s="92"/>
      <c r="J28" s="95">
        <f>Glas!I19</f>
        <v>0</v>
      </c>
      <c r="K28" s="39">
        <f>IF(ISBLANK(G28),0,G28)*J28</f>
        <v>0</v>
      </c>
      <c r="L28" s="39">
        <f>C28*K28</f>
        <v>0</v>
      </c>
      <c r="M28" s="39">
        <f t="shared" si="5"/>
        <v>0</v>
      </c>
    </row>
    <row r="29" spans="1:13" x14ac:dyDescent="0.25">
      <c r="A29" s="72" t="s">
        <v>337</v>
      </c>
      <c r="B29" s="41"/>
      <c r="C29" s="41"/>
      <c r="D29" s="41"/>
      <c r="E29" s="41"/>
      <c r="F29" s="41"/>
      <c r="G29" s="41"/>
      <c r="H29" s="41"/>
      <c r="I29" s="41"/>
      <c r="J29" s="41"/>
      <c r="K29" s="43">
        <f>SUM(K24:K28)</f>
        <v>0</v>
      </c>
      <c r="L29" s="43">
        <f>SUM(L24:L28)</f>
        <v>0</v>
      </c>
      <c r="M29" s="82">
        <f t="shared" si="5"/>
        <v>0</v>
      </c>
    </row>
    <row r="31" spans="1:13" x14ac:dyDescent="0.25">
      <c r="A31" s="83" t="s">
        <v>553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84"/>
    </row>
    <row r="32" spans="1:13" x14ac:dyDescent="0.25">
      <c r="A32" s="15" t="s">
        <v>526</v>
      </c>
      <c r="B32" s="15" t="s">
        <v>25</v>
      </c>
      <c r="C32" s="16">
        <f t="shared" ref="C32:C37" si="6">IF(ISBLANK(B32),0,IF(ISERROR(VALUE(B32)),VLOOKUP(B32,dagsoorttabel1,2,FALSE)*dagenperjaar1,VALUE(B32)))</f>
        <v>4</v>
      </c>
      <c r="D32" s="15" t="s">
        <v>293</v>
      </c>
      <c r="E32" s="15" t="s">
        <v>527</v>
      </c>
      <c r="F32" s="15" t="s">
        <v>433</v>
      </c>
      <c r="G32" s="87">
        <v>145.85000000000002</v>
      </c>
      <c r="H32" s="93">
        <f>Glas!G7</f>
        <v>0</v>
      </c>
      <c r="I32" s="88"/>
      <c r="J32" s="93">
        <f>Glas!I7</f>
        <v>0</v>
      </c>
      <c r="K32" s="32">
        <f t="shared" ref="K32:K37" si="7">IF(ISBLANK(G32),0,G32)*J32</f>
        <v>0</v>
      </c>
      <c r="L32" s="32">
        <f t="shared" ref="L32:L37" si="8">C32*K32</f>
        <v>0</v>
      </c>
      <c r="M32" s="32">
        <f t="shared" ref="M32:M38" si="9">L32/12</f>
        <v>0</v>
      </c>
    </row>
    <row r="33" spans="1:13" x14ac:dyDescent="0.25">
      <c r="A33" s="20" t="s">
        <v>528</v>
      </c>
      <c r="B33" s="20" t="s">
        <v>25</v>
      </c>
      <c r="C33" s="21">
        <f t="shared" si="6"/>
        <v>4</v>
      </c>
      <c r="D33" s="20" t="s">
        <v>293</v>
      </c>
      <c r="E33" s="20" t="s">
        <v>529</v>
      </c>
      <c r="F33" s="20" t="s">
        <v>433</v>
      </c>
      <c r="G33" s="89">
        <v>126.85</v>
      </c>
      <c r="H33" s="94">
        <f>Glas!G9</f>
        <v>0</v>
      </c>
      <c r="I33" s="90"/>
      <c r="J33" s="94">
        <f>Glas!I9</f>
        <v>0</v>
      </c>
      <c r="K33" s="35">
        <f t="shared" si="7"/>
        <v>0</v>
      </c>
      <c r="L33" s="35">
        <f t="shared" si="8"/>
        <v>0</v>
      </c>
      <c r="M33" s="35">
        <f t="shared" si="9"/>
        <v>0</v>
      </c>
    </row>
    <row r="34" spans="1:13" x14ac:dyDescent="0.25">
      <c r="A34" s="20" t="s">
        <v>530</v>
      </c>
      <c r="B34" s="20" t="s">
        <v>25</v>
      </c>
      <c r="C34" s="21">
        <f t="shared" si="6"/>
        <v>4</v>
      </c>
      <c r="D34" s="20" t="s">
        <v>293</v>
      </c>
      <c r="E34" s="20" t="s">
        <v>531</v>
      </c>
      <c r="F34" s="20" t="s">
        <v>433</v>
      </c>
      <c r="G34" s="89">
        <v>160.4</v>
      </c>
      <c r="H34" s="94">
        <f>Glas!G11</f>
        <v>0</v>
      </c>
      <c r="I34" s="90"/>
      <c r="J34" s="94">
        <f>Glas!I11</f>
        <v>0</v>
      </c>
      <c r="K34" s="35">
        <f t="shared" si="7"/>
        <v>0</v>
      </c>
      <c r="L34" s="35">
        <f t="shared" si="8"/>
        <v>0</v>
      </c>
      <c r="M34" s="35">
        <f t="shared" si="9"/>
        <v>0</v>
      </c>
    </row>
    <row r="35" spans="1:13" x14ac:dyDescent="0.25">
      <c r="A35" s="20" t="s">
        <v>536</v>
      </c>
      <c r="B35" s="20" t="s">
        <v>28</v>
      </c>
      <c r="C35" s="21">
        <f t="shared" si="6"/>
        <v>1</v>
      </c>
      <c r="D35" s="20" t="s">
        <v>293</v>
      </c>
      <c r="E35" s="20" t="s">
        <v>537</v>
      </c>
      <c r="F35" s="20" t="s">
        <v>408</v>
      </c>
      <c r="G35" s="89">
        <v>1</v>
      </c>
      <c r="H35" s="94">
        <f>Glas!G14</f>
        <v>0</v>
      </c>
      <c r="I35" s="90"/>
      <c r="J35" s="94">
        <f>Glas!I14</f>
        <v>0</v>
      </c>
      <c r="K35" s="35">
        <f t="shared" si="7"/>
        <v>0</v>
      </c>
      <c r="L35" s="35">
        <f t="shared" si="8"/>
        <v>0</v>
      </c>
      <c r="M35" s="35">
        <f t="shared" si="9"/>
        <v>0</v>
      </c>
    </row>
    <row r="36" spans="1:13" x14ac:dyDescent="0.25">
      <c r="A36" s="20" t="s">
        <v>538</v>
      </c>
      <c r="B36" s="20" t="s">
        <v>25</v>
      </c>
      <c r="C36" s="21">
        <f t="shared" si="6"/>
        <v>4</v>
      </c>
      <c r="D36" s="20" t="s">
        <v>293</v>
      </c>
      <c r="E36" s="20" t="s">
        <v>539</v>
      </c>
      <c r="F36" s="20" t="s">
        <v>433</v>
      </c>
      <c r="G36" s="89">
        <v>3</v>
      </c>
      <c r="H36" s="94">
        <f>Glas!G15</f>
        <v>0</v>
      </c>
      <c r="I36" s="90"/>
      <c r="J36" s="94">
        <f>Glas!I15</f>
        <v>0</v>
      </c>
      <c r="K36" s="35">
        <f t="shared" si="7"/>
        <v>0</v>
      </c>
      <c r="L36" s="35">
        <f t="shared" si="8"/>
        <v>0</v>
      </c>
      <c r="M36" s="35">
        <f t="shared" si="9"/>
        <v>0</v>
      </c>
    </row>
    <row r="37" spans="1:13" x14ac:dyDescent="0.25">
      <c r="A37" s="25" t="s">
        <v>542</v>
      </c>
      <c r="B37" s="25" t="s">
        <v>27</v>
      </c>
      <c r="C37" s="26">
        <f t="shared" si="6"/>
        <v>2</v>
      </c>
      <c r="D37" s="25" t="s">
        <v>293</v>
      </c>
      <c r="E37" s="25" t="s">
        <v>544</v>
      </c>
      <c r="F37" s="25" t="s">
        <v>433</v>
      </c>
      <c r="G37" s="91">
        <v>40.949999999999996</v>
      </c>
      <c r="H37" s="95">
        <f>Glas!G18</f>
        <v>0</v>
      </c>
      <c r="I37" s="92"/>
      <c r="J37" s="95">
        <f>Glas!I18</f>
        <v>0</v>
      </c>
      <c r="K37" s="39">
        <f t="shared" si="7"/>
        <v>0</v>
      </c>
      <c r="L37" s="39">
        <f t="shared" si="8"/>
        <v>0</v>
      </c>
      <c r="M37" s="39">
        <f t="shared" si="9"/>
        <v>0</v>
      </c>
    </row>
    <row r="38" spans="1:13" x14ac:dyDescent="0.25">
      <c r="A38" s="72" t="s">
        <v>554</v>
      </c>
      <c r="B38" s="41"/>
      <c r="C38" s="41"/>
      <c r="D38" s="41"/>
      <c r="E38" s="41"/>
      <c r="F38" s="41"/>
      <c r="G38" s="41"/>
      <c r="H38" s="41"/>
      <c r="I38" s="41"/>
      <c r="J38" s="41"/>
      <c r="K38" s="43">
        <f>SUM(K32:K37)</f>
        <v>0</v>
      </c>
      <c r="L38" s="43">
        <f>SUM(L32:L37)</f>
        <v>0</v>
      </c>
      <c r="M38" s="82">
        <f t="shared" si="9"/>
        <v>0</v>
      </c>
    </row>
    <row r="40" spans="1:13" x14ac:dyDescent="0.25">
      <c r="A40" s="83" t="s">
        <v>555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84"/>
    </row>
    <row r="41" spans="1:13" x14ac:dyDescent="0.25">
      <c r="A41" s="15" t="s">
        <v>526</v>
      </c>
      <c r="B41" s="15" t="s">
        <v>25</v>
      </c>
      <c r="C41" s="16">
        <f>IF(ISBLANK(B41),0,IF(ISERROR(VALUE(B41)),VLOOKUP(B41,dagsoorttabel1,2,FALSE)*dagenperjaar1,VALUE(B41)))</f>
        <v>4</v>
      </c>
      <c r="D41" s="15" t="s">
        <v>293</v>
      </c>
      <c r="E41" s="15" t="s">
        <v>527</v>
      </c>
      <c r="F41" s="15" t="s">
        <v>433</v>
      </c>
      <c r="G41" s="87">
        <v>3</v>
      </c>
      <c r="H41" s="93">
        <f>Glas!G7</f>
        <v>0</v>
      </c>
      <c r="I41" s="88"/>
      <c r="J41" s="93">
        <f>Glas!I7</f>
        <v>0</v>
      </c>
      <c r="K41" s="32">
        <f>IF(ISBLANK(G41),0,G41)*J41</f>
        <v>0</v>
      </c>
      <c r="L41" s="32">
        <f>C41*K41</f>
        <v>0</v>
      </c>
      <c r="M41" s="32">
        <f>L41/12</f>
        <v>0</v>
      </c>
    </row>
    <row r="42" spans="1:13" x14ac:dyDescent="0.25">
      <c r="A42" s="25" t="s">
        <v>528</v>
      </c>
      <c r="B42" s="25" t="s">
        <v>25</v>
      </c>
      <c r="C42" s="26">
        <f>IF(ISBLANK(B42),0,IF(ISERROR(VALUE(B42)),VLOOKUP(B42,dagsoorttabel1,2,FALSE)*dagenperjaar1,VALUE(B42)))</f>
        <v>4</v>
      </c>
      <c r="D42" s="25" t="s">
        <v>293</v>
      </c>
      <c r="E42" s="25" t="s">
        <v>529</v>
      </c>
      <c r="F42" s="25" t="s">
        <v>433</v>
      </c>
      <c r="G42" s="91">
        <v>3</v>
      </c>
      <c r="H42" s="95">
        <f>Glas!G9</f>
        <v>0</v>
      </c>
      <c r="I42" s="92"/>
      <c r="J42" s="95">
        <f>Glas!I9</f>
        <v>0</v>
      </c>
      <c r="K42" s="39">
        <f>IF(ISBLANK(G42),0,G42)*J42</f>
        <v>0</v>
      </c>
      <c r="L42" s="39">
        <f>C42*K42</f>
        <v>0</v>
      </c>
      <c r="M42" s="39">
        <f>L42/12</f>
        <v>0</v>
      </c>
    </row>
    <row r="43" spans="1:13" x14ac:dyDescent="0.25">
      <c r="A43" s="72" t="s">
        <v>339</v>
      </c>
      <c r="B43" s="41"/>
      <c r="C43" s="41"/>
      <c r="D43" s="41"/>
      <c r="E43" s="41"/>
      <c r="F43" s="41"/>
      <c r="G43" s="41"/>
      <c r="H43" s="41"/>
      <c r="I43" s="41"/>
      <c r="J43" s="41"/>
      <c r="K43" s="43">
        <f>SUM(K41:K42)</f>
        <v>0</v>
      </c>
      <c r="L43" s="43">
        <f>SUM(L41:L42)</f>
        <v>0</v>
      </c>
      <c r="M43" s="82">
        <f>L43/12</f>
        <v>0</v>
      </c>
    </row>
    <row r="45" spans="1:13" x14ac:dyDescent="0.25">
      <c r="A45" s="83" t="s">
        <v>556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84"/>
    </row>
    <row r="46" spans="1:13" x14ac:dyDescent="0.25">
      <c r="A46" s="15" t="s">
        <v>526</v>
      </c>
      <c r="B46" s="15" t="s">
        <v>25</v>
      </c>
      <c r="C46" s="16">
        <f>IF(ISBLANK(B46),0,IF(ISERROR(VALUE(B46)),VLOOKUP(B46,dagsoorttabel1,2,FALSE)*dagenperjaar1,VALUE(B46)))</f>
        <v>4</v>
      </c>
      <c r="D46" s="15" t="s">
        <v>293</v>
      </c>
      <c r="E46" s="15" t="s">
        <v>527</v>
      </c>
      <c r="F46" s="15" t="s">
        <v>433</v>
      </c>
      <c r="G46" s="87">
        <v>17.7</v>
      </c>
      <c r="H46" s="93">
        <f>Glas!G7</f>
        <v>0</v>
      </c>
      <c r="I46" s="88"/>
      <c r="J46" s="93">
        <f>Glas!I7</f>
        <v>0</v>
      </c>
      <c r="K46" s="32">
        <f>IF(ISBLANK(G46),0,G46)*J46</f>
        <v>0</v>
      </c>
      <c r="L46" s="32">
        <f>C46*K46</f>
        <v>0</v>
      </c>
      <c r="M46" s="32">
        <f>L46/12</f>
        <v>0</v>
      </c>
    </row>
    <row r="47" spans="1:13" x14ac:dyDescent="0.25">
      <c r="A47" s="20" t="s">
        <v>528</v>
      </c>
      <c r="B47" s="20" t="s">
        <v>25</v>
      </c>
      <c r="C47" s="21">
        <f>IF(ISBLANK(B47),0,IF(ISERROR(VALUE(B47)),VLOOKUP(B47,dagsoorttabel1,2,FALSE)*dagenperjaar1,VALUE(B47)))</f>
        <v>4</v>
      </c>
      <c r="D47" s="20" t="s">
        <v>293</v>
      </c>
      <c r="E47" s="20" t="s">
        <v>529</v>
      </c>
      <c r="F47" s="20" t="s">
        <v>433</v>
      </c>
      <c r="G47" s="89">
        <v>17.7</v>
      </c>
      <c r="H47" s="94">
        <f>Glas!G9</f>
        <v>0</v>
      </c>
      <c r="I47" s="90"/>
      <c r="J47" s="94">
        <f>Glas!I9</f>
        <v>0</v>
      </c>
      <c r="K47" s="35">
        <f>IF(ISBLANK(G47),0,G47)*J47</f>
        <v>0</v>
      </c>
      <c r="L47" s="35">
        <f>C47*K47</f>
        <v>0</v>
      </c>
      <c r="M47" s="35">
        <f>L47/12</f>
        <v>0</v>
      </c>
    </row>
    <row r="48" spans="1:13" x14ac:dyDescent="0.25">
      <c r="A48" s="25" t="s">
        <v>542</v>
      </c>
      <c r="B48" s="25" t="s">
        <v>28</v>
      </c>
      <c r="C48" s="26">
        <f>IF(ISBLANK(B48),0,IF(ISERROR(VALUE(B48)),VLOOKUP(B48,dagsoorttabel1,2,FALSE)*dagenperjaar1,VALUE(B48)))</f>
        <v>1</v>
      </c>
      <c r="D48" s="25" t="s">
        <v>293</v>
      </c>
      <c r="E48" s="25" t="s">
        <v>543</v>
      </c>
      <c r="F48" s="25" t="s">
        <v>433</v>
      </c>
      <c r="G48" s="91">
        <v>2.5</v>
      </c>
      <c r="H48" s="95">
        <f>Glas!G17</f>
        <v>0</v>
      </c>
      <c r="I48" s="92"/>
      <c r="J48" s="95">
        <f>Glas!I17</f>
        <v>0</v>
      </c>
      <c r="K48" s="39">
        <f>IF(ISBLANK(G48),0,G48)*J48</f>
        <v>0</v>
      </c>
      <c r="L48" s="39">
        <f>C48*K48</f>
        <v>0</v>
      </c>
      <c r="M48" s="39">
        <f>L48/12</f>
        <v>0</v>
      </c>
    </row>
    <row r="49" spans="1:13" x14ac:dyDescent="0.25">
      <c r="A49" s="72" t="s">
        <v>341</v>
      </c>
      <c r="B49" s="41"/>
      <c r="C49" s="41"/>
      <c r="D49" s="41"/>
      <c r="E49" s="41"/>
      <c r="F49" s="41"/>
      <c r="G49" s="41"/>
      <c r="H49" s="41"/>
      <c r="I49" s="41"/>
      <c r="J49" s="41"/>
      <c r="K49" s="43">
        <f>SUM(K46:K48)</f>
        <v>0</v>
      </c>
      <c r="L49" s="43">
        <f>SUM(L46:L48)</f>
        <v>0</v>
      </c>
      <c r="M49" s="82">
        <f>L49/12</f>
        <v>0</v>
      </c>
    </row>
    <row r="51" spans="1:13" x14ac:dyDescent="0.25">
      <c r="A51" s="83" t="s">
        <v>557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84"/>
    </row>
    <row r="52" spans="1:13" x14ac:dyDescent="0.25">
      <c r="A52" s="15" t="s">
        <v>526</v>
      </c>
      <c r="B52" s="15" t="s">
        <v>25</v>
      </c>
      <c r="C52" s="16">
        <f>IF(ISBLANK(B52),0,IF(ISERROR(VALUE(B52)),VLOOKUP(B52,dagsoorttabel1,2,FALSE)*dagenperjaar1,VALUE(B52)))</f>
        <v>4</v>
      </c>
      <c r="D52" s="15" t="s">
        <v>293</v>
      </c>
      <c r="E52" s="15" t="s">
        <v>527</v>
      </c>
      <c r="F52" s="15" t="s">
        <v>433</v>
      </c>
      <c r="G52" s="87">
        <v>3</v>
      </c>
      <c r="H52" s="93">
        <f>Glas!G7</f>
        <v>0</v>
      </c>
      <c r="I52" s="88"/>
      <c r="J52" s="93">
        <f>Glas!I7</f>
        <v>0</v>
      </c>
      <c r="K52" s="32">
        <f>IF(ISBLANK(G52),0,G52)*J52</f>
        <v>0</v>
      </c>
      <c r="L52" s="32">
        <f>C52*K52</f>
        <v>0</v>
      </c>
      <c r="M52" s="32">
        <f>L52/12</f>
        <v>0</v>
      </c>
    </row>
    <row r="53" spans="1:13" x14ac:dyDescent="0.25">
      <c r="A53" s="25" t="s">
        <v>528</v>
      </c>
      <c r="B53" s="25" t="s">
        <v>25</v>
      </c>
      <c r="C53" s="26">
        <f>IF(ISBLANK(B53),0,IF(ISERROR(VALUE(B53)),VLOOKUP(B53,dagsoorttabel1,2,FALSE)*dagenperjaar1,VALUE(B53)))</f>
        <v>4</v>
      </c>
      <c r="D53" s="25" t="s">
        <v>293</v>
      </c>
      <c r="E53" s="25" t="s">
        <v>529</v>
      </c>
      <c r="F53" s="25" t="s">
        <v>433</v>
      </c>
      <c r="G53" s="91">
        <v>3</v>
      </c>
      <c r="H53" s="95">
        <f>Glas!G9</f>
        <v>0</v>
      </c>
      <c r="I53" s="92"/>
      <c r="J53" s="95">
        <f>Glas!I9</f>
        <v>0</v>
      </c>
      <c r="K53" s="39">
        <f>IF(ISBLANK(G53),0,G53)*J53</f>
        <v>0</v>
      </c>
      <c r="L53" s="39">
        <f>C53*K53</f>
        <v>0</v>
      </c>
      <c r="M53" s="39">
        <f>L53/12</f>
        <v>0</v>
      </c>
    </row>
    <row r="54" spans="1:13" x14ac:dyDescent="0.25">
      <c r="A54" s="72" t="s">
        <v>343</v>
      </c>
      <c r="B54" s="41"/>
      <c r="C54" s="41"/>
      <c r="D54" s="41"/>
      <c r="E54" s="41"/>
      <c r="F54" s="41"/>
      <c r="G54" s="41"/>
      <c r="H54" s="41"/>
      <c r="I54" s="41"/>
      <c r="J54" s="41"/>
      <c r="K54" s="43">
        <f>SUM(K52:K53)</f>
        <v>0</v>
      </c>
      <c r="L54" s="43">
        <f>SUM(L52:L53)</f>
        <v>0</v>
      </c>
      <c r="M54" s="82">
        <f>L54/12</f>
        <v>0</v>
      </c>
    </row>
    <row r="56" spans="1:13" x14ac:dyDescent="0.25">
      <c r="A56" s="83" t="s">
        <v>558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84"/>
    </row>
    <row r="57" spans="1:13" x14ac:dyDescent="0.25">
      <c r="A57" s="15" t="s">
        <v>526</v>
      </c>
      <c r="B57" s="15" t="s">
        <v>25</v>
      </c>
      <c r="C57" s="16">
        <f>IF(ISBLANK(B57),0,IF(ISERROR(VALUE(B57)),VLOOKUP(B57,dagsoorttabel1,2,FALSE)*dagenperjaar1,VALUE(B57)))</f>
        <v>4</v>
      </c>
      <c r="D57" s="15" t="s">
        <v>293</v>
      </c>
      <c r="E57" s="15" t="s">
        <v>527</v>
      </c>
      <c r="F57" s="15" t="s">
        <v>433</v>
      </c>
      <c r="G57" s="87">
        <v>2.5</v>
      </c>
      <c r="H57" s="93">
        <f>Glas!G7</f>
        <v>0</v>
      </c>
      <c r="I57" s="88"/>
      <c r="J57" s="93">
        <f>Glas!I7</f>
        <v>0</v>
      </c>
      <c r="K57" s="32">
        <f>IF(ISBLANK(G57),0,G57)*J57</f>
        <v>0</v>
      </c>
      <c r="L57" s="32">
        <f>C57*K57</f>
        <v>0</v>
      </c>
      <c r="M57" s="32">
        <f>L57/12</f>
        <v>0</v>
      </c>
    </row>
    <row r="58" spans="1:13" x14ac:dyDescent="0.25">
      <c r="A58" s="25" t="s">
        <v>528</v>
      </c>
      <c r="B58" s="25" t="s">
        <v>25</v>
      </c>
      <c r="C58" s="26">
        <f>IF(ISBLANK(B58),0,IF(ISERROR(VALUE(B58)),VLOOKUP(B58,dagsoorttabel1,2,FALSE)*dagenperjaar1,VALUE(B58)))</f>
        <v>4</v>
      </c>
      <c r="D58" s="25" t="s">
        <v>293</v>
      </c>
      <c r="E58" s="25" t="s">
        <v>529</v>
      </c>
      <c r="F58" s="25" t="s">
        <v>433</v>
      </c>
      <c r="G58" s="91">
        <v>2.5</v>
      </c>
      <c r="H58" s="95">
        <f>Glas!G9</f>
        <v>0</v>
      </c>
      <c r="I58" s="92"/>
      <c r="J58" s="95">
        <f>Glas!I9</f>
        <v>0</v>
      </c>
      <c r="K58" s="39">
        <f>IF(ISBLANK(G58),0,G58)*J58</f>
        <v>0</v>
      </c>
      <c r="L58" s="39">
        <f>C58*K58</f>
        <v>0</v>
      </c>
      <c r="M58" s="39">
        <f>L58/12</f>
        <v>0</v>
      </c>
    </row>
    <row r="59" spans="1:13" x14ac:dyDescent="0.25">
      <c r="A59" s="72" t="s">
        <v>345</v>
      </c>
      <c r="B59" s="41"/>
      <c r="C59" s="41"/>
      <c r="D59" s="41"/>
      <c r="E59" s="41"/>
      <c r="F59" s="41"/>
      <c r="G59" s="41"/>
      <c r="H59" s="41"/>
      <c r="I59" s="41"/>
      <c r="J59" s="41"/>
      <c r="K59" s="43">
        <f>SUM(K57:K58)</f>
        <v>0</v>
      </c>
      <c r="L59" s="43">
        <f>SUM(L57:L58)</f>
        <v>0</v>
      </c>
      <c r="M59" s="82">
        <f>L59/12</f>
        <v>0</v>
      </c>
    </row>
    <row r="61" spans="1:13" x14ac:dyDescent="0.25">
      <c r="A61" s="83" t="s">
        <v>392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84"/>
    </row>
    <row r="62" spans="1:13" x14ac:dyDescent="0.25">
      <c r="A62" s="15" t="s">
        <v>526</v>
      </c>
      <c r="B62" s="15" t="s">
        <v>25</v>
      </c>
      <c r="C62" s="16">
        <f>IF(ISBLANK(B62),0,IF(ISERROR(VALUE(B62)),VLOOKUP(B62,dagsoorttabel1,2,FALSE)*dagenperjaar1,VALUE(B62)))</f>
        <v>4</v>
      </c>
      <c r="D62" s="15" t="s">
        <v>293</v>
      </c>
      <c r="E62" s="15" t="s">
        <v>527</v>
      </c>
      <c r="F62" s="15" t="s">
        <v>433</v>
      </c>
      <c r="G62" s="87">
        <v>412.2</v>
      </c>
      <c r="H62" s="93">
        <f>Glas!G7</f>
        <v>0</v>
      </c>
      <c r="I62" s="88"/>
      <c r="J62" s="93">
        <f>Glas!I7</f>
        <v>0</v>
      </c>
      <c r="K62" s="32">
        <f>IF(ISBLANK(G62),0,G62)*J62</f>
        <v>0</v>
      </c>
      <c r="L62" s="32">
        <f>C62*K62</f>
        <v>0</v>
      </c>
      <c r="M62" s="32">
        <f>L62/12</f>
        <v>0</v>
      </c>
    </row>
    <row r="63" spans="1:13" x14ac:dyDescent="0.25">
      <c r="A63" s="20" t="s">
        <v>528</v>
      </c>
      <c r="B63" s="20" t="s">
        <v>25</v>
      </c>
      <c r="C63" s="21">
        <f>IF(ISBLANK(B63),0,IF(ISERROR(VALUE(B63)),VLOOKUP(B63,dagsoorttabel1,2,FALSE)*dagenperjaar1,VALUE(B63)))</f>
        <v>4</v>
      </c>
      <c r="D63" s="20" t="s">
        <v>293</v>
      </c>
      <c r="E63" s="20" t="s">
        <v>529</v>
      </c>
      <c r="F63" s="20" t="s">
        <v>433</v>
      </c>
      <c r="G63" s="89">
        <v>412.2</v>
      </c>
      <c r="H63" s="94">
        <f>Glas!G9</f>
        <v>0</v>
      </c>
      <c r="I63" s="90"/>
      <c r="J63" s="94">
        <f>Glas!I9</f>
        <v>0</v>
      </c>
      <c r="K63" s="35">
        <f>IF(ISBLANK(G63),0,G63)*J63</f>
        <v>0</v>
      </c>
      <c r="L63" s="35">
        <f>C63*K63</f>
        <v>0</v>
      </c>
      <c r="M63" s="35">
        <f>L63/12</f>
        <v>0</v>
      </c>
    </row>
    <row r="64" spans="1:13" x14ac:dyDescent="0.25">
      <c r="A64" s="25" t="s">
        <v>530</v>
      </c>
      <c r="B64" s="25" t="s">
        <v>25</v>
      </c>
      <c r="C64" s="26">
        <f>IF(ISBLANK(B64),0,IF(ISERROR(VALUE(B64)),VLOOKUP(B64,dagsoorttabel1,2,FALSE)*dagenperjaar1,VALUE(B64)))</f>
        <v>4</v>
      </c>
      <c r="D64" s="25" t="s">
        <v>293</v>
      </c>
      <c r="E64" s="25" t="s">
        <v>531</v>
      </c>
      <c r="F64" s="25" t="s">
        <v>433</v>
      </c>
      <c r="G64" s="91">
        <v>417.6</v>
      </c>
      <c r="H64" s="95">
        <f>Glas!G11</f>
        <v>0</v>
      </c>
      <c r="I64" s="92"/>
      <c r="J64" s="95">
        <f>Glas!I11</f>
        <v>0</v>
      </c>
      <c r="K64" s="39">
        <f>IF(ISBLANK(G64),0,G64)*J64</f>
        <v>0</v>
      </c>
      <c r="L64" s="39">
        <f>C64*K64</f>
        <v>0</v>
      </c>
      <c r="M64" s="39">
        <f>L64/12</f>
        <v>0</v>
      </c>
    </row>
    <row r="65" spans="1:13" x14ac:dyDescent="0.25">
      <c r="A65" s="72" t="s">
        <v>347</v>
      </c>
      <c r="B65" s="41"/>
      <c r="C65" s="41"/>
      <c r="D65" s="41"/>
      <c r="E65" s="41"/>
      <c r="F65" s="41"/>
      <c r="G65" s="41"/>
      <c r="H65" s="41"/>
      <c r="I65" s="41"/>
      <c r="J65" s="41"/>
      <c r="K65" s="43">
        <f>SUM(K62:K64)</f>
        <v>0</v>
      </c>
      <c r="L65" s="43">
        <f>SUM(L62:L64)</f>
        <v>0</v>
      </c>
      <c r="M65" s="82">
        <f>L65/12</f>
        <v>0</v>
      </c>
    </row>
    <row r="67" spans="1:13" x14ac:dyDescent="0.25">
      <c r="A67" s="83" t="s">
        <v>393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84"/>
    </row>
    <row r="68" spans="1:13" x14ac:dyDescent="0.25">
      <c r="A68" s="15" t="s">
        <v>526</v>
      </c>
      <c r="B68" s="15" t="s">
        <v>27</v>
      </c>
      <c r="C68" s="16">
        <f>IF(ISBLANK(B68),0,IF(ISERROR(VALUE(B68)),VLOOKUP(B68,dagsoorttabel1,2,FALSE)*dagenperjaar1,VALUE(B68)))</f>
        <v>2</v>
      </c>
      <c r="D68" s="15" t="s">
        <v>293</v>
      </c>
      <c r="E68" s="15" t="s">
        <v>527</v>
      </c>
      <c r="F68" s="15" t="s">
        <v>433</v>
      </c>
      <c r="G68" s="87">
        <v>16.399999999999999</v>
      </c>
      <c r="H68" s="93">
        <f>Glas!G6</f>
        <v>0</v>
      </c>
      <c r="I68" s="88"/>
      <c r="J68" s="93">
        <f>Glas!I6</f>
        <v>0</v>
      </c>
      <c r="K68" s="32">
        <f>IF(ISBLANK(G68),0,G68)*J68</f>
        <v>0</v>
      </c>
      <c r="L68" s="32">
        <f>C68*K68</f>
        <v>0</v>
      </c>
      <c r="M68" s="32">
        <f>L68/12</f>
        <v>0</v>
      </c>
    </row>
    <row r="69" spans="1:13" x14ac:dyDescent="0.25">
      <c r="A69" s="20" t="s">
        <v>528</v>
      </c>
      <c r="B69" s="20" t="s">
        <v>27</v>
      </c>
      <c r="C69" s="21">
        <f>IF(ISBLANK(B69),0,IF(ISERROR(VALUE(B69)),VLOOKUP(B69,dagsoorttabel1,2,FALSE)*dagenperjaar1,VALUE(B69)))</f>
        <v>2</v>
      </c>
      <c r="D69" s="20" t="s">
        <v>293</v>
      </c>
      <c r="E69" s="20" t="s">
        <v>529</v>
      </c>
      <c r="F69" s="20" t="s">
        <v>433</v>
      </c>
      <c r="G69" s="89">
        <v>16.399999999999999</v>
      </c>
      <c r="H69" s="94">
        <f>Glas!G8</f>
        <v>0</v>
      </c>
      <c r="I69" s="90"/>
      <c r="J69" s="94">
        <f>Glas!I8</f>
        <v>0</v>
      </c>
      <c r="K69" s="35">
        <f>IF(ISBLANK(G69),0,G69)*J69</f>
        <v>0</v>
      </c>
      <c r="L69" s="35">
        <f>C69*K69</f>
        <v>0</v>
      </c>
      <c r="M69" s="35">
        <f>L69/12</f>
        <v>0</v>
      </c>
    </row>
    <row r="70" spans="1:13" x14ac:dyDescent="0.25">
      <c r="A70" s="25" t="s">
        <v>530</v>
      </c>
      <c r="B70" s="25" t="s">
        <v>27</v>
      </c>
      <c r="C70" s="26">
        <f>IF(ISBLANK(B70),0,IF(ISERROR(VALUE(B70)),VLOOKUP(B70,dagsoorttabel1,2,FALSE)*dagenperjaar1,VALUE(B70)))</f>
        <v>2</v>
      </c>
      <c r="D70" s="25" t="s">
        <v>293</v>
      </c>
      <c r="E70" s="25" t="s">
        <v>531</v>
      </c>
      <c r="F70" s="25" t="s">
        <v>433</v>
      </c>
      <c r="G70" s="91">
        <v>75.8</v>
      </c>
      <c r="H70" s="95">
        <f>Glas!G10</f>
        <v>0</v>
      </c>
      <c r="I70" s="92"/>
      <c r="J70" s="95">
        <f>Glas!I10</f>
        <v>0</v>
      </c>
      <c r="K70" s="39">
        <f>IF(ISBLANK(G70),0,G70)*J70</f>
        <v>0</v>
      </c>
      <c r="L70" s="39">
        <f>C70*K70</f>
        <v>0</v>
      </c>
      <c r="M70" s="39">
        <f>L70/12</f>
        <v>0</v>
      </c>
    </row>
    <row r="71" spans="1:13" x14ac:dyDescent="0.25">
      <c r="A71" s="72" t="s">
        <v>351</v>
      </c>
      <c r="B71" s="41"/>
      <c r="C71" s="41"/>
      <c r="D71" s="41"/>
      <c r="E71" s="41"/>
      <c r="F71" s="41"/>
      <c r="G71" s="41"/>
      <c r="H71" s="41"/>
      <c r="I71" s="41"/>
      <c r="J71" s="41"/>
      <c r="K71" s="43">
        <f>SUM(K68:K70)</f>
        <v>0</v>
      </c>
      <c r="L71" s="43">
        <f>SUM(L68:L70)</f>
        <v>0</v>
      </c>
      <c r="M71" s="82">
        <f>L71/12</f>
        <v>0</v>
      </c>
    </row>
    <row r="73" spans="1:13" x14ac:dyDescent="0.25">
      <c r="A73" s="83" t="s">
        <v>559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84"/>
    </row>
    <row r="74" spans="1:13" x14ac:dyDescent="0.25">
      <c r="A74" s="15" t="s">
        <v>526</v>
      </c>
      <c r="B74" s="15" t="s">
        <v>27</v>
      </c>
      <c r="C74" s="16">
        <f>IF(ISBLANK(B74),0,IF(ISERROR(VALUE(B74)),VLOOKUP(B74,dagsoorttabel1,2,FALSE)*dagenperjaar1,VALUE(B74)))</f>
        <v>2</v>
      </c>
      <c r="D74" s="15" t="s">
        <v>293</v>
      </c>
      <c r="E74" s="15" t="s">
        <v>527</v>
      </c>
      <c r="F74" s="15" t="s">
        <v>433</v>
      </c>
      <c r="G74" s="87">
        <v>40.799999999999997</v>
      </c>
      <c r="H74" s="93">
        <f>Glas!G6</f>
        <v>0</v>
      </c>
      <c r="I74" s="88"/>
      <c r="J74" s="93">
        <f>Glas!I6</f>
        <v>0</v>
      </c>
      <c r="K74" s="32">
        <f>IF(ISBLANK(G74),0,G74)*J74</f>
        <v>0</v>
      </c>
      <c r="L74" s="32">
        <f>C74*K74</f>
        <v>0</v>
      </c>
      <c r="M74" s="32">
        <f>L74/12</f>
        <v>0</v>
      </c>
    </row>
    <row r="75" spans="1:13" x14ac:dyDescent="0.25">
      <c r="A75" s="20" t="s">
        <v>528</v>
      </c>
      <c r="B75" s="20" t="s">
        <v>27</v>
      </c>
      <c r="C75" s="21">
        <f>IF(ISBLANK(B75),0,IF(ISERROR(VALUE(B75)),VLOOKUP(B75,dagsoorttabel1,2,FALSE)*dagenperjaar1,VALUE(B75)))</f>
        <v>2</v>
      </c>
      <c r="D75" s="20" t="s">
        <v>293</v>
      </c>
      <c r="E75" s="20" t="s">
        <v>529</v>
      </c>
      <c r="F75" s="20" t="s">
        <v>433</v>
      </c>
      <c r="G75" s="89">
        <v>40.799999999999997</v>
      </c>
      <c r="H75" s="94">
        <f>Glas!G8</f>
        <v>0</v>
      </c>
      <c r="I75" s="90"/>
      <c r="J75" s="94">
        <f>Glas!I8</f>
        <v>0</v>
      </c>
      <c r="K75" s="35">
        <f>IF(ISBLANK(G75),0,G75)*J75</f>
        <v>0</v>
      </c>
      <c r="L75" s="35">
        <f>C75*K75</f>
        <v>0</v>
      </c>
      <c r="M75" s="35">
        <f>L75/12</f>
        <v>0</v>
      </c>
    </row>
    <row r="76" spans="1:13" x14ac:dyDescent="0.25">
      <c r="A76" s="25" t="s">
        <v>530</v>
      </c>
      <c r="B76" s="25" t="s">
        <v>27</v>
      </c>
      <c r="C76" s="26">
        <f>IF(ISBLANK(B76),0,IF(ISERROR(VALUE(B76)),VLOOKUP(B76,dagsoorttabel1,2,FALSE)*dagenperjaar1,VALUE(B76)))</f>
        <v>2</v>
      </c>
      <c r="D76" s="25" t="s">
        <v>293</v>
      </c>
      <c r="E76" s="25" t="s">
        <v>531</v>
      </c>
      <c r="F76" s="25" t="s">
        <v>433</v>
      </c>
      <c r="G76" s="91">
        <v>35.9</v>
      </c>
      <c r="H76" s="95">
        <f>Glas!G10</f>
        <v>0</v>
      </c>
      <c r="I76" s="92"/>
      <c r="J76" s="95">
        <f>Glas!I10</f>
        <v>0</v>
      </c>
      <c r="K76" s="39">
        <f>IF(ISBLANK(G76),0,G76)*J76</f>
        <v>0</v>
      </c>
      <c r="L76" s="39">
        <f>C76*K76</f>
        <v>0</v>
      </c>
      <c r="M76" s="39">
        <f>L76/12</f>
        <v>0</v>
      </c>
    </row>
    <row r="77" spans="1:13" x14ac:dyDescent="0.25">
      <c r="A77" s="72" t="s">
        <v>355</v>
      </c>
      <c r="B77" s="41"/>
      <c r="C77" s="41"/>
      <c r="D77" s="41"/>
      <c r="E77" s="41"/>
      <c r="F77" s="41"/>
      <c r="G77" s="41"/>
      <c r="H77" s="41"/>
      <c r="I77" s="41"/>
      <c r="J77" s="41"/>
      <c r="K77" s="43">
        <f>SUM(K74:K76)</f>
        <v>0</v>
      </c>
      <c r="L77" s="43">
        <f>SUM(L74:L76)</f>
        <v>0</v>
      </c>
      <c r="M77" s="82">
        <f>L77/12</f>
        <v>0</v>
      </c>
    </row>
    <row r="79" spans="1:13" x14ac:dyDescent="0.25">
      <c r="A79" s="83" t="s">
        <v>394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84"/>
    </row>
    <row r="80" spans="1:13" x14ac:dyDescent="0.25">
      <c r="A80" s="15" t="s">
        <v>526</v>
      </c>
      <c r="B80" s="15" t="s">
        <v>27</v>
      </c>
      <c r="C80" s="16">
        <f>IF(ISBLANK(B80),0,IF(ISERROR(VALUE(B80)),VLOOKUP(B80,dagsoorttabel1,2,FALSE)*dagenperjaar1,VALUE(B80)))</f>
        <v>2</v>
      </c>
      <c r="D80" s="15" t="s">
        <v>293</v>
      </c>
      <c r="E80" s="15" t="s">
        <v>527</v>
      </c>
      <c r="F80" s="15" t="s">
        <v>433</v>
      </c>
      <c r="G80" s="87">
        <v>44.660000000000004</v>
      </c>
      <c r="H80" s="93">
        <f>Glas!G6</f>
        <v>0</v>
      </c>
      <c r="I80" s="88"/>
      <c r="J80" s="93">
        <f>Glas!I6</f>
        <v>0</v>
      </c>
      <c r="K80" s="32">
        <f>IF(ISBLANK(G80),0,G80)*J80</f>
        <v>0</v>
      </c>
      <c r="L80" s="32">
        <f>C80*K80</f>
        <v>0</v>
      </c>
      <c r="M80" s="32">
        <f>L80/12</f>
        <v>0</v>
      </c>
    </row>
    <row r="81" spans="1:13" x14ac:dyDescent="0.25">
      <c r="A81" s="20" t="s">
        <v>528</v>
      </c>
      <c r="B81" s="20" t="s">
        <v>27</v>
      </c>
      <c r="C81" s="21">
        <f>IF(ISBLANK(B81),0,IF(ISERROR(VALUE(B81)),VLOOKUP(B81,dagsoorttabel1,2,FALSE)*dagenperjaar1,VALUE(B81)))</f>
        <v>2</v>
      </c>
      <c r="D81" s="20" t="s">
        <v>293</v>
      </c>
      <c r="E81" s="20" t="s">
        <v>529</v>
      </c>
      <c r="F81" s="20" t="s">
        <v>433</v>
      </c>
      <c r="G81" s="89">
        <v>44.660000000000004</v>
      </c>
      <c r="H81" s="94">
        <f>Glas!G8</f>
        <v>0</v>
      </c>
      <c r="I81" s="90"/>
      <c r="J81" s="94">
        <f>Glas!I8</f>
        <v>0</v>
      </c>
      <c r="K81" s="35">
        <f>IF(ISBLANK(G81),0,G81)*J81</f>
        <v>0</v>
      </c>
      <c r="L81" s="35">
        <f>C81*K81</f>
        <v>0</v>
      </c>
      <c r="M81" s="35">
        <f>L81/12</f>
        <v>0</v>
      </c>
    </row>
    <row r="82" spans="1:13" x14ac:dyDescent="0.25">
      <c r="A82" s="20" t="s">
        <v>530</v>
      </c>
      <c r="B82" s="20" t="s">
        <v>27</v>
      </c>
      <c r="C82" s="21">
        <f>IF(ISBLANK(B82),0,IF(ISERROR(VALUE(B82)),VLOOKUP(B82,dagsoorttabel1,2,FALSE)*dagenperjaar1,VALUE(B82)))</f>
        <v>2</v>
      </c>
      <c r="D82" s="20" t="s">
        <v>293</v>
      </c>
      <c r="E82" s="20" t="s">
        <v>531</v>
      </c>
      <c r="F82" s="20" t="s">
        <v>433</v>
      </c>
      <c r="G82" s="89">
        <v>42</v>
      </c>
      <c r="H82" s="94">
        <f>Glas!G10</f>
        <v>0</v>
      </c>
      <c r="I82" s="90"/>
      <c r="J82" s="94">
        <f>Glas!I10</f>
        <v>0</v>
      </c>
      <c r="K82" s="35">
        <f>IF(ISBLANK(G82),0,G82)*J82</f>
        <v>0</v>
      </c>
      <c r="L82" s="35">
        <f>C82*K82</f>
        <v>0</v>
      </c>
      <c r="M82" s="35">
        <f>L82/12</f>
        <v>0</v>
      </c>
    </row>
    <row r="83" spans="1:13" x14ac:dyDescent="0.25">
      <c r="A83" s="25" t="s">
        <v>540</v>
      </c>
      <c r="B83" s="25" t="s">
        <v>28</v>
      </c>
      <c r="C83" s="26">
        <f>IF(ISBLANK(B83),0,IF(ISERROR(VALUE(B83)),VLOOKUP(B83,dagsoorttabel1,2,FALSE)*dagenperjaar1,VALUE(B83)))</f>
        <v>1</v>
      </c>
      <c r="D83" s="25" t="s">
        <v>293</v>
      </c>
      <c r="E83" s="25" t="s">
        <v>541</v>
      </c>
      <c r="F83" s="25" t="s">
        <v>433</v>
      </c>
      <c r="G83" s="91">
        <v>17</v>
      </c>
      <c r="H83" s="95">
        <f>Glas!G16</f>
        <v>0</v>
      </c>
      <c r="I83" s="92"/>
      <c r="J83" s="95">
        <f>Glas!I16</f>
        <v>0</v>
      </c>
      <c r="K83" s="39">
        <f>IF(ISBLANK(G83),0,G83)*J83</f>
        <v>0</v>
      </c>
      <c r="L83" s="39">
        <f>C83*K83</f>
        <v>0</v>
      </c>
      <c r="M83" s="39">
        <f>L83/12</f>
        <v>0</v>
      </c>
    </row>
    <row r="84" spans="1:13" x14ac:dyDescent="0.25">
      <c r="A84" s="72" t="s">
        <v>357</v>
      </c>
      <c r="B84" s="41"/>
      <c r="C84" s="41"/>
      <c r="D84" s="41"/>
      <c r="E84" s="41"/>
      <c r="F84" s="41"/>
      <c r="G84" s="41"/>
      <c r="H84" s="41"/>
      <c r="I84" s="41"/>
      <c r="J84" s="41"/>
      <c r="K84" s="43">
        <f>SUM(K80:K83)</f>
        <v>0</v>
      </c>
      <c r="L84" s="43">
        <f>SUM(L80:L83)</f>
        <v>0</v>
      </c>
      <c r="M84" s="82">
        <f>L84/12</f>
        <v>0</v>
      </c>
    </row>
    <row r="86" spans="1:13" x14ac:dyDescent="0.25">
      <c r="A86" s="83" t="s">
        <v>395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84"/>
    </row>
    <row r="87" spans="1:13" x14ac:dyDescent="0.25">
      <c r="A87" s="15" t="s">
        <v>526</v>
      </c>
      <c r="B87" s="15" t="s">
        <v>27</v>
      </c>
      <c r="C87" s="16">
        <f>IF(ISBLANK(B87),0,IF(ISERROR(VALUE(B87)),VLOOKUP(B87,dagsoorttabel1,2,FALSE)*dagenperjaar1,VALUE(B87)))</f>
        <v>2</v>
      </c>
      <c r="D87" s="15" t="s">
        <v>293</v>
      </c>
      <c r="E87" s="15" t="s">
        <v>527</v>
      </c>
      <c r="F87" s="15" t="s">
        <v>433</v>
      </c>
      <c r="G87" s="87">
        <v>154.80000000000001</v>
      </c>
      <c r="H87" s="93">
        <f>Glas!G6</f>
        <v>0</v>
      </c>
      <c r="I87" s="88"/>
      <c r="J87" s="93">
        <f>Glas!I6</f>
        <v>0</v>
      </c>
      <c r="K87" s="32">
        <f>IF(ISBLANK(G87),0,G87)*J87</f>
        <v>0</v>
      </c>
      <c r="L87" s="32">
        <f>C87*K87</f>
        <v>0</v>
      </c>
      <c r="M87" s="32">
        <f>L87/12</f>
        <v>0</v>
      </c>
    </row>
    <row r="88" spans="1:13" x14ac:dyDescent="0.25">
      <c r="A88" s="20" t="s">
        <v>528</v>
      </c>
      <c r="B88" s="20" t="s">
        <v>27</v>
      </c>
      <c r="C88" s="21">
        <f>IF(ISBLANK(B88),0,IF(ISERROR(VALUE(B88)),VLOOKUP(B88,dagsoorttabel1,2,FALSE)*dagenperjaar1,VALUE(B88)))</f>
        <v>2</v>
      </c>
      <c r="D88" s="20" t="s">
        <v>293</v>
      </c>
      <c r="E88" s="20" t="s">
        <v>529</v>
      </c>
      <c r="F88" s="20" t="s">
        <v>433</v>
      </c>
      <c r="G88" s="89">
        <v>154.80000000000001</v>
      </c>
      <c r="H88" s="94">
        <f>Glas!G8</f>
        <v>0</v>
      </c>
      <c r="I88" s="90"/>
      <c r="J88" s="94">
        <f>Glas!I8</f>
        <v>0</v>
      </c>
      <c r="K88" s="35">
        <f>IF(ISBLANK(G88),0,G88)*J88</f>
        <v>0</v>
      </c>
      <c r="L88" s="35">
        <f>C88*K88</f>
        <v>0</v>
      </c>
      <c r="M88" s="35">
        <f>L88/12</f>
        <v>0</v>
      </c>
    </row>
    <row r="89" spans="1:13" x14ac:dyDescent="0.25">
      <c r="A89" s="20" t="s">
        <v>530</v>
      </c>
      <c r="B89" s="20" t="s">
        <v>27</v>
      </c>
      <c r="C89" s="21">
        <f>IF(ISBLANK(B89),0,IF(ISERROR(VALUE(B89)),VLOOKUP(B89,dagsoorttabel1,2,FALSE)*dagenperjaar1,VALUE(B89)))</f>
        <v>2</v>
      </c>
      <c r="D89" s="20" t="s">
        <v>293</v>
      </c>
      <c r="E89" s="20" t="s">
        <v>531</v>
      </c>
      <c r="F89" s="20" t="s">
        <v>433</v>
      </c>
      <c r="G89" s="89">
        <v>57.96</v>
      </c>
      <c r="H89" s="94">
        <f>Glas!G10</f>
        <v>0</v>
      </c>
      <c r="I89" s="90"/>
      <c r="J89" s="94">
        <f>Glas!I10</f>
        <v>0</v>
      </c>
      <c r="K89" s="35">
        <f>IF(ISBLANK(G89),0,G89)*J89</f>
        <v>0</v>
      </c>
      <c r="L89" s="35">
        <f>C89*K89</f>
        <v>0</v>
      </c>
      <c r="M89" s="35">
        <f>L89/12</f>
        <v>0</v>
      </c>
    </row>
    <row r="90" spans="1:13" x14ac:dyDescent="0.25">
      <c r="A90" s="25" t="s">
        <v>540</v>
      </c>
      <c r="B90" s="25" t="s">
        <v>28</v>
      </c>
      <c r="C90" s="26">
        <f>IF(ISBLANK(B90),0,IF(ISERROR(VALUE(B90)),VLOOKUP(B90,dagsoorttabel1,2,FALSE)*dagenperjaar1,VALUE(B90)))</f>
        <v>1</v>
      </c>
      <c r="D90" s="25" t="s">
        <v>293</v>
      </c>
      <c r="E90" s="25" t="s">
        <v>541</v>
      </c>
      <c r="F90" s="25" t="s">
        <v>433</v>
      </c>
      <c r="G90" s="91">
        <v>10</v>
      </c>
      <c r="H90" s="95">
        <f>Glas!G16</f>
        <v>0</v>
      </c>
      <c r="I90" s="92"/>
      <c r="J90" s="95">
        <f>Glas!I16</f>
        <v>0</v>
      </c>
      <c r="K90" s="39">
        <f>IF(ISBLANK(G90),0,G90)*J90</f>
        <v>0</v>
      </c>
      <c r="L90" s="39">
        <f>C90*K90</f>
        <v>0</v>
      </c>
      <c r="M90" s="39">
        <f>L90/12</f>
        <v>0</v>
      </c>
    </row>
    <row r="91" spans="1:13" x14ac:dyDescent="0.25">
      <c r="A91" s="72" t="s">
        <v>359</v>
      </c>
      <c r="B91" s="41"/>
      <c r="C91" s="41"/>
      <c r="D91" s="41"/>
      <c r="E91" s="41"/>
      <c r="F91" s="41"/>
      <c r="G91" s="41"/>
      <c r="H91" s="41"/>
      <c r="I91" s="41"/>
      <c r="J91" s="41"/>
      <c r="K91" s="43">
        <f>SUM(K87:K90)</f>
        <v>0</v>
      </c>
      <c r="L91" s="43">
        <f>SUM(L87:L90)</f>
        <v>0</v>
      </c>
      <c r="M91" s="82">
        <f>L91/12</f>
        <v>0</v>
      </c>
    </row>
    <row r="93" spans="1:13" x14ac:dyDescent="0.25">
      <c r="A93" s="83" t="s">
        <v>560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84"/>
    </row>
    <row r="94" spans="1:13" x14ac:dyDescent="0.25">
      <c r="A94" s="15" t="s">
        <v>526</v>
      </c>
      <c r="B94" s="15" t="s">
        <v>27</v>
      </c>
      <c r="C94" s="16">
        <f>IF(ISBLANK(B94),0,IF(ISERROR(VALUE(B94)),VLOOKUP(B94,dagsoorttabel1,2,FALSE)*dagenperjaar1,VALUE(B94)))</f>
        <v>2</v>
      </c>
      <c r="D94" s="15" t="s">
        <v>293</v>
      </c>
      <c r="E94" s="15" t="s">
        <v>527</v>
      </c>
      <c r="F94" s="15" t="s">
        <v>433</v>
      </c>
      <c r="G94" s="87">
        <v>477</v>
      </c>
      <c r="H94" s="93">
        <f>Glas!G6</f>
        <v>0</v>
      </c>
      <c r="I94" s="88"/>
      <c r="J94" s="93">
        <f>Glas!I6</f>
        <v>0</v>
      </c>
      <c r="K94" s="32">
        <f>IF(ISBLANK(G94),0,G94)*J94</f>
        <v>0</v>
      </c>
      <c r="L94" s="32">
        <f>C94*K94</f>
        <v>0</v>
      </c>
      <c r="M94" s="32">
        <f>L94/12</f>
        <v>0</v>
      </c>
    </row>
    <row r="95" spans="1:13" x14ac:dyDescent="0.25">
      <c r="A95" s="20" t="s">
        <v>528</v>
      </c>
      <c r="B95" s="20" t="s">
        <v>27</v>
      </c>
      <c r="C95" s="21">
        <f>IF(ISBLANK(B95),0,IF(ISERROR(VALUE(B95)),VLOOKUP(B95,dagsoorttabel1,2,FALSE)*dagenperjaar1,VALUE(B95)))</f>
        <v>2</v>
      </c>
      <c r="D95" s="20" t="s">
        <v>293</v>
      </c>
      <c r="E95" s="20" t="s">
        <v>529</v>
      </c>
      <c r="F95" s="20" t="s">
        <v>433</v>
      </c>
      <c r="G95" s="89">
        <v>477</v>
      </c>
      <c r="H95" s="94">
        <f>Glas!G8</f>
        <v>0</v>
      </c>
      <c r="I95" s="90"/>
      <c r="J95" s="94">
        <f>Glas!I8</f>
        <v>0</v>
      </c>
      <c r="K95" s="35">
        <f>IF(ISBLANK(G95),0,G95)*J95</f>
        <v>0</v>
      </c>
      <c r="L95" s="35">
        <f>C95*K95</f>
        <v>0</v>
      </c>
      <c r="M95" s="35">
        <f>L95/12</f>
        <v>0</v>
      </c>
    </row>
    <row r="96" spans="1:13" x14ac:dyDescent="0.25">
      <c r="A96" s="25" t="s">
        <v>530</v>
      </c>
      <c r="B96" s="25" t="s">
        <v>27</v>
      </c>
      <c r="C96" s="26">
        <f>IF(ISBLANK(B96),0,IF(ISERROR(VALUE(B96)),VLOOKUP(B96,dagsoorttabel1,2,FALSE)*dagenperjaar1,VALUE(B96)))</f>
        <v>2</v>
      </c>
      <c r="D96" s="25" t="s">
        <v>293</v>
      </c>
      <c r="E96" s="25" t="s">
        <v>531</v>
      </c>
      <c r="F96" s="25" t="s">
        <v>433</v>
      </c>
      <c r="G96" s="91">
        <v>724</v>
      </c>
      <c r="H96" s="95">
        <f>Glas!G10</f>
        <v>0</v>
      </c>
      <c r="I96" s="92"/>
      <c r="J96" s="95">
        <f>Glas!I10</f>
        <v>0</v>
      </c>
      <c r="K96" s="39">
        <f>IF(ISBLANK(G96),0,G96)*J96</f>
        <v>0</v>
      </c>
      <c r="L96" s="39">
        <f>C96*K96</f>
        <v>0</v>
      </c>
      <c r="M96" s="39">
        <f>L96/12</f>
        <v>0</v>
      </c>
    </row>
    <row r="97" spans="1:13" x14ac:dyDescent="0.25">
      <c r="A97" s="72" t="s">
        <v>561</v>
      </c>
      <c r="B97" s="41"/>
      <c r="C97" s="41"/>
      <c r="D97" s="41"/>
      <c r="E97" s="41"/>
      <c r="F97" s="41"/>
      <c r="G97" s="41"/>
      <c r="H97" s="41"/>
      <c r="I97" s="41"/>
      <c r="J97" s="41"/>
      <c r="K97" s="43">
        <f>SUM(K94:K96)</f>
        <v>0</v>
      </c>
      <c r="L97" s="43">
        <f>SUM(L94:L96)</f>
        <v>0</v>
      </c>
      <c r="M97" s="82">
        <f>L97/12</f>
        <v>0</v>
      </c>
    </row>
  </sheetData>
  <pageMargins left="0.7" right="0.7" top="0.75" bottom="0.75" header="0.3" footer="0.3"/>
  <pageSetup scale="65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1876-0783-49AB-8D28-E619BEDBF7EA}">
  <dimension ref="A1:E19"/>
  <sheetViews>
    <sheetView tabSelected="1" workbookViewId="0"/>
  </sheetViews>
  <sheetFormatPr defaultRowHeight="15" x14ac:dyDescent="0.25"/>
  <cols>
    <col min="1" max="1" width="30.7109375" customWidth="1"/>
    <col min="2" max="5" width="20.7109375" customWidth="1"/>
  </cols>
  <sheetData>
    <row r="1" spans="1:5" x14ac:dyDescent="0.25">
      <c r="A1" s="1" t="str">
        <f>CONCATENATE("Bijlage H.12: ",tabeltype," totaalblad schoonmaakwerk")</f>
        <v>Bijlage H.12: Invultabel totaalblad schoonmaakwerk</v>
      </c>
    </row>
    <row r="3" spans="1:5" ht="30" x14ac:dyDescent="0.25">
      <c r="A3" s="8" t="s">
        <v>562</v>
      </c>
      <c r="B3" s="8" t="s">
        <v>563</v>
      </c>
      <c r="C3" s="8" t="s">
        <v>564</v>
      </c>
      <c r="D3" s="8" t="s">
        <v>565</v>
      </c>
      <c r="E3" s="8" t="s">
        <v>566</v>
      </c>
    </row>
    <row r="4" spans="1:5" x14ac:dyDescent="0.25">
      <c r="A4" s="96" t="s">
        <v>567</v>
      </c>
      <c r="B4" s="30">
        <f>urenjaartotaaloverzicht</f>
        <v>102</v>
      </c>
      <c r="C4" s="64"/>
      <c r="D4" s="32">
        <f>prijsjaartotaaloverzicht</f>
        <v>0</v>
      </c>
      <c r="E4" s="32">
        <f>D4*1.21</f>
        <v>0</v>
      </c>
    </row>
    <row r="5" spans="1:5" x14ac:dyDescent="0.25">
      <c r="A5" s="97" t="s">
        <v>334</v>
      </c>
      <c r="B5" s="67"/>
      <c r="C5" s="33">
        <f>urenjaarnietmeewerkend</f>
        <v>0</v>
      </c>
      <c r="D5" s="35">
        <f>prijsjaarnietmeewerkend</f>
        <v>0</v>
      </c>
      <c r="E5" s="35">
        <f>D5*1.21</f>
        <v>0</v>
      </c>
    </row>
    <row r="6" spans="1:5" x14ac:dyDescent="0.25">
      <c r="A6" s="97" t="s">
        <v>568</v>
      </c>
      <c r="B6" s="67"/>
      <c r="C6" s="67"/>
      <c r="D6" s="35">
        <f>prijsjaaradditioneel</f>
        <v>0</v>
      </c>
      <c r="E6" s="35">
        <f>D6*1.21</f>
        <v>0</v>
      </c>
    </row>
    <row r="7" spans="1:5" ht="30" x14ac:dyDescent="0.25">
      <c r="A7" s="97" t="s">
        <v>569</v>
      </c>
      <c r="B7" s="67"/>
      <c r="C7" s="67"/>
      <c r="D7" s="35">
        <f>prijsjaarafroep</f>
        <v>0</v>
      </c>
      <c r="E7" s="35">
        <f>D7*1.21</f>
        <v>0</v>
      </c>
    </row>
    <row r="8" spans="1:5" x14ac:dyDescent="0.25">
      <c r="A8" s="98" t="s">
        <v>570</v>
      </c>
      <c r="B8" s="99"/>
      <c r="C8" s="99"/>
      <c r="D8" s="39">
        <f>prijsjaarglas</f>
        <v>0</v>
      </c>
      <c r="E8" s="39">
        <f>D8*1.21</f>
        <v>0</v>
      </c>
    </row>
    <row r="10" spans="1:5" x14ac:dyDescent="0.25">
      <c r="A10" s="8" t="s">
        <v>571</v>
      </c>
      <c r="B10" s="42">
        <f>SUM(B4:B8)</f>
        <v>102</v>
      </c>
      <c r="C10" s="42">
        <f>SUM(C4:C8)</f>
        <v>0</v>
      </c>
      <c r="D10" s="43">
        <f>SUM(D4:D8)</f>
        <v>0</v>
      </c>
      <c r="E10" s="43">
        <f>D10*1.21</f>
        <v>0</v>
      </c>
    </row>
    <row r="12" spans="1:5" x14ac:dyDescent="0.25">
      <c r="A12" s="8" t="s">
        <v>572</v>
      </c>
      <c r="B12" s="100">
        <f>IF(B10&gt;0,C10/B10,0)</f>
        <v>0</v>
      </c>
    </row>
    <row r="17" spans="1:5" x14ac:dyDescent="0.25">
      <c r="A17" s="101" t="s">
        <v>573</v>
      </c>
      <c r="B17" s="102"/>
      <c r="C17" s="102"/>
      <c r="D17" s="102"/>
      <c r="E17" s="103">
        <f>SUM(D4,D5,D6)</f>
        <v>0</v>
      </c>
    </row>
    <row r="18" spans="1:5" x14ac:dyDescent="0.25">
      <c r="A18" s="102"/>
      <c r="B18" s="102"/>
      <c r="C18" s="102"/>
      <c r="D18" s="102"/>
      <c r="E18" s="102"/>
    </row>
    <row r="19" spans="1:5" x14ac:dyDescent="0.25">
      <c r="A19" s="101" t="s">
        <v>574</v>
      </c>
      <c r="B19" s="102"/>
      <c r="C19" s="102"/>
      <c r="D19" s="102"/>
      <c r="E19" s="103">
        <f>SUM(D7+D8)</f>
        <v>0</v>
      </c>
    </row>
  </sheetData>
  <pageMargins left="0.7" right="0.7" top="0.75" bottom="0.75" header="0.3" footer="0.3"/>
  <pageSetup scale="70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9525-248E-44CD-91A3-F018855EA9F9}">
  <dimension ref="A1:H87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 x14ac:dyDescent="0.25">
      <c r="A1" s="1" t="str">
        <f>CONCATENATE("Bijlage H.1: ",tabeltype," categorienormen")</f>
        <v>Bijlage H.1: Invultabel categorienormen</v>
      </c>
    </row>
    <row r="3" spans="1:8" ht="60" x14ac:dyDescent="0.25">
      <c r="A3" s="8" t="s">
        <v>29</v>
      </c>
      <c r="B3" s="8" t="s">
        <v>30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</row>
    <row r="4" spans="1:8" x14ac:dyDescent="0.25">
      <c r="A4" s="9"/>
      <c r="B4" s="10"/>
      <c r="C4" s="10"/>
      <c r="D4" s="10"/>
      <c r="E4" s="10"/>
      <c r="F4" s="10"/>
      <c r="G4" s="10"/>
      <c r="H4" s="11"/>
    </row>
    <row r="5" spans="1:8" x14ac:dyDescent="0.25">
      <c r="A5" s="12" t="s">
        <v>37</v>
      </c>
      <c r="B5" s="13"/>
      <c r="C5" s="13"/>
      <c r="D5" s="13"/>
      <c r="E5" s="13"/>
      <c r="F5" s="13"/>
      <c r="G5" s="13"/>
      <c r="H5" s="14"/>
    </row>
    <row r="6" spans="1:8" x14ac:dyDescent="0.25">
      <c r="A6" s="15" t="s">
        <v>38</v>
      </c>
      <c r="B6" s="16" t="s">
        <v>39</v>
      </c>
      <c r="C6" s="15">
        <v>1</v>
      </c>
      <c r="D6" s="15" t="s">
        <v>40</v>
      </c>
      <c r="E6" s="17"/>
      <c r="F6" s="18"/>
      <c r="G6" s="15" t="s">
        <v>41</v>
      </c>
      <c r="H6" s="19"/>
    </row>
    <row r="7" spans="1:8" x14ac:dyDescent="0.25">
      <c r="A7" s="20" t="s">
        <v>42</v>
      </c>
      <c r="B7" s="21" t="s">
        <v>39</v>
      </c>
      <c r="C7" s="20">
        <v>1</v>
      </c>
      <c r="D7" s="20" t="s">
        <v>43</v>
      </c>
      <c r="E7" s="22"/>
      <c r="F7" s="23"/>
      <c r="G7" s="20" t="s">
        <v>41</v>
      </c>
      <c r="H7" s="24"/>
    </row>
    <row r="8" spans="1:8" x14ac:dyDescent="0.25">
      <c r="A8" s="20" t="s">
        <v>42</v>
      </c>
      <c r="B8" s="21" t="s">
        <v>39</v>
      </c>
      <c r="C8" s="20">
        <v>26</v>
      </c>
      <c r="D8" s="20" t="s">
        <v>43</v>
      </c>
      <c r="E8" s="22"/>
      <c r="F8" s="23"/>
      <c r="G8" s="20" t="s">
        <v>41</v>
      </c>
      <c r="H8" s="24"/>
    </row>
    <row r="9" spans="1:8" x14ac:dyDescent="0.25">
      <c r="A9" s="20" t="s">
        <v>42</v>
      </c>
      <c r="B9" s="21" t="s">
        <v>39</v>
      </c>
      <c r="C9" s="20">
        <v>49</v>
      </c>
      <c r="D9" s="20" t="s">
        <v>43</v>
      </c>
      <c r="E9" s="22"/>
      <c r="F9" s="23"/>
      <c r="G9" s="20" t="s">
        <v>41</v>
      </c>
      <c r="H9" s="24"/>
    </row>
    <row r="10" spans="1:8" x14ac:dyDescent="0.25">
      <c r="A10" s="20" t="s">
        <v>42</v>
      </c>
      <c r="B10" s="21" t="s">
        <v>39</v>
      </c>
      <c r="C10" s="20">
        <v>51</v>
      </c>
      <c r="D10" s="20" t="s">
        <v>43</v>
      </c>
      <c r="E10" s="22"/>
      <c r="F10" s="23"/>
      <c r="G10" s="20" t="s">
        <v>41</v>
      </c>
      <c r="H10" s="24"/>
    </row>
    <row r="11" spans="1:8" x14ac:dyDescent="0.25">
      <c r="A11" s="20" t="s">
        <v>44</v>
      </c>
      <c r="B11" s="21" t="s">
        <v>39</v>
      </c>
      <c r="C11" s="20">
        <v>1</v>
      </c>
      <c r="D11" s="20" t="s">
        <v>45</v>
      </c>
      <c r="E11" s="22"/>
      <c r="F11" s="23"/>
      <c r="G11" s="20" t="s">
        <v>41</v>
      </c>
      <c r="H11" s="24"/>
    </row>
    <row r="12" spans="1:8" x14ac:dyDescent="0.25">
      <c r="A12" s="20" t="s">
        <v>46</v>
      </c>
      <c r="B12" s="21" t="s">
        <v>39</v>
      </c>
      <c r="C12" s="20">
        <v>49</v>
      </c>
      <c r="D12" s="20" t="s">
        <v>47</v>
      </c>
      <c r="E12" s="22"/>
      <c r="F12" s="23"/>
      <c r="G12" s="20" t="s">
        <v>41</v>
      </c>
      <c r="H12" s="24"/>
    </row>
    <row r="13" spans="1:8" x14ac:dyDescent="0.25">
      <c r="A13" s="20" t="s">
        <v>46</v>
      </c>
      <c r="B13" s="21" t="s">
        <v>39</v>
      </c>
      <c r="C13" s="20">
        <v>51</v>
      </c>
      <c r="D13" s="20" t="s">
        <v>47</v>
      </c>
      <c r="E13" s="22"/>
      <c r="F13" s="23"/>
      <c r="G13" s="20" t="s">
        <v>41</v>
      </c>
      <c r="H13" s="24"/>
    </row>
    <row r="14" spans="1:8" x14ac:dyDescent="0.25">
      <c r="A14" s="20" t="s">
        <v>48</v>
      </c>
      <c r="B14" s="21" t="s">
        <v>39</v>
      </c>
      <c r="C14" s="20">
        <v>1</v>
      </c>
      <c r="D14" s="20" t="s">
        <v>49</v>
      </c>
      <c r="E14" s="22"/>
      <c r="F14" s="23"/>
      <c r="G14" s="20" t="s">
        <v>41</v>
      </c>
      <c r="H14" s="24"/>
    </row>
    <row r="15" spans="1:8" x14ac:dyDescent="0.25">
      <c r="A15" s="20" t="s">
        <v>50</v>
      </c>
      <c r="B15" s="21" t="s">
        <v>39</v>
      </c>
      <c r="C15" s="20">
        <v>51</v>
      </c>
      <c r="D15" s="20" t="s">
        <v>51</v>
      </c>
      <c r="E15" s="22"/>
      <c r="F15" s="23"/>
      <c r="G15" s="20" t="s">
        <v>41</v>
      </c>
      <c r="H15" s="24"/>
    </row>
    <row r="16" spans="1:8" x14ac:dyDescent="0.25">
      <c r="A16" s="20" t="s">
        <v>52</v>
      </c>
      <c r="B16" s="21" t="s">
        <v>39</v>
      </c>
      <c r="C16" s="20">
        <v>1</v>
      </c>
      <c r="D16" s="20" t="s">
        <v>53</v>
      </c>
      <c r="E16" s="22"/>
      <c r="F16" s="23"/>
      <c r="G16" s="20" t="s">
        <v>41</v>
      </c>
      <c r="H16" s="24"/>
    </row>
    <row r="17" spans="1:8" x14ac:dyDescent="0.25">
      <c r="A17" s="20" t="s">
        <v>54</v>
      </c>
      <c r="B17" s="21" t="s">
        <v>39</v>
      </c>
      <c r="C17" s="20">
        <v>51</v>
      </c>
      <c r="D17" s="20" t="s">
        <v>55</v>
      </c>
      <c r="E17" s="22"/>
      <c r="F17" s="23"/>
      <c r="G17" s="20" t="s">
        <v>41</v>
      </c>
      <c r="H17" s="24"/>
    </row>
    <row r="18" spans="1:8" x14ac:dyDescent="0.25">
      <c r="A18" s="20" t="s">
        <v>56</v>
      </c>
      <c r="B18" s="21" t="s">
        <v>39</v>
      </c>
      <c r="C18" s="20">
        <v>1</v>
      </c>
      <c r="D18" s="20" t="s">
        <v>57</v>
      </c>
      <c r="E18" s="22"/>
      <c r="F18" s="23"/>
      <c r="G18" s="20" t="s">
        <v>41</v>
      </c>
      <c r="H18" s="24"/>
    </row>
    <row r="19" spans="1:8" x14ac:dyDescent="0.25">
      <c r="A19" s="20" t="s">
        <v>58</v>
      </c>
      <c r="B19" s="21" t="s">
        <v>39</v>
      </c>
      <c r="C19" s="20">
        <v>26</v>
      </c>
      <c r="D19" s="20" t="s">
        <v>59</v>
      </c>
      <c r="E19" s="22"/>
      <c r="F19" s="23"/>
      <c r="G19" s="20" t="s">
        <v>41</v>
      </c>
      <c r="H19" s="24"/>
    </row>
    <row r="20" spans="1:8" x14ac:dyDescent="0.25">
      <c r="A20" s="20" t="s">
        <v>58</v>
      </c>
      <c r="B20" s="21" t="s">
        <v>39</v>
      </c>
      <c r="C20" s="20">
        <v>49</v>
      </c>
      <c r="D20" s="20" t="s">
        <v>59</v>
      </c>
      <c r="E20" s="22"/>
      <c r="F20" s="23"/>
      <c r="G20" s="20" t="s">
        <v>41</v>
      </c>
      <c r="H20" s="24"/>
    </row>
    <row r="21" spans="1:8" x14ac:dyDescent="0.25">
      <c r="A21" s="20" t="s">
        <v>58</v>
      </c>
      <c r="B21" s="21" t="s">
        <v>39</v>
      </c>
      <c r="C21" s="20">
        <v>51</v>
      </c>
      <c r="D21" s="20" t="s">
        <v>59</v>
      </c>
      <c r="E21" s="22"/>
      <c r="F21" s="23"/>
      <c r="G21" s="20" t="s">
        <v>41</v>
      </c>
      <c r="H21" s="24"/>
    </row>
    <row r="22" spans="1:8" x14ac:dyDescent="0.25">
      <c r="A22" s="20" t="s">
        <v>60</v>
      </c>
      <c r="B22" s="21" t="s">
        <v>39</v>
      </c>
      <c r="C22" s="20">
        <v>1</v>
      </c>
      <c r="D22" s="20" t="s">
        <v>61</v>
      </c>
      <c r="E22" s="22"/>
      <c r="F22" s="23"/>
      <c r="G22" s="20" t="s">
        <v>41</v>
      </c>
      <c r="H22" s="24"/>
    </row>
    <row r="23" spans="1:8" x14ac:dyDescent="0.25">
      <c r="A23" s="20" t="s">
        <v>62</v>
      </c>
      <c r="B23" s="21" t="s">
        <v>39</v>
      </c>
      <c r="C23" s="20">
        <v>49</v>
      </c>
      <c r="D23" s="20" t="s">
        <v>63</v>
      </c>
      <c r="E23" s="22"/>
      <c r="F23" s="23"/>
      <c r="G23" s="20" t="s">
        <v>41</v>
      </c>
      <c r="H23" s="24"/>
    </row>
    <row r="24" spans="1:8" x14ac:dyDescent="0.25">
      <c r="A24" s="20" t="s">
        <v>62</v>
      </c>
      <c r="B24" s="21" t="s">
        <v>39</v>
      </c>
      <c r="C24" s="20">
        <v>51</v>
      </c>
      <c r="D24" s="20" t="s">
        <v>63</v>
      </c>
      <c r="E24" s="22"/>
      <c r="F24" s="23"/>
      <c r="G24" s="20" t="s">
        <v>41</v>
      </c>
      <c r="H24" s="24"/>
    </row>
    <row r="25" spans="1:8" x14ac:dyDescent="0.25">
      <c r="A25" s="20" t="s">
        <v>64</v>
      </c>
      <c r="B25" s="21" t="s">
        <v>65</v>
      </c>
      <c r="C25" s="20">
        <v>1</v>
      </c>
      <c r="D25" s="20" t="s">
        <v>66</v>
      </c>
      <c r="E25" s="22"/>
      <c r="F25" s="23"/>
      <c r="G25" s="20" t="s">
        <v>41</v>
      </c>
      <c r="H25" s="24"/>
    </row>
    <row r="26" spans="1:8" x14ac:dyDescent="0.25">
      <c r="A26" s="20" t="s">
        <v>67</v>
      </c>
      <c r="B26" s="21" t="s">
        <v>65</v>
      </c>
      <c r="C26" s="20">
        <v>49</v>
      </c>
      <c r="D26" s="20" t="s">
        <v>68</v>
      </c>
      <c r="E26" s="22"/>
      <c r="F26" s="23"/>
      <c r="G26" s="20" t="s">
        <v>41</v>
      </c>
      <c r="H26" s="24"/>
    </row>
    <row r="27" spans="1:8" x14ac:dyDescent="0.25">
      <c r="A27" s="20" t="s">
        <v>69</v>
      </c>
      <c r="B27" s="21" t="s">
        <v>70</v>
      </c>
      <c r="C27" s="20">
        <v>1</v>
      </c>
      <c r="D27" s="20" t="s">
        <v>71</v>
      </c>
      <c r="E27" s="22"/>
      <c r="F27" s="23"/>
      <c r="G27" s="20" t="s">
        <v>41</v>
      </c>
      <c r="H27" s="24"/>
    </row>
    <row r="28" spans="1:8" x14ac:dyDescent="0.25">
      <c r="A28" s="20" t="s">
        <v>72</v>
      </c>
      <c r="B28" s="21" t="s">
        <v>70</v>
      </c>
      <c r="C28" s="20">
        <v>26</v>
      </c>
      <c r="D28" s="20" t="s">
        <v>73</v>
      </c>
      <c r="E28" s="22"/>
      <c r="F28" s="23"/>
      <c r="G28" s="20" t="s">
        <v>41</v>
      </c>
      <c r="H28" s="24"/>
    </row>
    <row r="29" spans="1:8" x14ac:dyDescent="0.25">
      <c r="A29" s="20" t="s">
        <v>72</v>
      </c>
      <c r="B29" s="21" t="s">
        <v>70</v>
      </c>
      <c r="C29" s="20">
        <v>49</v>
      </c>
      <c r="D29" s="20" t="s">
        <v>73</v>
      </c>
      <c r="E29" s="22"/>
      <c r="F29" s="23"/>
      <c r="G29" s="20" t="s">
        <v>41</v>
      </c>
      <c r="H29" s="24"/>
    </row>
    <row r="30" spans="1:8" x14ac:dyDescent="0.25">
      <c r="A30" s="20" t="s">
        <v>74</v>
      </c>
      <c r="B30" s="21" t="s">
        <v>70</v>
      </c>
      <c r="C30" s="20">
        <v>1</v>
      </c>
      <c r="D30" s="20" t="s">
        <v>75</v>
      </c>
      <c r="E30" s="22"/>
      <c r="F30" s="23"/>
      <c r="G30" s="20" t="s">
        <v>41</v>
      </c>
      <c r="H30" s="24"/>
    </row>
    <row r="31" spans="1:8" x14ac:dyDescent="0.25">
      <c r="A31" s="20" t="s">
        <v>76</v>
      </c>
      <c r="B31" s="21" t="s">
        <v>70</v>
      </c>
      <c r="C31" s="20">
        <v>49</v>
      </c>
      <c r="D31" s="20" t="s">
        <v>77</v>
      </c>
      <c r="E31" s="22"/>
      <c r="F31" s="23"/>
      <c r="G31" s="20" t="s">
        <v>41</v>
      </c>
      <c r="H31" s="24"/>
    </row>
    <row r="32" spans="1:8" x14ac:dyDescent="0.25">
      <c r="A32" s="20" t="s">
        <v>78</v>
      </c>
      <c r="B32" s="21" t="s">
        <v>70</v>
      </c>
      <c r="C32" s="20">
        <v>1</v>
      </c>
      <c r="D32" s="20" t="s">
        <v>79</v>
      </c>
      <c r="E32" s="22"/>
      <c r="F32" s="23"/>
      <c r="G32" s="20" t="s">
        <v>41</v>
      </c>
      <c r="H32" s="24"/>
    </row>
    <row r="33" spans="1:8" x14ac:dyDescent="0.25">
      <c r="A33" s="20" t="s">
        <v>80</v>
      </c>
      <c r="B33" s="21" t="s">
        <v>70</v>
      </c>
      <c r="C33" s="20">
        <v>26</v>
      </c>
      <c r="D33" s="20" t="s">
        <v>81</v>
      </c>
      <c r="E33" s="22"/>
      <c r="F33" s="23"/>
      <c r="G33" s="20" t="s">
        <v>41</v>
      </c>
      <c r="H33" s="24"/>
    </row>
    <row r="34" spans="1:8" x14ac:dyDescent="0.25">
      <c r="A34" s="20" t="s">
        <v>80</v>
      </c>
      <c r="B34" s="21" t="s">
        <v>70</v>
      </c>
      <c r="C34" s="20">
        <v>49</v>
      </c>
      <c r="D34" s="20" t="s">
        <v>81</v>
      </c>
      <c r="E34" s="22"/>
      <c r="F34" s="23"/>
      <c r="G34" s="20" t="s">
        <v>41</v>
      </c>
      <c r="H34" s="24"/>
    </row>
    <row r="35" spans="1:8" x14ac:dyDescent="0.25">
      <c r="A35" s="20" t="s">
        <v>80</v>
      </c>
      <c r="B35" s="21" t="s">
        <v>70</v>
      </c>
      <c r="C35" s="20">
        <v>51</v>
      </c>
      <c r="D35" s="20" t="s">
        <v>81</v>
      </c>
      <c r="E35" s="22"/>
      <c r="F35" s="23"/>
      <c r="G35" s="20" t="s">
        <v>41</v>
      </c>
      <c r="H35" s="24"/>
    </row>
    <row r="36" spans="1:8" x14ac:dyDescent="0.25">
      <c r="A36" s="20" t="s">
        <v>82</v>
      </c>
      <c r="B36" s="21" t="s">
        <v>83</v>
      </c>
      <c r="C36" s="20">
        <v>51</v>
      </c>
      <c r="D36" s="20" t="s">
        <v>84</v>
      </c>
      <c r="E36" s="22"/>
      <c r="F36" s="23"/>
      <c r="G36" s="20" t="s">
        <v>41</v>
      </c>
      <c r="H36" s="24"/>
    </row>
    <row r="37" spans="1:8" x14ac:dyDescent="0.25">
      <c r="A37" s="20" t="s">
        <v>85</v>
      </c>
      <c r="B37" s="21" t="s">
        <v>83</v>
      </c>
      <c r="C37" s="20">
        <v>51</v>
      </c>
      <c r="D37" s="20" t="s">
        <v>86</v>
      </c>
      <c r="E37" s="22"/>
      <c r="F37" s="23"/>
      <c r="G37" s="20" t="s">
        <v>41</v>
      </c>
      <c r="H37" s="24"/>
    </row>
    <row r="38" spans="1:8" x14ac:dyDescent="0.25">
      <c r="A38" s="20" t="s">
        <v>87</v>
      </c>
      <c r="B38" s="21" t="s">
        <v>83</v>
      </c>
      <c r="C38" s="20">
        <v>1</v>
      </c>
      <c r="D38" s="20" t="s">
        <v>88</v>
      </c>
      <c r="E38" s="22"/>
      <c r="F38" s="23"/>
      <c r="G38" s="20" t="s">
        <v>41</v>
      </c>
      <c r="H38" s="24"/>
    </row>
    <row r="39" spans="1:8" x14ac:dyDescent="0.25">
      <c r="A39" s="20" t="s">
        <v>89</v>
      </c>
      <c r="B39" s="21" t="s">
        <v>83</v>
      </c>
      <c r="C39" s="20">
        <v>49</v>
      </c>
      <c r="D39" s="20" t="s">
        <v>90</v>
      </c>
      <c r="E39" s="22"/>
      <c r="F39" s="23"/>
      <c r="G39" s="20" t="s">
        <v>41</v>
      </c>
      <c r="H39" s="24"/>
    </row>
    <row r="40" spans="1:8" x14ac:dyDescent="0.25">
      <c r="A40" s="20" t="s">
        <v>89</v>
      </c>
      <c r="B40" s="21" t="s">
        <v>83</v>
      </c>
      <c r="C40" s="20">
        <v>51</v>
      </c>
      <c r="D40" s="20" t="s">
        <v>90</v>
      </c>
      <c r="E40" s="22"/>
      <c r="F40" s="23"/>
      <c r="G40" s="20" t="s">
        <v>41</v>
      </c>
      <c r="H40" s="24"/>
    </row>
    <row r="41" spans="1:8" x14ac:dyDescent="0.25">
      <c r="A41" s="20" t="s">
        <v>91</v>
      </c>
      <c r="B41" s="21" t="s">
        <v>83</v>
      </c>
      <c r="C41" s="20">
        <v>1</v>
      </c>
      <c r="D41" s="20" t="s">
        <v>92</v>
      </c>
      <c r="E41" s="22"/>
      <c r="F41" s="23"/>
      <c r="G41" s="20" t="s">
        <v>41</v>
      </c>
      <c r="H41" s="24"/>
    </row>
    <row r="42" spans="1:8" x14ac:dyDescent="0.25">
      <c r="A42" s="20" t="s">
        <v>93</v>
      </c>
      <c r="B42" s="21" t="s">
        <v>83</v>
      </c>
      <c r="C42" s="20">
        <v>49</v>
      </c>
      <c r="D42" s="20" t="s">
        <v>94</v>
      </c>
      <c r="E42" s="22"/>
      <c r="F42" s="23"/>
      <c r="G42" s="20" t="s">
        <v>41</v>
      </c>
      <c r="H42" s="24"/>
    </row>
    <row r="43" spans="1:8" x14ac:dyDescent="0.25">
      <c r="A43" s="20" t="s">
        <v>93</v>
      </c>
      <c r="B43" s="21" t="s">
        <v>83</v>
      </c>
      <c r="C43" s="20">
        <v>51</v>
      </c>
      <c r="D43" s="20" t="s">
        <v>94</v>
      </c>
      <c r="E43" s="22"/>
      <c r="F43" s="23"/>
      <c r="G43" s="20" t="s">
        <v>41</v>
      </c>
      <c r="H43" s="24"/>
    </row>
    <row r="44" spans="1:8" x14ac:dyDescent="0.25">
      <c r="A44" s="20" t="s">
        <v>95</v>
      </c>
      <c r="B44" s="21" t="s">
        <v>83</v>
      </c>
      <c r="C44" s="20">
        <v>1</v>
      </c>
      <c r="D44" s="20" t="s">
        <v>96</v>
      </c>
      <c r="E44" s="22"/>
      <c r="F44" s="23"/>
      <c r="G44" s="20" t="s">
        <v>41</v>
      </c>
      <c r="H44" s="24"/>
    </row>
    <row r="45" spans="1:8" x14ac:dyDescent="0.25">
      <c r="A45" s="20" t="s">
        <v>97</v>
      </c>
      <c r="B45" s="21" t="s">
        <v>83</v>
      </c>
      <c r="C45" s="20">
        <v>51</v>
      </c>
      <c r="D45" s="20" t="s">
        <v>98</v>
      </c>
      <c r="E45" s="22"/>
      <c r="F45" s="23"/>
      <c r="G45" s="20" t="s">
        <v>41</v>
      </c>
      <c r="H45" s="24"/>
    </row>
    <row r="46" spans="1:8" x14ac:dyDescent="0.25">
      <c r="A46" s="20" t="s">
        <v>99</v>
      </c>
      <c r="B46" s="21" t="s">
        <v>83</v>
      </c>
      <c r="C46" s="20">
        <v>1</v>
      </c>
      <c r="D46" s="20" t="s">
        <v>100</v>
      </c>
      <c r="E46" s="22"/>
      <c r="F46" s="23"/>
      <c r="G46" s="20" t="s">
        <v>41</v>
      </c>
      <c r="H46" s="24"/>
    </row>
    <row r="47" spans="1:8" x14ac:dyDescent="0.25">
      <c r="A47" s="20" t="s">
        <v>101</v>
      </c>
      <c r="B47" s="21" t="s">
        <v>83</v>
      </c>
      <c r="C47" s="20">
        <v>26</v>
      </c>
      <c r="D47" s="20" t="s">
        <v>102</v>
      </c>
      <c r="E47" s="22"/>
      <c r="F47" s="23"/>
      <c r="G47" s="20" t="s">
        <v>41</v>
      </c>
      <c r="H47" s="24"/>
    </row>
    <row r="48" spans="1:8" x14ac:dyDescent="0.25">
      <c r="A48" s="20" t="s">
        <v>101</v>
      </c>
      <c r="B48" s="21" t="s">
        <v>83</v>
      </c>
      <c r="C48" s="20">
        <v>49</v>
      </c>
      <c r="D48" s="20" t="s">
        <v>102</v>
      </c>
      <c r="E48" s="22"/>
      <c r="F48" s="23"/>
      <c r="G48" s="20" t="s">
        <v>41</v>
      </c>
      <c r="H48" s="24"/>
    </row>
    <row r="49" spans="1:8" x14ac:dyDescent="0.25">
      <c r="A49" s="20" t="s">
        <v>101</v>
      </c>
      <c r="B49" s="21" t="s">
        <v>83</v>
      </c>
      <c r="C49" s="20">
        <v>51</v>
      </c>
      <c r="D49" s="20" t="s">
        <v>102</v>
      </c>
      <c r="E49" s="22"/>
      <c r="F49" s="23"/>
      <c r="G49" s="20" t="s">
        <v>41</v>
      </c>
      <c r="H49" s="24"/>
    </row>
    <row r="50" spans="1:8" x14ac:dyDescent="0.25">
      <c r="A50" s="20" t="s">
        <v>103</v>
      </c>
      <c r="B50" s="21" t="s">
        <v>83</v>
      </c>
      <c r="C50" s="20">
        <v>1</v>
      </c>
      <c r="D50" s="20" t="s">
        <v>104</v>
      </c>
      <c r="E50" s="22"/>
      <c r="F50" s="23"/>
      <c r="G50" s="20" t="s">
        <v>41</v>
      </c>
      <c r="H50" s="24"/>
    </row>
    <row r="51" spans="1:8" x14ac:dyDescent="0.25">
      <c r="A51" s="20" t="s">
        <v>105</v>
      </c>
      <c r="B51" s="21" t="s">
        <v>83</v>
      </c>
      <c r="C51" s="20">
        <v>49</v>
      </c>
      <c r="D51" s="20" t="s">
        <v>106</v>
      </c>
      <c r="E51" s="22"/>
      <c r="F51" s="23"/>
      <c r="G51" s="20" t="s">
        <v>41</v>
      </c>
      <c r="H51" s="24"/>
    </row>
    <row r="52" spans="1:8" x14ac:dyDescent="0.25">
      <c r="A52" s="20" t="s">
        <v>105</v>
      </c>
      <c r="B52" s="21" t="s">
        <v>83</v>
      </c>
      <c r="C52" s="20">
        <v>51</v>
      </c>
      <c r="D52" s="20" t="s">
        <v>106</v>
      </c>
      <c r="E52" s="22"/>
      <c r="F52" s="23"/>
      <c r="G52" s="20" t="s">
        <v>41</v>
      </c>
      <c r="H52" s="24"/>
    </row>
    <row r="53" spans="1:8" x14ac:dyDescent="0.25">
      <c r="A53" s="20" t="s">
        <v>107</v>
      </c>
      <c r="B53" s="21" t="s">
        <v>83</v>
      </c>
      <c r="C53" s="20">
        <v>1</v>
      </c>
      <c r="D53" s="20" t="s">
        <v>108</v>
      </c>
      <c r="E53" s="22"/>
      <c r="F53" s="23"/>
      <c r="G53" s="20" t="s">
        <v>41</v>
      </c>
      <c r="H53" s="24"/>
    </row>
    <row r="54" spans="1:8" x14ac:dyDescent="0.25">
      <c r="A54" s="20" t="s">
        <v>109</v>
      </c>
      <c r="B54" s="21" t="s">
        <v>83</v>
      </c>
      <c r="C54" s="20">
        <v>49</v>
      </c>
      <c r="D54" s="20" t="s">
        <v>110</v>
      </c>
      <c r="E54" s="22"/>
      <c r="F54" s="23"/>
      <c r="G54" s="20" t="s">
        <v>41</v>
      </c>
      <c r="H54" s="24"/>
    </row>
    <row r="55" spans="1:8" x14ac:dyDescent="0.25">
      <c r="A55" s="20" t="s">
        <v>109</v>
      </c>
      <c r="B55" s="21" t="s">
        <v>83</v>
      </c>
      <c r="C55" s="20">
        <v>51</v>
      </c>
      <c r="D55" s="20" t="s">
        <v>110</v>
      </c>
      <c r="E55" s="22"/>
      <c r="F55" s="23"/>
      <c r="G55" s="20" t="s">
        <v>41</v>
      </c>
      <c r="H55" s="24"/>
    </row>
    <row r="56" spans="1:8" x14ac:dyDescent="0.25">
      <c r="A56" s="20" t="s">
        <v>111</v>
      </c>
      <c r="B56" s="21" t="s">
        <v>83</v>
      </c>
      <c r="C56" s="20">
        <v>1</v>
      </c>
      <c r="D56" s="20" t="s">
        <v>112</v>
      </c>
      <c r="E56" s="22"/>
      <c r="F56" s="23"/>
      <c r="G56" s="20" t="s">
        <v>41</v>
      </c>
      <c r="H56" s="24"/>
    </row>
    <row r="57" spans="1:8" x14ac:dyDescent="0.25">
      <c r="A57" s="20" t="s">
        <v>113</v>
      </c>
      <c r="B57" s="21" t="s">
        <v>83</v>
      </c>
      <c r="C57" s="20">
        <v>12</v>
      </c>
      <c r="D57" s="20" t="s">
        <v>114</v>
      </c>
      <c r="E57" s="22"/>
      <c r="F57" s="23"/>
      <c r="G57" s="20" t="s">
        <v>41</v>
      </c>
      <c r="H57" s="24"/>
    </row>
    <row r="58" spans="1:8" x14ac:dyDescent="0.25">
      <c r="A58" s="20" t="s">
        <v>113</v>
      </c>
      <c r="B58" s="21" t="s">
        <v>83</v>
      </c>
      <c r="C58" s="20">
        <v>26</v>
      </c>
      <c r="D58" s="20" t="s">
        <v>114</v>
      </c>
      <c r="E58" s="22"/>
      <c r="F58" s="23"/>
      <c r="G58" s="20" t="s">
        <v>41</v>
      </c>
      <c r="H58" s="24"/>
    </row>
    <row r="59" spans="1:8" x14ac:dyDescent="0.25">
      <c r="A59" s="20" t="s">
        <v>113</v>
      </c>
      <c r="B59" s="21" t="s">
        <v>83</v>
      </c>
      <c r="C59" s="20">
        <v>49</v>
      </c>
      <c r="D59" s="20" t="s">
        <v>114</v>
      </c>
      <c r="E59" s="22"/>
      <c r="F59" s="23"/>
      <c r="G59" s="20" t="s">
        <v>41</v>
      </c>
      <c r="H59" s="24"/>
    </row>
    <row r="60" spans="1:8" x14ac:dyDescent="0.25">
      <c r="A60" s="20" t="s">
        <v>113</v>
      </c>
      <c r="B60" s="21" t="s">
        <v>83</v>
      </c>
      <c r="C60" s="20">
        <v>51</v>
      </c>
      <c r="D60" s="20" t="s">
        <v>114</v>
      </c>
      <c r="E60" s="22"/>
      <c r="F60" s="23"/>
      <c r="G60" s="20" t="s">
        <v>41</v>
      </c>
      <c r="H60" s="24"/>
    </row>
    <row r="61" spans="1:8" x14ac:dyDescent="0.25">
      <c r="A61" s="20" t="s">
        <v>115</v>
      </c>
      <c r="B61" s="21" t="s">
        <v>83</v>
      </c>
      <c r="C61" s="20">
        <v>1</v>
      </c>
      <c r="D61" s="20" t="s">
        <v>116</v>
      </c>
      <c r="E61" s="22"/>
      <c r="F61" s="23"/>
      <c r="G61" s="20" t="s">
        <v>41</v>
      </c>
      <c r="H61" s="24"/>
    </row>
    <row r="62" spans="1:8" x14ac:dyDescent="0.25">
      <c r="A62" s="20" t="s">
        <v>117</v>
      </c>
      <c r="B62" s="21" t="s">
        <v>83</v>
      </c>
      <c r="C62" s="20">
        <v>49</v>
      </c>
      <c r="D62" s="20" t="s">
        <v>118</v>
      </c>
      <c r="E62" s="22"/>
      <c r="F62" s="23"/>
      <c r="G62" s="20" t="s">
        <v>41</v>
      </c>
      <c r="H62" s="24"/>
    </row>
    <row r="63" spans="1:8" x14ac:dyDescent="0.25">
      <c r="A63" s="20" t="s">
        <v>117</v>
      </c>
      <c r="B63" s="21" t="s">
        <v>83</v>
      </c>
      <c r="C63" s="20">
        <v>51</v>
      </c>
      <c r="D63" s="20" t="s">
        <v>118</v>
      </c>
      <c r="E63" s="22"/>
      <c r="F63" s="23"/>
      <c r="G63" s="20" t="s">
        <v>41</v>
      </c>
      <c r="H63" s="24"/>
    </row>
    <row r="64" spans="1:8" x14ac:dyDescent="0.25">
      <c r="A64" s="20" t="s">
        <v>119</v>
      </c>
      <c r="B64" s="21" t="s">
        <v>83</v>
      </c>
      <c r="C64" s="20">
        <v>1</v>
      </c>
      <c r="D64" s="20" t="s">
        <v>120</v>
      </c>
      <c r="E64" s="22"/>
      <c r="F64" s="23"/>
      <c r="G64" s="20" t="s">
        <v>41</v>
      </c>
      <c r="H64" s="24"/>
    </row>
    <row r="65" spans="1:8" x14ac:dyDescent="0.25">
      <c r="A65" s="20" t="s">
        <v>121</v>
      </c>
      <c r="B65" s="21" t="s">
        <v>83</v>
      </c>
      <c r="C65" s="20">
        <v>51</v>
      </c>
      <c r="D65" s="20" t="s">
        <v>122</v>
      </c>
      <c r="E65" s="22"/>
      <c r="F65" s="23"/>
      <c r="G65" s="20" t="s">
        <v>41</v>
      </c>
      <c r="H65" s="24"/>
    </row>
    <row r="66" spans="1:8" x14ac:dyDescent="0.25">
      <c r="A66" s="20" t="s">
        <v>123</v>
      </c>
      <c r="B66" s="21" t="s">
        <v>124</v>
      </c>
      <c r="C66" s="20">
        <v>1</v>
      </c>
      <c r="D66" s="20" t="s">
        <v>125</v>
      </c>
      <c r="E66" s="22"/>
      <c r="F66" s="23"/>
      <c r="G66" s="20" t="s">
        <v>41</v>
      </c>
      <c r="H66" s="24"/>
    </row>
    <row r="67" spans="1:8" x14ac:dyDescent="0.25">
      <c r="A67" s="20" t="s">
        <v>126</v>
      </c>
      <c r="B67" s="21" t="s">
        <v>124</v>
      </c>
      <c r="C67" s="20">
        <v>49</v>
      </c>
      <c r="D67" s="20" t="s">
        <v>127</v>
      </c>
      <c r="E67" s="22"/>
      <c r="F67" s="23"/>
      <c r="G67" s="20" t="s">
        <v>41</v>
      </c>
      <c r="H67" s="24"/>
    </row>
    <row r="68" spans="1:8" x14ac:dyDescent="0.25">
      <c r="A68" s="20" t="s">
        <v>128</v>
      </c>
      <c r="B68" s="21" t="s">
        <v>124</v>
      </c>
      <c r="C68" s="20">
        <v>1</v>
      </c>
      <c r="D68" s="20" t="s">
        <v>129</v>
      </c>
      <c r="E68" s="22"/>
      <c r="F68" s="23"/>
      <c r="G68" s="20" t="s">
        <v>41</v>
      </c>
      <c r="H68" s="24"/>
    </row>
    <row r="69" spans="1:8" x14ac:dyDescent="0.25">
      <c r="A69" s="20" t="s">
        <v>130</v>
      </c>
      <c r="B69" s="21" t="s">
        <v>124</v>
      </c>
      <c r="C69" s="20">
        <v>49</v>
      </c>
      <c r="D69" s="20" t="s">
        <v>131</v>
      </c>
      <c r="E69" s="22"/>
      <c r="F69" s="23"/>
      <c r="G69" s="20" t="s">
        <v>41</v>
      </c>
      <c r="H69" s="24"/>
    </row>
    <row r="70" spans="1:8" x14ac:dyDescent="0.25">
      <c r="A70" s="20" t="s">
        <v>132</v>
      </c>
      <c r="B70" s="21" t="s">
        <v>124</v>
      </c>
      <c r="C70" s="20">
        <v>1</v>
      </c>
      <c r="D70" s="20" t="s">
        <v>133</v>
      </c>
      <c r="E70" s="22"/>
      <c r="F70" s="23"/>
      <c r="G70" s="20" t="s">
        <v>41</v>
      </c>
      <c r="H70" s="24"/>
    </row>
    <row r="71" spans="1:8" x14ac:dyDescent="0.25">
      <c r="A71" s="20" t="s">
        <v>134</v>
      </c>
      <c r="B71" s="21" t="s">
        <v>124</v>
      </c>
      <c r="C71" s="20">
        <v>49</v>
      </c>
      <c r="D71" s="20" t="s">
        <v>135</v>
      </c>
      <c r="E71" s="22"/>
      <c r="F71" s="23"/>
      <c r="G71" s="20" t="s">
        <v>41</v>
      </c>
      <c r="H71" s="24"/>
    </row>
    <row r="72" spans="1:8" x14ac:dyDescent="0.25">
      <c r="A72" s="20" t="s">
        <v>136</v>
      </c>
      <c r="B72" s="21" t="s">
        <v>137</v>
      </c>
      <c r="C72" s="20">
        <v>1</v>
      </c>
      <c r="D72" s="20" t="s">
        <v>138</v>
      </c>
      <c r="E72" s="22"/>
      <c r="F72" s="23"/>
      <c r="G72" s="20" t="s">
        <v>41</v>
      </c>
      <c r="H72" s="24"/>
    </row>
    <row r="73" spans="1:8" x14ac:dyDescent="0.25">
      <c r="A73" s="25" t="s">
        <v>139</v>
      </c>
      <c r="B73" s="26" t="s">
        <v>137</v>
      </c>
      <c r="C73" s="25">
        <v>49</v>
      </c>
      <c r="D73" s="25" t="s">
        <v>140</v>
      </c>
      <c r="E73" s="27"/>
      <c r="F73" s="28"/>
      <c r="G73" s="25" t="s">
        <v>41</v>
      </c>
      <c r="H73" s="29"/>
    </row>
    <row r="74" spans="1:8" x14ac:dyDescent="0.25">
      <c r="A74" s="9"/>
      <c r="B74" s="10"/>
      <c r="C74" s="10"/>
      <c r="D74" s="10"/>
      <c r="E74" s="10"/>
      <c r="F74" s="10"/>
      <c r="G74" s="10"/>
      <c r="H74" s="11"/>
    </row>
    <row r="75" spans="1:8" x14ac:dyDescent="0.25">
      <c r="A75" s="12" t="s">
        <v>141</v>
      </c>
      <c r="B75" s="13"/>
      <c r="C75" s="13"/>
      <c r="D75" s="13"/>
      <c r="E75" s="13"/>
      <c r="F75" s="13"/>
      <c r="G75" s="13"/>
      <c r="H75" s="14"/>
    </row>
    <row r="76" spans="1:8" x14ac:dyDescent="0.25">
      <c r="A76" s="15" t="s">
        <v>142</v>
      </c>
      <c r="B76" s="16" t="s">
        <v>70</v>
      </c>
      <c r="C76" s="15">
        <v>1</v>
      </c>
      <c r="D76" s="15" t="s">
        <v>143</v>
      </c>
      <c r="E76" s="17"/>
      <c r="F76" s="18"/>
      <c r="G76" s="15" t="s">
        <v>41</v>
      </c>
      <c r="H76" s="19"/>
    </row>
    <row r="77" spans="1:8" x14ac:dyDescent="0.25">
      <c r="A77" s="20" t="s">
        <v>144</v>
      </c>
      <c r="B77" s="21" t="s">
        <v>70</v>
      </c>
      <c r="C77" s="20">
        <v>1</v>
      </c>
      <c r="D77" s="20" t="s">
        <v>145</v>
      </c>
      <c r="E77" s="22"/>
      <c r="F77" s="23"/>
      <c r="G77" s="20" t="s">
        <v>41</v>
      </c>
      <c r="H77" s="24"/>
    </row>
    <row r="78" spans="1:8" x14ac:dyDescent="0.25">
      <c r="A78" s="20" t="s">
        <v>146</v>
      </c>
      <c r="B78" s="21" t="s">
        <v>70</v>
      </c>
      <c r="C78" s="20">
        <v>1</v>
      </c>
      <c r="D78" s="20" t="s">
        <v>147</v>
      </c>
      <c r="E78" s="22"/>
      <c r="F78" s="23"/>
      <c r="G78" s="20" t="s">
        <v>41</v>
      </c>
      <c r="H78" s="24"/>
    </row>
    <row r="79" spans="1:8" x14ac:dyDescent="0.25">
      <c r="A79" s="20" t="s">
        <v>148</v>
      </c>
      <c r="B79" s="21" t="s">
        <v>70</v>
      </c>
      <c r="C79" s="20">
        <v>1</v>
      </c>
      <c r="D79" s="20" t="s">
        <v>149</v>
      </c>
      <c r="E79" s="22"/>
      <c r="F79" s="23"/>
      <c r="G79" s="20" t="s">
        <v>41</v>
      </c>
      <c r="H79" s="24"/>
    </row>
    <row r="80" spans="1:8" x14ac:dyDescent="0.25">
      <c r="A80" s="20" t="s">
        <v>150</v>
      </c>
      <c r="B80" s="21" t="s">
        <v>70</v>
      </c>
      <c r="C80" s="20">
        <v>1</v>
      </c>
      <c r="D80" s="20" t="s">
        <v>151</v>
      </c>
      <c r="E80" s="22"/>
      <c r="F80" s="23"/>
      <c r="G80" s="20" t="s">
        <v>41</v>
      </c>
      <c r="H80" s="24"/>
    </row>
    <row r="81" spans="1:8" x14ac:dyDescent="0.25">
      <c r="A81" s="20" t="s">
        <v>152</v>
      </c>
      <c r="B81" s="21" t="s">
        <v>70</v>
      </c>
      <c r="C81" s="20">
        <v>1</v>
      </c>
      <c r="D81" s="20" t="s">
        <v>153</v>
      </c>
      <c r="E81" s="22"/>
      <c r="F81" s="23"/>
      <c r="G81" s="20" t="s">
        <v>41</v>
      </c>
      <c r="H81" s="24"/>
    </row>
    <row r="82" spans="1:8" x14ac:dyDescent="0.25">
      <c r="A82" s="20" t="s">
        <v>154</v>
      </c>
      <c r="B82" s="21" t="s">
        <v>83</v>
      </c>
      <c r="C82" s="20">
        <v>1</v>
      </c>
      <c r="D82" s="20" t="s">
        <v>155</v>
      </c>
      <c r="E82" s="22"/>
      <c r="F82" s="23"/>
      <c r="G82" s="20" t="s">
        <v>41</v>
      </c>
      <c r="H82" s="24"/>
    </row>
    <row r="83" spans="1:8" x14ac:dyDescent="0.25">
      <c r="A83" s="20" t="s">
        <v>156</v>
      </c>
      <c r="B83" s="21" t="s">
        <v>83</v>
      </c>
      <c r="C83" s="20">
        <v>1</v>
      </c>
      <c r="D83" s="20" t="s">
        <v>157</v>
      </c>
      <c r="E83" s="22"/>
      <c r="F83" s="23"/>
      <c r="G83" s="20" t="s">
        <v>41</v>
      </c>
      <c r="H83" s="24"/>
    </row>
    <row r="84" spans="1:8" x14ac:dyDescent="0.25">
      <c r="A84" s="20" t="s">
        <v>158</v>
      </c>
      <c r="B84" s="21" t="s">
        <v>83</v>
      </c>
      <c r="C84" s="20">
        <v>1</v>
      </c>
      <c r="D84" s="20" t="s">
        <v>159</v>
      </c>
      <c r="E84" s="22"/>
      <c r="F84" s="23"/>
      <c r="G84" s="20" t="s">
        <v>41</v>
      </c>
      <c r="H84" s="24"/>
    </row>
    <row r="85" spans="1:8" x14ac:dyDescent="0.25">
      <c r="A85" s="20" t="s">
        <v>160</v>
      </c>
      <c r="B85" s="21" t="s">
        <v>83</v>
      </c>
      <c r="C85" s="20">
        <v>1</v>
      </c>
      <c r="D85" s="20" t="s">
        <v>161</v>
      </c>
      <c r="E85" s="22"/>
      <c r="F85" s="23"/>
      <c r="G85" s="20" t="s">
        <v>41</v>
      </c>
      <c r="H85" s="24"/>
    </row>
    <row r="86" spans="1:8" x14ac:dyDescent="0.25">
      <c r="A86" s="20" t="s">
        <v>162</v>
      </c>
      <c r="B86" s="21" t="s">
        <v>83</v>
      </c>
      <c r="C86" s="20">
        <v>1</v>
      </c>
      <c r="D86" s="20" t="s">
        <v>163</v>
      </c>
      <c r="E86" s="22"/>
      <c r="F86" s="23"/>
      <c r="G86" s="20" t="s">
        <v>41</v>
      </c>
      <c r="H86" s="24"/>
    </row>
    <row r="87" spans="1:8" x14ac:dyDescent="0.25">
      <c r="A87" s="25" t="s">
        <v>164</v>
      </c>
      <c r="B87" s="26" t="s">
        <v>83</v>
      </c>
      <c r="C87" s="25">
        <v>1</v>
      </c>
      <c r="D87" s="25" t="s">
        <v>165</v>
      </c>
      <c r="E87" s="27"/>
      <c r="F87" s="28"/>
      <c r="G87" s="25" t="s">
        <v>41</v>
      </c>
      <c r="H87" s="29"/>
    </row>
  </sheetData>
  <pageMargins left="0.7" right="0.7" top="0.75" bottom="0.75" header="0.3" footer="0.3"/>
  <pageSetup scale="70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FDCB-DAE3-4940-ABC6-0CD99271F3C3}">
  <dimension ref="A1:M93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7" width="11.7109375" customWidth="1"/>
    <col min="8" max="8" width="9.7109375" customWidth="1"/>
    <col min="9" max="11" width="11.7109375" customWidth="1"/>
    <col min="12" max="12" width="12.7109375" customWidth="1"/>
    <col min="13" max="13" width="14.7109375" customWidth="1"/>
  </cols>
  <sheetData>
    <row r="1" spans="1:13" x14ac:dyDescent="0.25">
      <c r="A1" s="1" t="str">
        <f>CONCATENATE("Bijlage H.2: ",tabeltype," regulier werk")</f>
        <v>Bijlage H.2: Invultabel regulier werk</v>
      </c>
    </row>
    <row r="3" spans="1:13" ht="45" x14ac:dyDescent="0.25">
      <c r="A3" s="8" t="s">
        <v>166</v>
      </c>
      <c r="B3" s="8" t="s">
        <v>7</v>
      </c>
      <c r="C3" s="8" t="s">
        <v>167</v>
      </c>
      <c r="D3" s="8" t="s">
        <v>32</v>
      </c>
      <c r="E3" s="8" t="s">
        <v>168</v>
      </c>
      <c r="F3" s="8" t="s">
        <v>169</v>
      </c>
      <c r="G3" s="8" t="s">
        <v>33</v>
      </c>
      <c r="H3" s="8" t="s">
        <v>35</v>
      </c>
      <c r="I3" s="8" t="s">
        <v>36</v>
      </c>
      <c r="J3" s="8" t="s">
        <v>170</v>
      </c>
      <c r="K3" s="8" t="s">
        <v>171</v>
      </c>
      <c r="L3" s="8" t="s">
        <v>172</v>
      </c>
      <c r="M3" s="8" t="s">
        <v>173</v>
      </c>
    </row>
    <row r="4" spans="1:13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5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5">
      <c r="A6" s="15" t="s">
        <v>174</v>
      </c>
      <c r="B6" s="15" t="s">
        <v>19</v>
      </c>
      <c r="C6" s="15" t="s">
        <v>175</v>
      </c>
      <c r="D6" s="15" t="s">
        <v>176</v>
      </c>
      <c r="E6" s="30">
        <v>146.9</v>
      </c>
      <c r="F6" s="30">
        <f t="shared" ref="F6:F37" si="0">E6*VLOOKUP(B6,dagsoorttabel1,2,FALSE)</f>
        <v>29.380000000000003</v>
      </c>
      <c r="G6" s="31">
        <f>catpn_1_AHV_51</f>
        <v>0</v>
      </c>
      <c r="H6" s="15" t="s">
        <v>41</v>
      </c>
      <c r="I6" s="32">
        <f>cattf_1_AHV_51</f>
        <v>0</v>
      </c>
      <c r="J6" s="30">
        <f t="shared" ref="J6:J37" si="1">IF(OR(ISBLANK(G6),G6=0),0,F6/ROUND(G6,4))</f>
        <v>0</v>
      </c>
      <c r="K6" s="32">
        <f t="shared" ref="K6:K37" si="2">ROUND(I6,2)*J6</f>
        <v>0</v>
      </c>
      <c r="L6" s="30">
        <f t="shared" ref="L6:L37" si="3">J6*dagenperjaar1</f>
        <v>0</v>
      </c>
      <c r="M6" s="32">
        <f t="shared" ref="M6:M37" si="4">L6*ROUND(I6,2)</f>
        <v>0</v>
      </c>
    </row>
    <row r="7" spans="1:13" x14ac:dyDescent="0.25">
      <c r="A7" s="20" t="s">
        <v>177</v>
      </c>
      <c r="B7" s="20" t="s">
        <v>19</v>
      </c>
      <c r="C7" s="20" t="s">
        <v>175</v>
      </c>
      <c r="D7" s="20" t="s">
        <v>178</v>
      </c>
      <c r="E7" s="33">
        <v>8.1</v>
      </c>
      <c r="F7" s="33">
        <f t="shared" si="0"/>
        <v>1.62</v>
      </c>
      <c r="G7" s="34">
        <f>catpn_1_AZV_51</f>
        <v>0</v>
      </c>
      <c r="H7" s="20" t="s">
        <v>41</v>
      </c>
      <c r="I7" s="35">
        <f>cattf_1_AZV_51</f>
        <v>0</v>
      </c>
      <c r="J7" s="33">
        <f t="shared" si="1"/>
        <v>0</v>
      </c>
      <c r="K7" s="35">
        <f t="shared" si="2"/>
        <v>0</v>
      </c>
      <c r="L7" s="33">
        <f t="shared" si="3"/>
        <v>0</v>
      </c>
      <c r="M7" s="35">
        <f t="shared" si="4"/>
        <v>0</v>
      </c>
    </row>
    <row r="8" spans="1:13" x14ac:dyDescent="0.25">
      <c r="A8" s="20" t="s">
        <v>179</v>
      </c>
      <c r="B8" s="20" t="s">
        <v>28</v>
      </c>
      <c r="C8" s="20" t="s">
        <v>175</v>
      </c>
      <c r="D8" s="20" t="s">
        <v>180</v>
      </c>
      <c r="E8" s="33">
        <v>16</v>
      </c>
      <c r="F8" s="33">
        <f t="shared" si="0"/>
        <v>6.2745098039215685E-2</v>
      </c>
      <c r="G8" s="34">
        <f>IF(AND(catpn_1_BHB_1&gt;0,catpn_1_BHV_1&gt;0),(dagenperjaar1*VLOOKUP(B8,dagsoorttabel1,2,FALSE))/(((dagenperjaar1*VLOOKUP(B8,dagsoorttabel1,2,FALSE))-catfd_1_BHV_1)/catpn_1_BHB_1+catfd_1_BHV_1/catpn_1_BHV_1),0)</f>
        <v>0</v>
      </c>
      <c r="H8" s="20" t="s">
        <v>41</v>
      </c>
      <c r="I8" s="35">
        <f>IF(AND(catpn_1_BHB_1&gt;0,catpn_1_BHV_1&gt;0),(cattf_1_BHB_1*((dagenperjaar1*VLOOKUP(B8,dagsoorttabel1,2,FALSE))-catfd_1_BHV_1)/catpn_1_BHB_1+cattf_1_BHV_1*catfd_1_BHV_1/catpn_1_BHV_1)/(((dagenperjaar1*VLOOKUP(B8,dagsoorttabel1,2,FALSE))-catfd_1_BHV_1)/catpn_1_BHB_1+catfd_1_BHV_1/catpn_1_BHV_1),0)</f>
        <v>0</v>
      </c>
      <c r="J8" s="33">
        <f t="shared" si="1"/>
        <v>0</v>
      </c>
      <c r="K8" s="35">
        <f t="shared" si="2"/>
        <v>0</v>
      </c>
      <c r="L8" s="33">
        <f t="shared" si="3"/>
        <v>0</v>
      </c>
      <c r="M8" s="35">
        <f t="shared" si="4"/>
        <v>0</v>
      </c>
    </row>
    <row r="9" spans="1:13" x14ac:dyDescent="0.25">
      <c r="A9" s="20" t="s">
        <v>179</v>
      </c>
      <c r="B9" s="20" t="s">
        <v>11</v>
      </c>
      <c r="C9" s="20" t="s">
        <v>175</v>
      </c>
      <c r="D9" s="20" t="s">
        <v>180</v>
      </c>
      <c r="E9" s="33">
        <v>46.51</v>
      </c>
      <c r="F9" s="33">
        <f t="shared" si="0"/>
        <v>44.68607843137255</v>
      </c>
      <c r="G9" s="34">
        <f>IF(AND(catpn_1_BHB_1&gt;0,catpn_1_BHV_49&gt;0),(dagenperjaar1*VLOOKUP(B9,dagsoorttabel1,2,FALSE))/(((dagenperjaar1*VLOOKUP(B9,dagsoorttabel1,2,FALSE))-catfd_1_BHV_49)/catpn_1_BHB_1+catfd_1_BHV_49/catpn_1_BHV_49),0)</f>
        <v>0</v>
      </c>
      <c r="H9" s="20" t="s">
        <v>41</v>
      </c>
      <c r="I9" s="35">
        <f>IF(AND(catpn_1_BHB_1&gt;0,catpn_1_BHV_49&gt;0),(cattf_1_BHB_1*((dagenperjaar1*VLOOKUP(B9,dagsoorttabel1,2,FALSE))-catfd_1_BHV_49)/catpn_1_BHB_1+cattf_1_BHV_49*catfd_1_BHV_49/catpn_1_BHV_49)/(((dagenperjaar1*VLOOKUP(B9,dagsoorttabel1,2,FALSE))-catfd_1_BHV_49)/catpn_1_BHB_1+catfd_1_BHV_49/catpn_1_BHV_49),0)</f>
        <v>0</v>
      </c>
      <c r="J9" s="33">
        <f t="shared" si="1"/>
        <v>0</v>
      </c>
      <c r="K9" s="35">
        <f t="shared" si="2"/>
        <v>0</v>
      </c>
      <c r="L9" s="33">
        <f t="shared" si="3"/>
        <v>0</v>
      </c>
      <c r="M9" s="35">
        <f t="shared" si="4"/>
        <v>0</v>
      </c>
    </row>
    <row r="10" spans="1:13" x14ac:dyDescent="0.25">
      <c r="A10" s="20" t="s">
        <v>179</v>
      </c>
      <c r="B10" s="20" t="s">
        <v>10</v>
      </c>
      <c r="C10" s="20" t="s">
        <v>175</v>
      </c>
      <c r="D10" s="20" t="s">
        <v>180</v>
      </c>
      <c r="E10" s="33">
        <v>28.25</v>
      </c>
      <c r="F10" s="33">
        <f t="shared" si="0"/>
        <v>28.25</v>
      </c>
      <c r="G10" s="34">
        <f>IF(AND(catpn_1_BHB_1&gt;0,catpn_1_BHV_51&gt;0),(dagenperjaar1*VLOOKUP(B10,dagsoorttabel1,2,FALSE))/(((dagenperjaar1*VLOOKUP(B10,dagsoorttabel1,2,FALSE))-catfd_1_BHV_51)/catpn_1_BHB_1+catfd_1_BHV_51/catpn_1_BHV_51),0)</f>
        <v>0</v>
      </c>
      <c r="H10" s="20" t="s">
        <v>41</v>
      </c>
      <c r="I10" s="35">
        <f>IF(AND(catpn_1_BHB_1&gt;0,catpn_1_BHV_51&gt;0),(cattf_1_BHB_1*((dagenperjaar1*VLOOKUP(B10,dagsoorttabel1,2,FALSE))-catfd_1_BHV_51)/catpn_1_BHB_1+cattf_1_BHV_51*catfd_1_BHV_51/catpn_1_BHV_51)/(((dagenperjaar1*VLOOKUP(B10,dagsoorttabel1,2,FALSE))-catfd_1_BHV_51)/catpn_1_BHB_1+catfd_1_BHV_51/catpn_1_BHV_51),0)</f>
        <v>0</v>
      </c>
      <c r="J10" s="33">
        <f t="shared" si="1"/>
        <v>0</v>
      </c>
      <c r="K10" s="35">
        <f t="shared" si="2"/>
        <v>0</v>
      </c>
      <c r="L10" s="33">
        <f t="shared" si="3"/>
        <v>0</v>
      </c>
      <c r="M10" s="35">
        <f t="shared" si="4"/>
        <v>0</v>
      </c>
    </row>
    <row r="11" spans="1:13" x14ac:dyDescent="0.25">
      <c r="A11" s="20" t="s">
        <v>179</v>
      </c>
      <c r="B11" s="20" t="s">
        <v>22</v>
      </c>
      <c r="C11" s="20" t="s">
        <v>175</v>
      </c>
      <c r="D11" s="20" t="s">
        <v>180</v>
      </c>
      <c r="E11" s="33">
        <v>6.1499999999999995</v>
      </c>
      <c r="F11" s="33">
        <f t="shared" si="0"/>
        <v>0.62705882352941167</v>
      </c>
      <c r="G11" s="34">
        <f>IF(AND(catpn_1_BHB_1&gt;0,catpn_1_BHV_26&gt;0),(dagenperjaar1*VLOOKUP(B11,dagsoorttabel1,2,FALSE))/(((dagenperjaar1*VLOOKUP(B11,dagsoorttabel1,2,FALSE))-catfd_1_BHV_26)/catpn_1_BHB_1+catfd_1_BHV_26/catpn_1_BHV_26),0)</f>
        <v>0</v>
      </c>
      <c r="H11" s="20" t="s">
        <v>41</v>
      </c>
      <c r="I11" s="35">
        <f>IF(AND(catpn_1_BHB_1&gt;0,catpn_1_BHV_26&gt;0),(cattf_1_BHB_1*((dagenperjaar1*VLOOKUP(B11,dagsoorttabel1,2,FALSE))-catfd_1_BHV_26)/catpn_1_BHB_1+cattf_1_BHV_26*catfd_1_BHV_26/catpn_1_BHV_26)/(((dagenperjaar1*VLOOKUP(B11,dagsoorttabel1,2,FALSE))-catfd_1_BHV_26)/catpn_1_BHB_1+catfd_1_BHV_26/catpn_1_BHV_26),0)</f>
        <v>0</v>
      </c>
      <c r="J11" s="33">
        <f t="shared" si="1"/>
        <v>0</v>
      </c>
      <c r="K11" s="35">
        <f t="shared" si="2"/>
        <v>0</v>
      </c>
      <c r="L11" s="33">
        <f t="shared" si="3"/>
        <v>0</v>
      </c>
      <c r="M11" s="35">
        <f t="shared" si="4"/>
        <v>0</v>
      </c>
    </row>
    <row r="12" spans="1:13" x14ac:dyDescent="0.25">
      <c r="A12" s="20" t="s">
        <v>181</v>
      </c>
      <c r="B12" s="20" t="s">
        <v>11</v>
      </c>
      <c r="C12" s="20" t="s">
        <v>175</v>
      </c>
      <c r="D12" s="20" t="s">
        <v>182</v>
      </c>
      <c r="E12" s="33">
        <v>70.149999999999991</v>
      </c>
      <c r="F12" s="33">
        <f t="shared" si="0"/>
        <v>67.39901960784313</v>
      </c>
      <c r="G12" s="34">
        <f>IF(AND(catpn_1_BZB_1&gt;0,catpn_1_BZV_49&gt;0),(dagenperjaar1*VLOOKUP(B12,dagsoorttabel1,2,FALSE))/(((dagenperjaar1*VLOOKUP(B12,dagsoorttabel1,2,FALSE))-catfd_1_BZV_49)/catpn_1_BZB_1+catfd_1_BZV_49/catpn_1_BZV_49),0)</f>
        <v>0</v>
      </c>
      <c r="H12" s="20" t="s">
        <v>41</v>
      </c>
      <c r="I12" s="35">
        <f>IF(AND(catpn_1_BZB_1&gt;0,catpn_1_BZV_49&gt;0),(cattf_1_BZB_1*((dagenperjaar1*VLOOKUP(B12,dagsoorttabel1,2,FALSE))-catfd_1_BZV_49)/catpn_1_BZB_1+cattf_1_BZV_49*catfd_1_BZV_49/catpn_1_BZV_49)/(((dagenperjaar1*VLOOKUP(B12,dagsoorttabel1,2,FALSE))-catfd_1_BZV_49)/catpn_1_BZB_1+catfd_1_BZV_49/catpn_1_BZV_49),0)</f>
        <v>0</v>
      </c>
      <c r="J12" s="33">
        <f t="shared" si="1"/>
        <v>0</v>
      </c>
      <c r="K12" s="35">
        <f t="shared" si="2"/>
        <v>0</v>
      </c>
      <c r="L12" s="33">
        <f t="shared" si="3"/>
        <v>0</v>
      </c>
      <c r="M12" s="35">
        <f t="shared" si="4"/>
        <v>0</v>
      </c>
    </row>
    <row r="13" spans="1:13" x14ac:dyDescent="0.25">
      <c r="A13" s="20" t="s">
        <v>181</v>
      </c>
      <c r="B13" s="20" t="s">
        <v>10</v>
      </c>
      <c r="C13" s="20" t="s">
        <v>175</v>
      </c>
      <c r="D13" s="20" t="s">
        <v>182</v>
      </c>
      <c r="E13" s="33">
        <v>173.6</v>
      </c>
      <c r="F13" s="33">
        <f t="shared" si="0"/>
        <v>173.6</v>
      </c>
      <c r="G13" s="34">
        <f>IF(AND(catpn_1_BZB_1&gt;0,catpn_1_BZV_51&gt;0),(dagenperjaar1*VLOOKUP(B13,dagsoorttabel1,2,FALSE))/(((dagenperjaar1*VLOOKUP(B13,dagsoorttabel1,2,FALSE))-catfd_1_BZV_51)/catpn_1_BZB_1+catfd_1_BZV_51/catpn_1_BZV_51),0)</f>
        <v>0</v>
      </c>
      <c r="H13" s="20" t="s">
        <v>41</v>
      </c>
      <c r="I13" s="35">
        <f>IF(AND(catpn_1_BZB_1&gt;0,catpn_1_BZV_51&gt;0),(cattf_1_BZB_1*((dagenperjaar1*VLOOKUP(B13,dagsoorttabel1,2,FALSE))-catfd_1_BZV_51)/catpn_1_BZB_1+cattf_1_BZV_51*catfd_1_BZV_51/catpn_1_BZV_51)/(((dagenperjaar1*VLOOKUP(B13,dagsoorttabel1,2,FALSE))-catfd_1_BZV_51)/catpn_1_BZB_1+catfd_1_BZV_51/catpn_1_BZV_51),0)</f>
        <v>0</v>
      </c>
      <c r="J13" s="33">
        <f t="shared" si="1"/>
        <v>0</v>
      </c>
      <c r="K13" s="35">
        <f t="shared" si="2"/>
        <v>0</v>
      </c>
      <c r="L13" s="33">
        <f t="shared" si="3"/>
        <v>0</v>
      </c>
      <c r="M13" s="35">
        <f t="shared" si="4"/>
        <v>0</v>
      </c>
    </row>
    <row r="14" spans="1:13" x14ac:dyDescent="0.25">
      <c r="A14" s="20" t="s">
        <v>183</v>
      </c>
      <c r="B14" s="20" t="s">
        <v>11</v>
      </c>
      <c r="C14" s="20" t="s">
        <v>175</v>
      </c>
      <c r="D14" s="20" t="s">
        <v>184</v>
      </c>
      <c r="E14" s="33">
        <v>129.04000000000002</v>
      </c>
      <c r="F14" s="33">
        <f t="shared" si="0"/>
        <v>123.97960784313727</v>
      </c>
      <c r="G14" s="34">
        <f>IF(AND(catpn_1_DHB_1&gt;0,catpn_1_DHV_49&gt;0),(dagenperjaar1*VLOOKUP(B14,dagsoorttabel1,2,FALSE))/(((dagenperjaar1*VLOOKUP(B14,dagsoorttabel1,2,FALSE))-catfd_1_DHV_49)/catpn_1_DHB_1+catfd_1_DHV_49/catpn_1_DHV_49),0)</f>
        <v>0</v>
      </c>
      <c r="H14" s="20" t="s">
        <v>41</v>
      </c>
      <c r="I14" s="35">
        <f>IF(AND(catpn_1_DHB_1&gt;0,catpn_1_DHV_49&gt;0),(cattf_1_DHB_1*((dagenperjaar1*VLOOKUP(B14,dagsoorttabel1,2,FALSE))-catfd_1_DHV_49)/catpn_1_DHB_1+cattf_1_DHV_49*catfd_1_DHV_49/catpn_1_DHV_49)/(((dagenperjaar1*VLOOKUP(B14,dagsoorttabel1,2,FALSE))-catfd_1_DHV_49)/catpn_1_DHB_1+catfd_1_DHV_49/catpn_1_DHV_49),0)</f>
        <v>0</v>
      </c>
      <c r="J14" s="33">
        <f t="shared" si="1"/>
        <v>0</v>
      </c>
      <c r="K14" s="35">
        <f t="shared" si="2"/>
        <v>0</v>
      </c>
      <c r="L14" s="33">
        <f t="shared" si="3"/>
        <v>0</v>
      </c>
      <c r="M14" s="35">
        <f t="shared" si="4"/>
        <v>0</v>
      </c>
    </row>
    <row r="15" spans="1:13" x14ac:dyDescent="0.25">
      <c r="A15" s="20" t="s">
        <v>183</v>
      </c>
      <c r="B15" s="20" t="s">
        <v>22</v>
      </c>
      <c r="C15" s="20" t="s">
        <v>175</v>
      </c>
      <c r="D15" s="20" t="s">
        <v>184</v>
      </c>
      <c r="E15" s="33">
        <v>10.85</v>
      </c>
      <c r="F15" s="33">
        <f t="shared" si="0"/>
        <v>1.1062745098039215</v>
      </c>
      <c r="G15" s="34">
        <f>IF(AND(catpn_1_DHB_1&gt;0,catpn_1_DHV_26&gt;0),(dagenperjaar1*VLOOKUP(B15,dagsoorttabel1,2,FALSE))/(((dagenperjaar1*VLOOKUP(B15,dagsoorttabel1,2,FALSE))-catfd_1_DHV_26)/catpn_1_DHB_1+catfd_1_DHV_26/catpn_1_DHV_26),0)</f>
        <v>0</v>
      </c>
      <c r="H15" s="20" t="s">
        <v>41</v>
      </c>
      <c r="I15" s="35">
        <f>IF(AND(catpn_1_DHB_1&gt;0,catpn_1_DHV_26&gt;0),(cattf_1_DHB_1*((dagenperjaar1*VLOOKUP(B15,dagsoorttabel1,2,FALSE))-catfd_1_DHV_26)/catpn_1_DHB_1+cattf_1_DHV_26*catfd_1_DHV_26/catpn_1_DHV_26)/(((dagenperjaar1*VLOOKUP(B15,dagsoorttabel1,2,FALSE))-catfd_1_DHV_26)/catpn_1_DHB_1+catfd_1_DHV_26/catpn_1_DHV_26),0)</f>
        <v>0</v>
      </c>
      <c r="J15" s="33">
        <f t="shared" si="1"/>
        <v>0</v>
      </c>
      <c r="K15" s="35">
        <f t="shared" si="2"/>
        <v>0</v>
      </c>
      <c r="L15" s="33">
        <f t="shared" si="3"/>
        <v>0</v>
      </c>
      <c r="M15" s="35">
        <f t="shared" si="4"/>
        <v>0</v>
      </c>
    </row>
    <row r="16" spans="1:13" x14ac:dyDescent="0.25">
      <c r="A16" s="20" t="s">
        <v>185</v>
      </c>
      <c r="B16" s="20" t="s">
        <v>11</v>
      </c>
      <c r="C16" s="20" t="s">
        <v>175</v>
      </c>
      <c r="D16" s="20" t="s">
        <v>186</v>
      </c>
      <c r="E16" s="33">
        <v>186.25</v>
      </c>
      <c r="F16" s="33">
        <f t="shared" si="0"/>
        <v>178.94607843137254</v>
      </c>
      <c r="G16" s="34">
        <f>IF(AND(catpn_1_EHB_1&gt;0,catpn_1_EHV_49&gt;0),(dagenperjaar1*VLOOKUP(B16,dagsoorttabel1,2,FALSE))/(((dagenperjaar1*VLOOKUP(B16,dagsoorttabel1,2,FALSE))-catfd_1_EHV_49)/catpn_1_EHB_1+catfd_1_EHV_49/catpn_1_EHV_49),0)</f>
        <v>0</v>
      </c>
      <c r="H16" s="20" t="s">
        <v>41</v>
      </c>
      <c r="I16" s="35">
        <f>IF(AND(catpn_1_EHB_1&gt;0,catpn_1_EHV_49&gt;0),(cattf_1_EHB_1*((dagenperjaar1*VLOOKUP(B16,dagsoorttabel1,2,FALSE))-catfd_1_EHV_49)/catpn_1_EHB_1+cattf_1_EHV_49*catfd_1_EHV_49/catpn_1_EHV_49)/(((dagenperjaar1*VLOOKUP(B16,dagsoorttabel1,2,FALSE))-catfd_1_EHV_49)/catpn_1_EHB_1+catfd_1_EHV_49/catpn_1_EHV_49),0)</f>
        <v>0</v>
      </c>
      <c r="J16" s="33">
        <f t="shared" si="1"/>
        <v>0</v>
      </c>
      <c r="K16" s="35">
        <f t="shared" si="2"/>
        <v>0</v>
      </c>
      <c r="L16" s="33">
        <f t="shared" si="3"/>
        <v>0</v>
      </c>
      <c r="M16" s="35">
        <f t="shared" si="4"/>
        <v>0</v>
      </c>
    </row>
    <row r="17" spans="1:13" x14ac:dyDescent="0.25">
      <c r="A17" s="20" t="s">
        <v>185</v>
      </c>
      <c r="B17" s="20" t="s">
        <v>20</v>
      </c>
      <c r="C17" s="20" t="s">
        <v>175</v>
      </c>
      <c r="D17" s="20" t="s">
        <v>186</v>
      </c>
      <c r="E17" s="33">
        <v>20</v>
      </c>
      <c r="F17" s="33">
        <f t="shared" si="0"/>
        <v>3.8431372549019609</v>
      </c>
      <c r="G17" s="34">
        <f>IF(AND(catpn_1_EHB_1&gt;0,catpn_1_EHV_49&gt;0),(dagenperjaar1*VLOOKUP(B17,dagsoorttabel1,2,FALSE))/(((dagenperjaar1*VLOOKUP(B17,dagsoorttabel1,2,FALSE))-catfd_1_EHV_49)/catpn_1_EHB_1+catfd_1_EHV_49/catpn_1_EHV_49),0)</f>
        <v>0</v>
      </c>
      <c r="H17" s="20" t="s">
        <v>41</v>
      </c>
      <c r="I17" s="35">
        <f>IF(AND(catpn_1_EHB_1&gt;0,catpn_1_EHV_49&gt;0),(cattf_1_EHB_1*((dagenperjaar1*VLOOKUP(B17,dagsoorttabel1,2,FALSE))-catfd_1_EHV_49)/catpn_1_EHB_1+cattf_1_EHV_49*catfd_1_EHV_49/catpn_1_EHV_49)/(((dagenperjaar1*VLOOKUP(B17,dagsoorttabel1,2,FALSE))-catfd_1_EHV_49)/catpn_1_EHB_1+catfd_1_EHV_49/catpn_1_EHV_49),0)</f>
        <v>0</v>
      </c>
      <c r="J17" s="33">
        <f t="shared" si="1"/>
        <v>0</v>
      </c>
      <c r="K17" s="35">
        <f t="shared" si="2"/>
        <v>0</v>
      </c>
      <c r="L17" s="33">
        <f t="shared" si="3"/>
        <v>0</v>
      </c>
      <c r="M17" s="35">
        <f t="shared" si="4"/>
        <v>0</v>
      </c>
    </row>
    <row r="18" spans="1:13" x14ac:dyDescent="0.25">
      <c r="A18" s="20" t="s">
        <v>185</v>
      </c>
      <c r="B18" s="20" t="s">
        <v>19</v>
      </c>
      <c r="C18" s="20" t="s">
        <v>175</v>
      </c>
      <c r="D18" s="20" t="s">
        <v>186</v>
      </c>
      <c r="E18" s="33">
        <v>53.9</v>
      </c>
      <c r="F18" s="33">
        <f t="shared" si="0"/>
        <v>10.780000000000001</v>
      </c>
      <c r="G18" s="34">
        <f>catpn_1_EHV_51</f>
        <v>0</v>
      </c>
      <c r="H18" s="20" t="s">
        <v>41</v>
      </c>
      <c r="I18" s="35">
        <f>cattf_1_EHV_51</f>
        <v>0</v>
      </c>
      <c r="J18" s="33">
        <f t="shared" si="1"/>
        <v>0</v>
      </c>
      <c r="K18" s="35">
        <f t="shared" si="2"/>
        <v>0</v>
      </c>
      <c r="L18" s="33">
        <f t="shared" si="3"/>
        <v>0</v>
      </c>
      <c r="M18" s="35">
        <f t="shared" si="4"/>
        <v>0</v>
      </c>
    </row>
    <row r="19" spans="1:13" x14ac:dyDescent="0.25">
      <c r="A19" s="20" t="s">
        <v>187</v>
      </c>
      <c r="B19" s="20" t="s">
        <v>15</v>
      </c>
      <c r="C19" s="20" t="s">
        <v>175</v>
      </c>
      <c r="D19" s="20" t="s">
        <v>188</v>
      </c>
      <c r="E19" s="33">
        <v>2.5499999999999998</v>
      </c>
      <c r="F19" s="33">
        <f t="shared" si="0"/>
        <v>1.5299999999999998</v>
      </c>
      <c r="G19" s="34">
        <f>IF(AND(catpn_1_EZB_1&gt;0,catpn_1_EZV_51&gt;0),(dagenperjaar1*VLOOKUP(B19,dagsoorttabel1,2,FALSE))/(((dagenperjaar1*VLOOKUP(B19,dagsoorttabel1,2,FALSE))-catfd_1_EZV_51)/catpn_1_EZB_1+catfd_1_EZV_51/catpn_1_EZV_51),0)</f>
        <v>0</v>
      </c>
      <c r="H19" s="20" t="s">
        <v>41</v>
      </c>
      <c r="I19" s="35">
        <f>IF(AND(catpn_1_EZB_1&gt;0,catpn_1_EZV_51&gt;0),(cattf_1_EZB_1*((dagenperjaar1*VLOOKUP(B19,dagsoorttabel1,2,FALSE))-catfd_1_EZV_51)/catpn_1_EZB_1+cattf_1_EZV_51*catfd_1_EZV_51/catpn_1_EZV_51)/(((dagenperjaar1*VLOOKUP(B19,dagsoorttabel1,2,FALSE))-catfd_1_EZV_51)/catpn_1_EZB_1+catfd_1_EZV_51/catpn_1_EZV_51),0)</f>
        <v>0</v>
      </c>
      <c r="J19" s="33">
        <f t="shared" si="1"/>
        <v>0</v>
      </c>
      <c r="K19" s="35">
        <f t="shared" si="2"/>
        <v>0</v>
      </c>
      <c r="L19" s="33">
        <f t="shared" si="3"/>
        <v>0</v>
      </c>
      <c r="M19" s="35">
        <f t="shared" si="4"/>
        <v>0</v>
      </c>
    </row>
    <row r="20" spans="1:13" x14ac:dyDescent="0.25">
      <c r="A20" s="20" t="s">
        <v>187</v>
      </c>
      <c r="B20" s="20" t="s">
        <v>11</v>
      </c>
      <c r="C20" s="20" t="s">
        <v>175</v>
      </c>
      <c r="D20" s="20" t="s">
        <v>188</v>
      </c>
      <c r="E20" s="33">
        <v>38.9</v>
      </c>
      <c r="F20" s="33">
        <f t="shared" si="0"/>
        <v>37.374509803921569</v>
      </c>
      <c r="G20" s="34">
        <f>IF(AND(catpn_1_EZB_1&gt;0,catpn_1_EZV_49&gt;0),(dagenperjaar1*VLOOKUP(B20,dagsoorttabel1,2,FALSE))/(((dagenperjaar1*VLOOKUP(B20,dagsoorttabel1,2,FALSE))-catfd_1_EZV_49)/catpn_1_EZB_1+catfd_1_EZV_49/catpn_1_EZV_49),0)</f>
        <v>0</v>
      </c>
      <c r="H20" s="20" t="s">
        <v>41</v>
      </c>
      <c r="I20" s="35">
        <f>IF(AND(catpn_1_EZB_1&gt;0,catpn_1_EZV_49&gt;0),(cattf_1_EZB_1*((dagenperjaar1*VLOOKUP(B20,dagsoorttabel1,2,FALSE))-catfd_1_EZV_49)/catpn_1_EZB_1+cattf_1_EZV_49*catfd_1_EZV_49/catpn_1_EZV_49)/(((dagenperjaar1*VLOOKUP(B20,dagsoorttabel1,2,FALSE))-catfd_1_EZV_49)/catpn_1_EZB_1+catfd_1_EZV_49/catpn_1_EZV_49),0)</f>
        <v>0</v>
      </c>
      <c r="J20" s="33">
        <f t="shared" si="1"/>
        <v>0</v>
      </c>
      <c r="K20" s="35">
        <f t="shared" si="2"/>
        <v>0</v>
      </c>
      <c r="L20" s="33">
        <f t="shared" si="3"/>
        <v>0</v>
      </c>
      <c r="M20" s="35">
        <f t="shared" si="4"/>
        <v>0</v>
      </c>
    </row>
    <row r="21" spans="1:13" x14ac:dyDescent="0.25">
      <c r="A21" s="20" t="s">
        <v>187</v>
      </c>
      <c r="B21" s="20" t="s">
        <v>10</v>
      </c>
      <c r="C21" s="20" t="s">
        <v>175</v>
      </c>
      <c r="D21" s="20" t="s">
        <v>188</v>
      </c>
      <c r="E21" s="33">
        <v>6.5</v>
      </c>
      <c r="F21" s="33">
        <f t="shared" si="0"/>
        <v>6.5</v>
      </c>
      <c r="G21" s="34">
        <f>IF(AND(catpn_1_EZB_1&gt;0,catpn_1_EZV_51&gt;0),(dagenperjaar1*VLOOKUP(B21,dagsoorttabel1,2,FALSE))/(((dagenperjaar1*VLOOKUP(B21,dagsoorttabel1,2,FALSE))-catfd_1_EZV_51)/catpn_1_EZB_1+catfd_1_EZV_51/catpn_1_EZV_51),0)</f>
        <v>0</v>
      </c>
      <c r="H21" s="20" t="s">
        <v>41</v>
      </c>
      <c r="I21" s="35">
        <f>IF(AND(catpn_1_EZB_1&gt;0,catpn_1_EZV_51&gt;0),(cattf_1_EZB_1*((dagenperjaar1*VLOOKUP(B21,dagsoorttabel1,2,FALSE))-catfd_1_EZV_51)/catpn_1_EZB_1+cattf_1_EZV_51*catfd_1_EZV_51/catpn_1_EZV_51)/(((dagenperjaar1*VLOOKUP(B21,dagsoorttabel1,2,FALSE))-catfd_1_EZV_51)/catpn_1_EZB_1+catfd_1_EZV_51/catpn_1_EZV_51),0)</f>
        <v>0</v>
      </c>
      <c r="J21" s="33">
        <f t="shared" si="1"/>
        <v>0</v>
      </c>
      <c r="K21" s="35">
        <f t="shared" si="2"/>
        <v>0</v>
      </c>
      <c r="L21" s="33">
        <f t="shared" si="3"/>
        <v>0</v>
      </c>
      <c r="M21" s="35">
        <f t="shared" si="4"/>
        <v>0</v>
      </c>
    </row>
    <row r="22" spans="1:13" x14ac:dyDescent="0.25">
      <c r="A22" s="20" t="s">
        <v>187</v>
      </c>
      <c r="B22" s="20" t="s">
        <v>20</v>
      </c>
      <c r="C22" s="20" t="s">
        <v>175</v>
      </c>
      <c r="D22" s="20" t="s">
        <v>188</v>
      </c>
      <c r="E22" s="33">
        <v>8</v>
      </c>
      <c r="F22" s="33">
        <f t="shared" si="0"/>
        <v>1.5372549019607844</v>
      </c>
      <c r="G22" s="34">
        <f>IF(AND(catpn_1_EZB_1&gt;0,catpn_1_EZV_49&gt;0),(dagenperjaar1*VLOOKUP(B22,dagsoorttabel1,2,FALSE))/(((dagenperjaar1*VLOOKUP(B22,dagsoorttabel1,2,FALSE))-catfd_1_EZV_49)/catpn_1_EZB_1+catfd_1_EZV_49/catpn_1_EZV_49),0)</f>
        <v>0</v>
      </c>
      <c r="H22" s="20" t="s">
        <v>41</v>
      </c>
      <c r="I22" s="35">
        <f>IF(AND(catpn_1_EZB_1&gt;0,catpn_1_EZV_49&gt;0),(cattf_1_EZB_1*((dagenperjaar1*VLOOKUP(B22,dagsoorttabel1,2,FALSE))-catfd_1_EZV_49)/catpn_1_EZB_1+cattf_1_EZV_49*catfd_1_EZV_49/catpn_1_EZV_49)/(((dagenperjaar1*VLOOKUP(B22,dagsoorttabel1,2,FALSE))-catfd_1_EZV_49)/catpn_1_EZB_1+catfd_1_EZV_49/catpn_1_EZV_49),0)</f>
        <v>0</v>
      </c>
      <c r="J22" s="33">
        <f t="shared" si="1"/>
        <v>0</v>
      </c>
      <c r="K22" s="35">
        <f t="shared" si="2"/>
        <v>0</v>
      </c>
      <c r="L22" s="33">
        <f t="shared" si="3"/>
        <v>0</v>
      </c>
      <c r="M22" s="35">
        <f t="shared" si="4"/>
        <v>0</v>
      </c>
    </row>
    <row r="23" spans="1:13" x14ac:dyDescent="0.25">
      <c r="A23" s="20" t="s">
        <v>189</v>
      </c>
      <c r="B23" s="20" t="s">
        <v>11</v>
      </c>
      <c r="C23" s="20" t="s">
        <v>175</v>
      </c>
      <c r="D23" s="20" t="s">
        <v>190</v>
      </c>
      <c r="E23" s="33">
        <v>2277.6</v>
      </c>
      <c r="F23" s="33">
        <f t="shared" si="0"/>
        <v>2188.2823529411767</v>
      </c>
      <c r="G23" s="34">
        <f>IF(AND(catpn_1_GHB_1&gt;0,catpn_1_GHV_49&gt;0),(dagenperjaar1*VLOOKUP(B23,dagsoorttabel1,2,FALSE))/(((dagenperjaar1*VLOOKUP(B23,dagsoorttabel1,2,FALSE))-catfd_1_GHV_49)/catpn_1_GHB_1+catfd_1_GHV_49/catpn_1_GHV_49),0)</f>
        <v>0</v>
      </c>
      <c r="H23" s="20" t="s">
        <v>41</v>
      </c>
      <c r="I23" s="35">
        <f>IF(AND(catpn_1_GHB_1&gt;0,catpn_1_GHV_49&gt;0),(cattf_1_GHB_1*((dagenperjaar1*VLOOKUP(B23,dagsoorttabel1,2,FALSE))-catfd_1_GHV_49)/catpn_1_GHB_1+cattf_1_GHV_49*catfd_1_GHV_49/catpn_1_GHV_49)/(((dagenperjaar1*VLOOKUP(B23,dagsoorttabel1,2,FALSE))-catfd_1_GHV_49)/catpn_1_GHB_1+catfd_1_GHV_49/catpn_1_GHV_49),0)</f>
        <v>0</v>
      </c>
      <c r="J23" s="33">
        <f t="shared" si="1"/>
        <v>0</v>
      </c>
      <c r="K23" s="35">
        <f t="shared" si="2"/>
        <v>0</v>
      </c>
      <c r="L23" s="33">
        <f t="shared" si="3"/>
        <v>0</v>
      </c>
      <c r="M23" s="35">
        <f t="shared" si="4"/>
        <v>0</v>
      </c>
    </row>
    <row r="24" spans="1:13" x14ac:dyDescent="0.25">
      <c r="A24" s="20" t="s">
        <v>189</v>
      </c>
      <c r="B24" s="20" t="s">
        <v>20</v>
      </c>
      <c r="C24" s="20" t="s">
        <v>175</v>
      </c>
      <c r="D24" s="20" t="s">
        <v>191</v>
      </c>
      <c r="E24" s="33">
        <v>400</v>
      </c>
      <c r="F24" s="33">
        <f t="shared" si="0"/>
        <v>76.862745098039227</v>
      </c>
      <c r="G24" s="34">
        <f>IF(AND(catpn_1_GHB_1&gt;0,catpn_1_GHV_49&gt;0),(dagenperjaar1*VLOOKUP(B24,dagsoorttabel1,2,FALSE))/(((dagenperjaar1*VLOOKUP(B24,dagsoorttabel1,2,FALSE))-catfd_1_GHV_49)/catpn_1_GHB_1+catfd_1_GHV_49/catpn_1_GHV_49),0)</f>
        <v>0</v>
      </c>
      <c r="H24" s="20" t="s">
        <v>41</v>
      </c>
      <c r="I24" s="35">
        <f>IF(AND(catpn_1_GHB_1&gt;0,catpn_1_GHV_49&gt;0),(cattf_1_GHB_1*((dagenperjaar1*VLOOKUP(B24,dagsoorttabel1,2,FALSE))-catfd_1_GHV_49)/catpn_1_GHB_1+cattf_1_GHV_49*catfd_1_GHV_49/catpn_1_GHV_49)/(((dagenperjaar1*VLOOKUP(B24,dagsoorttabel1,2,FALSE))-catfd_1_GHV_49)/catpn_1_GHB_1+catfd_1_GHV_49/catpn_1_GHV_49),0)</f>
        <v>0</v>
      </c>
      <c r="J24" s="33">
        <f t="shared" si="1"/>
        <v>0</v>
      </c>
      <c r="K24" s="35">
        <f t="shared" si="2"/>
        <v>0</v>
      </c>
      <c r="L24" s="33">
        <f t="shared" si="3"/>
        <v>0</v>
      </c>
      <c r="M24" s="35">
        <f t="shared" si="4"/>
        <v>0</v>
      </c>
    </row>
    <row r="25" spans="1:13" x14ac:dyDescent="0.25">
      <c r="A25" s="20" t="s">
        <v>192</v>
      </c>
      <c r="B25" s="20" t="s">
        <v>9</v>
      </c>
      <c r="C25" s="20" t="s">
        <v>175</v>
      </c>
      <c r="D25" s="20" t="s">
        <v>193</v>
      </c>
      <c r="E25" s="33">
        <v>95.670000000000016</v>
      </c>
      <c r="F25" s="33">
        <f t="shared" si="0"/>
        <v>95.670000000000016</v>
      </c>
      <c r="G25" s="34">
        <f>IF(AND(catpn_1_HHB_1&gt;0,catpn_1_HHV_51&gt;0),(dagenperjaar1*VLOOKUP(B25,dagsoorttabel1,2,FALSE))/(((dagenperjaar1*VLOOKUP(B25,dagsoorttabel1,2,FALSE))-catfd_1_HHV_51)/catpn_1_HHB_1+catfd_1_HHV_51/catpn_1_HHV_51),0)</f>
        <v>0</v>
      </c>
      <c r="H25" s="20" t="s">
        <v>41</v>
      </c>
      <c r="I25" s="35">
        <f>IF(AND(catpn_1_HHB_1&gt;0,catpn_1_HHV_51&gt;0),(cattf_1_HHB_1*((dagenperjaar1*VLOOKUP(B25,dagsoorttabel1,2,FALSE))-catfd_1_HHV_51)/catpn_1_HHB_1+cattf_1_HHV_51*catfd_1_HHV_51/catpn_1_HHV_51)/(((dagenperjaar1*VLOOKUP(B25,dagsoorttabel1,2,FALSE))-catfd_1_HHV_51)/catpn_1_HHB_1+catfd_1_HHV_51/catpn_1_HHV_51),0)</f>
        <v>0</v>
      </c>
      <c r="J25" s="33">
        <f t="shared" si="1"/>
        <v>0</v>
      </c>
      <c r="K25" s="35">
        <f t="shared" si="2"/>
        <v>0</v>
      </c>
      <c r="L25" s="33">
        <f t="shared" si="3"/>
        <v>0</v>
      </c>
      <c r="M25" s="35">
        <f t="shared" si="4"/>
        <v>0</v>
      </c>
    </row>
    <row r="26" spans="1:13" x14ac:dyDescent="0.25">
      <c r="A26" s="20" t="s">
        <v>194</v>
      </c>
      <c r="B26" s="20" t="s">
        <v>10</v>
      </c>
      <c r="C26" s="20" t="s">
        <v>175</v>
      </c>
      <c r="D26" s="20" t="s">
        <v>195</v>
      </c>
      <c r="E26" s="33">
        <v>2.25</v>
      </c>
      <c r="F26" s="33">
        <f t="shared" si="0"/>
        <v>2.25</v>
      </c>
      <c r="G26" s="34">
        <f>IF(AND(catpn_1_IHB_1&gt;0,catpn_1_IHV_51&gt;0),(dagenperjaar1*VLOOKUP(B26,dagsoorttabel1,2,FALSE))/(((dagenperjaar1*VLOOKUP(B26,dagsoorttabel1,2,FALSE))-catfd_1_IHV_51)/catpn_1_IHB_1+catfd_1_IHV_51/catpn_1_IHV_51),0)</f>
        <v>0</v>
      </c>
      <c r="H26" s="20" t="s">
        <v>41</v>
      </c>
      <c r="I26" s="35">
        <f>IF(AND(catpn_1_IHB_1&gt;0,catpn_1_IHV_51&gt;0),(cattf_1_IHB_1*((dagenperjaar1*VLOOKUP(B26,dagsoorttabel1,2,FALSE))-catfd_1_IHV_51)/catpn_1_IHB_1+cattf_1_IHV_51*catfd_1_IHV_51/catpn_1_IHV_51)/(((dagenperjaar1*VLOOKUP(B26,dagsoorttabel1,2,FALSE))-catfd_1_IHV_51)/catpn_1_IHB_1+catfd_1_IHV_51/catpn_1_IHV_51),0)</f>
        <v>0</v>
      </c>
      <c r="J26" s="33">
        <f t="shared" si="1"/>
        <v>0</v>
      </c>
      <c r="K26" s="35">
        <f t="shared" si="2"/>
        <v>0</v>
      </c>
      <c r="L26" s="33">
        <f t="shared" si="3"/>
        <v>0</v>
      </c>
      <c r="M26" s="35">
        <f t="shared" si="4"/>
        <v>0</v>
      </c>
    </row>
    <row r="27" spans="1:13" x14ac:dyDescent="0.25">
      <c r="A27" s="20" t="s">
        <v>196</v>
      </c>
      <c r="B27" s="20" t="s">
        <v>11</v>
      </c>
      <c r="C27" s="20" t="s">
        <v>175</v>
      </c>
      <c r="D27" s="20" t="s">
        <v>197</v>
      </c>
      <c r="E27" s="33">
        <v>422.59</v>
      </c>
      <c r="F27" s="33">
        <f t="shared" si="0"/>
        <v>406.01784313725489</v>
      </c>
      <c r="G27" s="34">
        <f>IF(AND(catpn_1_KHB_1&gt;0,catpn_1_KHV_49&gt;0),(dagenperjaar1*VLOOKUP(B27,dagsoorttabel1,2,FALSE))/(((dagenperjaar1*VLOOKUP(B27,dagsoorttabel1,2,FALSE))-catfd_1_KHV_49)/catpn_1_KHB_1+catfd_1_KHV_49/catpn_1_KHV_49),0)</f>
        <v>0</v>
      </c>
      <c r="H27" s="20" t="s">
        <v>41</v>
      </c>
      <c r="I27" s="35">
        <f>IF(AND(catpn_1_KHB_1&gt;0,catpn_1_KHV_49&gt;0),(cattf_1_KHB_1*((dagenperjaar1*VLOOKUP(B27,dagsoorttabel1,2,FALSE))-catfd_1_KHV_49)/catpn_1_KHB_1+cattf_1_KHV_49*catfd_1_KHV_49/catpn_1_KHV_49)/(((dagenperjaar1*VLOOKUP(B27,dagsoorttabel1,2,FALSE))-catfd_1_KHV_49)/catpn_1_KHB_1+catfd_1_KHV_49/catpn_1_KHV_49),0)</f>
        <v>0</v>
      </c>
      <c r="J27" s="33">
        <f t="shared" si="1"/>
        <v>0</v>
      </c>
      <c r="K27" s="35">
        <f t="shared" si="2"/>
        <v>0</v>
      </c>
      <c r="L27" s="33">
        <f t="shared" si="3"/>
        <v>0</v>
      </c>
      <c r="M27" s="35">
        <f t="shared" si="4"/>
        <v>0</v>
      </c>
    </row>
    <row r="28" spans="1:13" x14ac:dyDescent="0.25">
      <c r="A28" s="20" t="s">
        <v>198</v>
      </c>
      <c r="B28" s="20" t="s">
        <v>10</v>
      </c>
      <c r="C28" s="20" t="s">
        <v>175</v>
      </c>
      <c r="D28" s="20" t="s">
        <v>199</v>
      </c>
      <c r="E28" s="33">
        <v>100</v>
      </c>
      <c r="F28" s="33">
        <f t="shared" si="0"/>
        <v>100</v>
      </c>
      <c r="G28" s="34">
        <f>IF(AND(catpn_1_LZB_1&gt;0,catpn_1_LZV_51&gt;0),(dagenperjaar1*VLOOKUP(B28,dagsoorttabel1,2,FALSE))/(((dagenperjaar1*VLOOKUP(B28,dagsoorttabel1,2,FALSE))-catfd_1_LZV_51)/catpn_1_LZB_1+catfd_1_LZV_51/catpn_1_LZV_51),0)</f>
        <v>0</v>
      </c>
      <c r="H28" s="20" t="s">
        <v>41</v>
      </c>
      <c r="I28" s="35">
        <f>IF(AND(catpn_1_LZB_1&gt;0,catpn_1_LZV_51&gt;0),(cattf_1_LZB_1*((dagenperjaar1*VLOOKUP(B28,dagsoorttabel1,2,FALSE))-catfd_1_LZV_51)/catpn_1_LZB_1+cattf_1_LZV_51*catfd_1_LZV_51/catpn_1_LZV_51)/(((dagenperjaar1*VLOOKUP(B28,dagsoorttabel1,2,FALSE))-catfd_1_LZV_51)/catpn_1_LZB_1+catfd_1_LZV_51/catpn_1_LZV_51),0)</f>
        <v>0</v>
      </c>
      <c r="J28" s="33">
        <f t="shared" si="1"/>
        <v>0</v>
      </c>
      <c r="K28" s="35">
        <f t="shared" si="2"/>
        <v>0</v>
      </c>
      <c r="L28" s="33">
        <f t="shared" si="3"/>
        <v>0</v>
      </c>
      <c r="M28" s="35">
        <f t="shared" si="4"/>
        <v>0</v>
      </c>
    </row>
    <row r="29" spans="1:13" x14ac:dyDescent="0.25">
      <c r="A29" s="20" t="s">
        <v>200</v>
      </c>
      <c r="B29" s="20" t="s">
        <v>11</v>
      </c>
      <c r="C29" s="20" t="s">
        <v>175</v>
      </c>
      <c r="D29" s="20" t="s">
        <v>201</v>
      </c>
      <c r="E29" s="33">
        <v>48.82</v>
      </c>
      <c r="F29" s="33">
        <f t="shared" si="0"/>
        <v>46.905490196078432</v>
      </c>
      <c r="G29" s="34">
        <f>IF(AND(catpn_1_OHB_1&gt;0,catpn_1_OHV_49&gt;0),(dagenperjaar1*VLOOKUP(B29,dagsoorttabel1,2,FALSE))/(((dagenperjaar1*VLOOKUP(B29,dagsoorttabel1,2,FALSE))-catfd_1_OHV_49)/catpn_1_OHB_1+catfd_1_OHV_49/catpn_1_OHV_49),0)</f>
        <v>0</v>
      </c>
      <c r="H29" s="20" t="s">
        <v>41</v>
      </c>
      <c r="I29" s="35">
        <f>IF(AND(catpn_1_OHB_1&gt;0,catpn_1_OHV_49&gt;0),(cattf_1_OHB_1*((dagenperjaar1*VLOOKUP(B29,dagsoorttabel1,2,FALSE))-catfd_1_OHV_49)/catpn_1_OHB_1+cattf_1_OHV_49*catfd_1_OHV_49/catpn_1_OHV_49)/(((dagenperjaar1*VLOOKUP(B29,dagsoorttabel1,2,FALSE))-catfd_1_OHV_49)/catpn_1_OHB_1+catfd_1_OHV_49/catpn_1_OHV_49),0)</f>
        <v>0</v>
      </c>
      <c r="J29" s="33">
        <f t="shared" si="1"/>
        <v>0</v>
      </c>
      <c r="K29" s="35">
        <f t="shared" si="2"/>
        <v>0</v>
      </c>
      <c r="L29" s="33">
        <f t="shared" si="3"/>
        <v>0</v>
      </c>
      <c r="M29" s="35">
        <f t="shared" si="4"/>
        <v>0</v>
      </c>
    </row>
    <row r="30" spans="1:13" x14ac:dyDescent="0.25">
      <c r="A30" s="20" t="s">
        <v>200</v>
      </c>
      <c r="B30" s="20" t="s">
        <v>10</v>
      </c>
      <c r="C30" s="20" t="s">
        <v>175</v>
      </c>
      <c r="D30" s="20" t="s">
        <v>201</v>
      </c>
      <c r="E30" s="33">
        <v>104.1</v>
      </c>
      <c r="F30" s="33">
        <f t="shared" si="0"/>
        <v>104.1</v>
      </c>
      <c r="G30" s="34">
        <f>IF(AND(catpn_1_OHB_1&gt;0,catpn_1_OHV_51&gt;0),(dagenperjaar1*VLOOKUP(B30,dagsoorttabel1,2,FALSE))/(((dagenperjaar1*VLOOKUP(B30,dagsoorttabel1,2,FALSE))-catfd_1_OHV_51)/catpn_1_OHB_1+catfd_1_OHV_51/catpn_1_OHV_51),0)</f>
        <v>0</v>
      </c>
      <c r="H30" s="20" t="s">
        <v>41</v>
      </c>
      <c r="I30" s="35">
        <f>IF(AND(catpn_1_OHB_1&gt;0,catpn_1_OHV_51&gt;0),(cattf_1_OHB_1*((dagenperjaar1*VLOOKUP(B30,dagsoorttabel1,2,FALSE))-catfd_1_OHV_51)/catpn_1_OHB_1+cattf_1_OHV_51*catfd_1_OHV_51/catpn_1_OHV_51)/(((dagenperjaar1*VLOOKUP(B30,dagsoorttabel1,2,FALSE))-catfd_1_OHV_51)/catpn_1_OHB_1+catfd_1_OHV_51/catpn_1_OHV_51),0)</f>
        <v>0</v>
      </c>
      <c r="J30" s="33">
        <f t="shared" si="1"/>
        <v>0</v>
      </c>
      <c r="K30" s="35">
        <f t="shared" si="2"/>
        <v>0</v>
      </c>
      <c r="L30" s="33">
        <f t="shared" si="3"/>
        <v>0</v>
      </c>
      <c r="M30" s="35">
        <f t="shared" si="4"/>
        <v>0</v>
      </c>
    </row>
    <row r="31" spans="1:13" x14ac:dyDescent="0.25">
      <c r="A31" s="20" t="s">
        <v>200</v>
      </c>
      <c r="B31" s="20" t="s">
        <v>22</v>
      </c>
      <c r="C31" s="20" t="s">
        <v>175</v>
      </c>
      <c r="D31" s="20" t="s">
        <v>201</v>
      </c>
      <c r="E31" s="33">
        <v>115.55</v>
      </c>
      <c r="F31" s="33">
        <f t="shared" si="0"/>
        <v>11.78156862745098</v>
      </c>
      <c r="G31" s="34">
        <f>IF(AND(catpn_1_OHB_1&gt;0,catpn_1_OHV_26&gt;0),(dagenperjaar1*VLOOKUP(B31,dagsoorttabel1,2,FALSE))/(((dagenperjaar1*VLOOKUP(B31,dagsoorttabel1,2,FALSE))-catfd_1_OHV_26)/catpn_1_OHB_1+catfd_1_OHV_26/catpn_1_OHV_26),0)</f>
        <v>0</v>
      </c>
      <c r="H31" s="20" t="s">
        <v>41</v>
      </c>
      <c r="I31" s="35">
        <f>IF(AND(catpn_1_OHB_1&gt;0,catpn_1_OHV_26&gt;0),(cattf_1_OHB_1*((dagenperjaar1*VLOOKUP(B31,dagsoorttabel1,2,FALSE))-catfd_1_OHV_26)/catpn_1_OHB_1+cattf_1_OHV_26*catfd_1_OHV_26/catpn_1_OHV_26)/(((dagenperjaar1*VLOOKUP(B31,dagsoorttabel1,2,FALSE))-catfd_1_OHV_26)/catpn_1_OHB_1+catfd_1_OHV_26/catpn_1_OHV_26),0)</f>
        <v>0</v>
      </c>
      <c r="J31" s="33">
        <f t="shared" si="1"/>
        <v>0</v>
      </c>
      <c r="K31" s="35">
        <f t="shared" si="2"/>
        <v>0</v>
      </c>
      <c r="L31" s="33">
        <f t="shared" si="3"/>
        <v>0</v>
      </c>
      <c r="M31" s="35">
        <f t="shared" si="4"/>
        <v>0</v>
      </c>
    </row>
    <row r="32" spans="1:13" x14ac:dyDescent="0.25">
      <c r="A32" s="20" t="s">
        <v>202</v>
      </c>
      <c r="B32" s="20" t="s">
        <v>11</v>
      </c>
      <c r="C32" s="20" t="s">
        <v>175</v>
      </c>
      <c r="D32" s="20" t="s">
        <v>203</v>
      </c>
      <c r="E32" s="33">
        <v>42.5</v>
      </c>
      <c r="F32" s="33">
        <f t="shared" si="0"/>
        <v>40.833333333333336</v>
      </c>
      <c r="G32" s="34">
        <f>IF(AND(catpn_1_OZB_1&gt;0,catpn_1_OZV_49&gt;0),(dagenperjaar1*VLOOKUP(B32,dagsoorttabel1,2,FALSE))/(((dagenperjaar1*VLOOKUP(B32,dagsoorttabel1,2,FALSE))-catfd_1_OZV_49)/catpn_1_OZB_1+catfd_1_OZV_49/catpn_1_OZV_49),0)</f>
        <v>0</v>
      </c>
      <c r="H32" s="20" t="s">
        <v>41</v>
      </c>
      <c r="I32" s="35">
        <f>IF(AND(catpn_1_OZB_1&gt;0,catpn_1_OZV_49&gt;0),(cattf_1_OZB_1*((dagenperjaar1*VLOOKUP(B32,dagsoorttabel1,2,FALSE))-catfd_1_OZV_49)/catpn_1_OZB_1+cattf_1_OZV_49*catfd_1_OZV_49/catpn_1_OZV_49)/(((dagenperjaar1*VLOOKUP(B32,dagsoorttabel1,2,FALSE))-catfd_1_OZV_49)/catpn_1_OZB_1+catfd_1_OZV_49/catpn_1_OZV_49),0)</f>
        <v>0</v>
      </c>
      <c r="J32" s="33">
        <f t="shared" si="1"/>
        <v>0</v>
      </c>
      <c r="K32" s="35">
        <f t="shared" si="2"/>
        <v>0</v>
      </c>
      <c r="L32" s="33">
        <f t="shared" si="3"/>
        <v>0</v>
      </c>
      <c r="M32" s="35">
        <f t="shared" si="4"/>
        <v>0</v>
      </c>
    </row>
    <row r="33" spans="1:13" x14ac:dyDescent="0.25">
      <c r="A33" s="20" t="s">
        <v>202</v>
      </c>
      <c r="B33" s="20" t="s">
        <v>10</v>
      </c>
      <c r="C33" s="20" t="s">
        <v>175</v>
      </c>
      <c r="D33" s="20" t="s">
        <v>203</v>
      </c>
      <c r="E33" s="33">
        <v>101.2</v>
      </c>
      <c r="F33" s="33">
        <f t="shared" si="0"/>
        <v>101.2</v>
      </c>
      <c r="G33" s="34">
        <f>IF(AND(catpn_1_OZB_1&gt;0,catpn_1_OZV_51&gt;0),(dagenperjaar1*VLOOKUP(B33,dagsoorttabel1,2,FALSE))/(((dagenperjaar1*VLOOKUP(B33,dagsoorttabel1,2,FALSE))-catfd_1_OZV_51)/catpn_1_OZB_1+catfd_1_OZV_51/catpn_1_OZV_51),0)</f>
        <v>0</v>
      </c>
      <c r="H33" s="20" t="s">
        <v>41</v>
      </c>
      <c r="I33" s="35">
        <f>IF(AND(catpn_1_OZB_1&gt;0,catpn_1_OZV_51&gt;0),(cattf_1_OZB_1*((dagenperjaar1*VLOOKUP(B33,dagsoorttabel1,2,FALSE))-catfd_1_OZV_51)/catpn_1_OZB_1+cattf_1_OZV_51*catfd_1_OZV_51/catpn_1_OZV_51)/(((dagenperjaar1*VLOOKUP(B33,dagsoorttabel1,2,FALSE))-catfd_1_OZV_51)/catpn_1_OZB_1+catfd_1_OZV_51/catpn_1_OZV_51),0)</f>
        <v>0</v>
      </c>
      <c r="J33" s="33">
        <f t="shared" si="1"/>
        <v>0</v>
      </c>
      <c r="K33" s="35">
        <f t="shared" si="2"/>
        <v>0</v>
      </c>
      <c r="L33" s="33">
        <f t="shared" si="3"/>
        <v>0</v>
      </c>
      <c r="M33" s="35">
        <f t="shared" si="4"/>
        <v>0</v>
      </c>
    </row>
    <row r="34" spans="1:13" x14ac:dyDescent="0.25">
      <c r="A34" s="20" t="s">
        <v>204</v>
      </c>
      <c r="B34" s="20" t="s">
        <v>11</v>
      </c>
      <c r="C34" s="20" t="s">
        <v>175</v>
      </c>
      <c r="D34" s="20" t="s">
        <v>205</v>
      </c>
      <c r="E34" s="33">
        <v>23.4</v>
      </c>
      <c r="F34" s="33">
        <f t="shared" si="0"/>
        <v>22.482352941176469</v>
      </c>
      <c r="G34" s="34">
        <f>IF(AND(catpn_1_PHB_1&gt;0,catpn_1_PHV_49&gt;0),(dagenperjaar1*VLOOKUP(B34,dagsoorttabel1,2,FALSE))/(((dagenperjaar1*VLOOKUP(B34,dagsoorttabel1,2,FALSE))-catfd_1_PHV_49)/catpn_1_PHB_1+catfd_1_PHV_49/catpn_1_PHV_49),0)</f>
        <v>0</v>
      </c>
      <c r="H34" s="20" t="s">
        <v>41</v>
      </c>
      <c r="I34" s="35">
        <f>IF(AND(catpn_1_PHB_1&gt;0,catpn_1_PHV_49&gt;0),(cattf_1_PHB_1*((dagenperjaar1*VLOOKUP(B34,dagsoorttabel1,2,FALSE))-catfd_1_PHV_49)/catpn_1_PHB_1+cattf_1_PHV_49*catfd_1_PHV_49/catpn_1_PHV_49)/(((dagenperjaar1*VLOOKUP(B34,dagsoorttabel1,2,FALSE))-catfd_1_PHV_49)/catpn_1_PHB_1+catfd_1_PHV_49/catpn_1_PHV_49),0)</f>
        <v>0</v>
      </c>
      <c r="J34" s="33">
        <f t="shared" si="1"/>
        <v>0</v>
      </c>
      <c r="K34" s="35">
        <f t="shared" si="2"/>
        <v>0</v>
      </c>
      <c r="L34" s="33">
        <f t="shared" si="3"/>
        <v>0</v>
      </c>
      <c r="M34" s="35">
        <f t="shared" si="4"/>
        <v>0</v>
      </c>
    </row>
    <row r="35" spans="1:13" x14ac:dyDescent="0.25">
      <c r="A35" s="20" t="s">
        <v>204</v>
      </c>
      <c r="B35" s="20" t="s">
        <v>10</v>
      </c>
      <c r="C35" s="20" t="s">
        <v>175</v>
      </c>
      <c r="D35" s="20" t="s">
        <v>205</v>
      </c>
      <c r="E35" s="33">
        <v>8.1</v>
      </c>
      <c r="F35" s="33">
        <f t="shared" si="0"/>
        <v>8.1</v>
      </c>
      <c r="G35" s="34">
        <f>IF(AND(catpn_1_PHB_1&gt;0,catpn_1_PHV_51&gt;0),(dagenperjaar1*VLOOKUP(B35,dagsoorttabel1,2,FALSE))/(((dagenperjaar1*VLOOKUP(B35,dagsoorttabel1,2,FALSE))-catfd_1_PHV_51)/catpn_1_PHB_1+catfd_1_PHV_51/catpn_1_PHV_51),0)</f>
        <v>0</v>
      </c>
      <c r="H35" s="20" t="s">
        <v>41</v>
      </c>
      <c r="I35" s="35">
        <f>IF(AND(catpn_1_PHB_1&gt;0,catpn_1_PHV_51&gt;0),(cattf_1_PHB_1*((dagenperjaar1*VLOOKUP(B35,dagsoorttabel1,2,FALSE))-catfd_1_PHV_51)/catpn_1_PHB_1+cattf_1_PHV_51*catfd_1_PHV_51/catpn_1_PHV_51)/(((dagenperjaar1*VLOOKUP(B35,dagsoorttabel1,2,FALSE))-catfd_1_PHV_51)/catpn_1_PHB_1+catfd_1_PHV_51/catpn_1_PHV_51),0)</f>
        <v>0</v>
      </c>
      <c r="J35" s="33">
        <f t="shared" si="1"/>
        <v>0</v>
      </c>
      <c r="K35" s="35">
        <f t="shared" si="2"/>
        <v>0</v>
      </c>
      <c r="L35" s="33">
        <f t="shared" si="3"/>
        <v>0</v>
      </c>
      <c r="M35" s="35">
        <f t="shared" si="4"/>
        <v>0</v>
      </c>
    </row>
    <row r="36" spans="1:13" x14ac:dyDescent="0.25">
      <c r="A36" s="20" t="s">
        <v>204</v>
      </c>
      <c r="B36" s="20" t="s">
        <v>22</v>
      </c>
      <c r="C36" s="20" t="s">
        <v>175</v>
      </c>
      <c r="D36" s="20" t="s">
        <v>205</v>
      </c>
      <c r="E36" s="33">
        <v>2.7</v>
      </c>
      <c r="F36" s="33">
        <f t="shared" si="0"/>
        <v>0.27529411764705886</v>
      </c>
      <c r="G36" s="34">
        <f>IF(AND(catpn_1_PHB_1&gt;0,catpn_1_PHV_26&gt;0),(dagenperjaar1*VLOOKUP(B36,dagsoorttabel1,2,FALSE))/(((dagenperjaar1*VLOOKUP(B36,dagsoorttabel1,2,FALSE))-catfd_1_PHV_26)/catpn_1_PHB_1+catfd_1_PHV_26/catpn_1_PHV_26),0)</f>
        <v>0</v>
      </c>
      <c r="H36" s="20" t="s">
        <v>41</v>
      </c>
      <c r="I36" s="35">
        <f>IF(AND(catpn_1_PHB_1&gt;0,catpn_1_PHV_26&gt;0),(cattf_1_PHB_1*((dagenperjaar1*VLOOKUP(B36,dagsoorttabel1,2,FALSE))-catfd_1_PHV_26)/catpn_1_PHB_1+cattf_1_PHV_26*catfd_1_PHV_26/catpn_1_PHV_26)/(((dagenperjaar1*VLOOKUP(B36,dagsoorttabel1,2,FALSE))-catfd_1_PHV_26)/catpn_1_PHB_1+catfd_1_PHV_26/catpn_1_PHV_26),0)</f>
        <v>0</v>
      </c>
      <c r="J36" s="33">
        <f t="shared" si="1"/>
        <v>0</v>
      </c>
      <c r="K36" s="35">
        <f t="shared" si="2"/>
        <v>0</v>
      </c>
      <c r="L36" s="33">
        <f t="shared" si="3"/>
        <v>0</v>
      </c>
      <c r="M36" s="35">
        <f t="shared" si="4"/>
        <v>0</v>
      </c>
    </row>
    <row r="37" spans="1:13" x14ac:dyDescent="0.25">
      <c r="A37" s="20" t="s">
        <v>204</v>
      </c>
      <c r="B37" s="20" t="s">
        <v>17</v>
      </c>
      <c r="C37" s="20" t="s">
        <v>175</v>
      </c>
      <c r="D37" s="20" t="s">
        <v>205</v>
      </c>
      <c r="E37" s="33">
        <v>44.58</v>
      </c>
      <c r="F37" s="33">
        <f t="shared" si="0"/>
        <v>17.132705882352941</v>
      </c>
      <c r="G37" s="34">
        <f>IF(AND(catpn_1_PHB_1&gt;0,catpn_1_PHV_49&gt;0),(dagenperjaar1*VLOOKUP(B37,dagsoorttabel1,2,FALSE))/(((dagenperjaar1*VLOOKUP(B37,dagsoorttabel1,2,FALSE))-catfd_1_PHV_49)/catpn_1_PHB_1+catfd_1_PHV_49/catpn_1_PHV_49),0)</f>
        <v>0</v>
      </c>
      <c r="H37" s="20" t="s">
        <v>41</v>
      </c>
      <c r="I37" s="35">
        <f>IF(AND(catpn_1_PHB_1&gt;0,catpn_1_PHV_49&gt;0),(cattf_1_PHB_1*((dagenperjaar1*VLOOKUP(B37,dagsoorttabel1,2,FALSE))-catfd_1_PHV_49)/catpn_1_PHB_1+cattf_1_PHV_49*catfd_1_PHV_49/catpn_1_PHV_49)/(((dagenperjaar1*VLOOKUP(B37,dagsoorttabel1,2,FALSE))-catfd_1_PHV_49)/catpn_1_PHB_1+catfd_1_PHV_49/catpn_1_PHV_49),0)</f>
        <v>0</v>
      </c>
      <c r="J37" s="33">
        <f t="shared" si="1"/>
        <v>0</v>
      </c>
      <c r="K37" s="35">
        <f t="shared" si="2"/>
        <v>0</v>
      </c>
      <c r="L37" s="33">
        <f t="shared" si="3"/>
        <v>0</v>
      </c>
      <c r="M37" s="35">
        <f t="shared" si="4"/>
        <v>0</v>
      </c>
    </row>
    <row r="38" spans="1:13" x14ac:dyDescent="0.25">
      <c r="A38" s="20" t="s">
        <v>206</v>
      </c>
      <c r="B38" s="20" t="s">
        <v>11</v>
      </c>
      <c r="C38" s="20" t="s">
        <v>175</v>
      </c>
      <c r="D38" s="20" t="s">
        <v>207</v>
      </c>
      <c r="E38" s="33">
        <v>28</v>
      </c>
      <c r="F38" s="33">
        <f t="shared" ref="F38:F69" si="5">E38*VLOOKUP(B38,dagsoorttabel1,2,FALSE)</f>
        <v>26.901960784313726</v>
      </c>
      <c r="G38" s="34">
        <f>IF(AND(catpn_1_RHB_1&gt;0,catpn_1_PHV_49&gt;0),(dagenperjaar1*VLOOKUP(B38,dagsoorttabel1,2,FALSE))/(((dagenperjaar1*VLOOKUP(B38,dagsoorttabel1,2,FALSE))-catfd_1_PHV_49)/catpn_1_RHB_1+catfd_1_PHV_49/catpn_1_PHV_49),0)</f>
        <v>0</v>
      </c>
      <c r="H38" s="20" t="s">
        <v>41</v>
      </c>
      <c r="I38" s="35">
        <f>IF(AND(catpn_1_RHB_1&gt;0,catpn_1_PHV_49&gt;0),(cattf_1_RHB_1*((dagenperjaar1*VLOOKUP(B38,dagsoorttabel1,2,FALSE))-catfd_1_PHV_49)/catpn_1_RHB_1+cattf_1_PHV_49*catfd_1_PHV_49/catpn_1_PHV_49)/(((dagenperjaar1*VLOOKUP(B38,dagsoorttabel1,2,FALSE))-catfd_1_PHV_49)/catpn_1_RHB_1+catfd_1_PHV_49/catpn_1_PHV_49),0)</f>
        <v>0</v>
      </c>
      <c r="J38" s="33">
        <f t="shared" ref="J38:J61" si="6">IF(OR(ISBLANK(G38),G38=0),0,F38/ROUND(G38,4))</f>
        <v>0</v>
      </c>
      <c r="K38" s="35">
        <f t="shared" ref="K38:K69" si="7">ROUND(I38,2)*J38</f>
        <v>0</v>
      </c>
      <c r="L38" s="33">
        <f t="shared" ref="L38:L67" si="8">J38*dagenperjaar1</f>
        <v>0</v>
      </c>
      <c r="M38" s="35">
        <f t="shared" ref="M38:M69" si="9">L38*ROUND(I38,2)</f>
        <v>0</v>
      </c>
    </row>
    <row r="39" spans="1:13" x14ac:dyDescent="0.25">
      <c r="A39" s="20" t="s">
        <v>206</v>
      </c>
      <c r="B39" s="20" t="s">
        <v>10</v>
      </c>
      <c r="C39" s="20" t="s">
        <v>175</v>
      </c>
      <c r="D39" s="20" t="s">
        <v>207</v>
      </c>
      <c r="E39" s="33">
        <v>56.599999999999994</v>
      </c>
      <c r="F39" s="33">
        <f t="shared" si="5"/>
        <v>56.599999999999994</v>
      </c>
      <c r="G39" s="34">
        <f>IF(AND(catpn_1_RHB_1&gt;0,catpn_1_RHV_51&gt;0),(dagenperjaar1*VLOOKUP(B39,dagsoorttabel1,2,FALSE))/(((dagenperjaar1*VLOOKUP(B39,dagsoorttabel1,2,FALSE))-catfd_1_RHV_51)/catpn_1_RHB_1+catfd_1_RHV_51/catpn_1_RHV_51),0)</f>
        <v>0</v>
      </c>
      <c r="H39" s="20" t="s">
        <v>41</v>
      </c>
      <c r="I39" s="35">
        <f>IF(AND(catpn_1_RHB_1&gt;0,catpn_1_RHV_51&gt;0),(cattf_1_RHB_1*((dagenperjaar1*VLOOKUP(B39,dagsoorttabel1,2,FALSE))-catfd_1_RHV_51)/catpn_1_RHB_1+cattf_1_RHV_51*catfd_1_RHV_51/catpn_1_RHV_51)/(((dagenperjaar1*VLOOKUP(B39,dagsoorttabel1,2,FALSE))-catfd_1_RHV_51)/catpn_1_RHB_1+catfd_1_RHV_51/catpn_1_RHV_51),0)</f>
        <v>0</v>
      </c>
      <c r="J39" s="33">
        <f t="shared" si="6"/>
        <v>0</v>
      </c>
      <c r="K39" s="35">
        <f t="shared" si="7"/>
        <v>0</v>
      </c>
      <c r="L39" s="33">
        <f t="shared" si="8"/>
        <v>0</v>
      </c>
      <c r="M39" s="35">
        <f t="shared" si="9"/>
        <v>0</v>
      </c>
    </row>
    <row r="40" spans="1:13" x14ac:dyDescent="0.25">
      <c r="A40" s="20" t="s">
        <v>206</v>
      </c>
      <c r="B40" s="20" t="s">
        <v>17</v>
      </c>
      <c r="C40" s="20" t="s">
        <v>175</v>
      </c>
      <c r="D40" s="20" t="s">
        <v>207</v>
      </c>
      <c r="E40" s="33">
        <v>176.51000000000002</v>
      </c>
      <c r="F40" s="33">
        <f t="shared" si="5"/>
        <v>67.835215686274523</v>
      </c>
      <c r="G40" s="34">
        <f>IF(AND(catpn_1_RHB_1&gt;0,catpn_1_RHV_49&gt;0),(dagenperjaar1*VLOOKUP(B40,dagsoorttabel1,2,FALSE))/(((dagenperjaar1*VLOOKUP(B40,dagsoorttabel1,2,FALSE))-catfd_1_RHV_49)/catpn_1_RHB_1+catfd_1_RHV_49/catpn_1_RHV_49),0)</f>
        <v>0</v>
      </c>
      <c r="H40" s="20" t="s">
        <v>41</v>
      </c>
      <c r="I40" s="35">
        <f>IF(AND(catpn_1_RHB_1&gt;0,catpn_1_RHV_49&gt;0),(cattf_1_RHB_1*((dagenperjaar1*VLOOKUP(B40,dagsoorttabel1,2,FALSE))-catfd_1_RHV_49)/catpn_1_RHB_1+cattf_1_RHV_49*catfd_1_RHV_49/catpn_1_RHV_49)/(((dagenperjaar1*VLOOKUP(B40,dagsoorttabel1,2,FALSE))-catfd_1_RHV_49)/catpn_1_RHB_1+catfd_1_RHV_49/catpn_1_RHV_49),0)</f>
        <v>0</v>
      </c>
      <c r="J40" s="33">
        <f t="shared" si="6"/>
        <v>0</v>
      </c>
      <c r="K40" s="35">
        <f t="shared" si="7"/>
        <v>0</v>
      </c>
      <c r="L40" s="33">
        <f t="shared" si="8"/>
        <v>0</v>
      </c>
      <c r="M40" s="35">
        <f t="shared" si="9"/>
        <v>0</v>
      </c>
    </row>
    <row r="41" spans="1:13" x14ac:dyDescent="0.25">
      <c r="A41" s="20" t="s">
        <v>208</v>
      </c>
      <c r="B41" s="20" t="s">
        <v>15</v>
      </c>
      <c r="C41" s="20" t="s">
        <v>175</v>
      </c>
      <c r="D41" s="20" t="s">
        <v>209</v>
      </c>
      <c r="E41" s="33">
        <v>5.35</v>
      </c>
      <c r="F41" s="33">
        <f t="shared" si="5"/>
        <v>3.2099999999999995</v>
      </c>
      <c r="G41" s="34">
        <f>IF(AND(catpn_1_SHB_1&gt;0,catpn_1_SHV_51&gt;0),(dagenperjaar1*VLOOKUP(B41,dagsoorttabel1,2,FALSE))/(((dagenperjaar1*VLOOKUP(B41,dagsoorttabel1,2,FALSE))-catfd_1_SHV_51)/catpn_1_SHB_1+catfd_1_SHV_51/catpn_1_SHV_51),0)</f>
        <v>0</v>
      </c>
      <c r="H41" s="20" t="s">
        <v>41</v>
      </c>
      <c r="I41" s="35">
        <f>IF(AND(catpn_1_SHB_1&gt;0,catpn_1_SHV_51&gt;0),(cattf_1_SHB_1*((dagenperjaar1*VLOOKUP(B41,dagsoorttabel1,2,FALSE))-catfd_1_SHV_51)/catpn_1_SHB_1+cattf_1_SHV_51*catfd_1_SHV_51/catpn_1_SHV_51)/(((dagenperjaar1*VLOOKUP(B41,dagsoorttabel1,2,FALSE))-catfd_1_SHV_51)/catpn_1_SHB_1+catfd_1_SHV_51/catpn_1_SHV_51),0)</f>
        <v>0</v>
      </c>
      <c r="J41" s="33">
        <f t="shared" si="6"/>
        <v>0</v>
      </c>
      <c r="K41" s="35">
        <f t="shared" si="7"/>
        <v>0</v>
      </c>
      <c r="L41" s="33">
        <f t="shared" si="8"/>
        <v>0</v>
      </c>
      <c r="M41" s="35">
        <f t="shared" si="9"/>
        <v>0</v>
      </c>
    </row>
    <row r="42" spans="1:13" x14ac:dyDescent="0.25">
      <c r="A42" s="20" t="s">
        <v>208</v>
      </c>
      <c r="B42" s="20" t="s">
        <v>11</v>
      </c>
      <c r="C42" s="20" t="s">
        <v>175</v>
      </c>
      <c r="D42" s="20" t="s">
        <v>210</v>
      </c>
      <c r="E42" s="33">
        <v>95.93</v>
      </c>
      <c r="F42" s="33">
        <f t="shared" si="5"/>
        <v>92.168039215686278</v>
      </c>
      <c r="G42" s="34">
        <f>IF(AND(catpn_1_SHB_1&gt;0,catpn_1_SHV_49&gt;0),(dagenperjaar1*VLOOKUP(B42,dagsoorttabel1,2,FALSE))/(((dagenperjaar1*VLOOKUP(B42,dagsoorttabel1,2,FALSE))-catfd_1_SHV_49)/catpn_1_SHB_1+catfd_1_SHV_49/catpn_1_SHV_49),0)</f>
        <v>0</v>
      </c>
      <c r="H42" s="20" t="s">
        <v>41</v>
      </c>
      <c r="I42" s="35">
        <f>IF(AND(catpn_1_SHB_1&gt;0,catpn_1_SHV_49&gt;0),(cattf_1_SHB_1*((dagenperjaar1*VLOOKUP(B42,dagsoorttabel1,2,FALSE))-catfd_1_SHV_49)/catpn_1_SHB_1+cattf_1_SHV_49*catfd_1_SHV_49/catpn_1_SHV_49)/(((dagenperjaar1*VLOOKUP(B42,dagsoorttabel1,2,FALSE))-catfd_1_SHV_49)/catpn_1_SHB_1+catfd_1_SHV_49/catpn_1_SHV_49),0)</f>
        <v>0</v>
      </c>
      <c r="J42" s="33">
        <f t="shared" si="6"/>
        <v>0</v>
      </c>
      <c r="K42" s="35">
        <f t="shared" si="7"/>
        <v>0</v>
      </c>
      <c r="L42" s="33">
        <f t="shared" si="8"/>
        <v>0</v>
      </c>
      <c r="M42" s="35">
        <f t="shared" si="9"/>
        <v>0</v>
      </c>
    </row>
    <row r="43" spans="1:13" x14ac:dyDescent="0.25">
      <c r="A43" s="20" t="s">
        <v>208</v>
      </c>
      <c r="B43" s="20" t="s">
        <v>10</v>
      </c>
      <c r="C43" s="20" t="s">
        <v>175</v>
      </c>
      <c r="D43" s="20" t="s">
        <v>210</v>
      </c>
      <c r="E43" s="33">
        <v>24.45</v>
      </c>
      <c r="F43" s="33">
        <f t="shared" si="5"/>
        <v>24.45</v>
      </c>
      <c r="G43" s="34">
        <f>IF(AND(catpn_1_SHB_1&gt;0,catpn_1_SHV_51&gt;0),(dagenperjaar1*VLOOKUP(B43,dagsoorttabel1,2,FALSE))/(((dagenperjaar1*VLOOKUP(B43,dagsoorttabel1,2,FALSE))-catfd_1_SHV_51)/catpn_1_SHB_1+catfd_1_SHV_51/catpn_1_SHV_51),0)</f>
        <v>0</v>
      </c>
      <c r="H43" s="20" t="s">
        <v>41</v>
      </c>
      <c r="I43" s="35">
        <f>IF(AND(catpn_1_SHB_1&gt;0,catpn_1_SHV_51&gt;0),(cattf_1_SHB_1*((dagenperjaar1*VLOOKUP(B43,dagsoorttabel1,2,FALSE))-catfd_1_SHV_51)/catpn_1_SHB_1+cattf_1_SHV_51*catfd_1_SHV_51/catpn_1_SHV_51)/(((dagenperjaar1*VLOOKUP(B43,dagsoorttabel1,2,FALSE))-catfd_1_SHV_51)/catpn_1_SHB_1+catfd_1_SHV_51/catpn_1_SHV_51),0)</f>
        <v>0</v>
      </c>
      <c r="J43" s="33">
        <f t="shared" si="6"/>
        <v>0</v>
      </c>
      <c r="K43" s="35">
        <f t="shared" si="7"/>
        <v>0</v>
      </c>
      <c r="L43" s="33">
        <f t="shared" si="8"/>
        <v>0</v>
      </c>
      <c r="M43" s="35">
        <f t="shared" si="9"/>
        <v>0</v>
      </c>
    </row>
    <row r="44" spans="1:13" x14ac:dyDescent="0.25">
      <c r="A44" s="20" t="s">
        <v>208</v>
      </c>
      <c r="B44" s="20" t="s">
        <v>22</v>
      </c>
      <c r="C44" s="20" t="s">
        <v>175</v>
      </c>
      <c r="D44" s="20" t="s">
        <v>210</v>
      </c>
      <c r="E44" s="33">
        <v>7.2000000000000011</v>
      </c>
      <c r="F44" s="33">
        <f t="shared" si="5"/>
        <v>0.73411764705882365</v>
      </c>
      <c r="G44" s="34">
        <f>IF(AND(catpn_1_SHB_1&gt;0,catpn_1_SHV_26&gt;0),(dagenperjaar1*VLOOKUP(B44,dagsoorttabel1,2,FALSE))/(((dagenperjaar1*VLOOKUP(B44,dagsoorttabel1,2,FALSE))-catfd_1_SHV_26)/catpn_1_SHB_1+catfd_1_SHV_26/catpn_1_SHV_26),0)</f>
        <v>0</v>
      </c>
      <c r="H44" s="20" t="s">
        <v>41</v>
      </c>
      <c r="I44" s="35">
        <f>IF(AND(catpn_1_SHB_1&gt;0,catpn_1_SHV_26&gt;0),(cattf_1_SHB_1*((dagenperjaar1*VLOOKUP(B44,dagsoorttabel1,2,FALSE))-catfd_1_SHV_26)/catpn_1_SHB_1+cattf_1_SHV_26*catfd_1_SHV_26/catpn_1_SHV_26)/(((dagenperjaar1*VLOOKUP(B44,dagsoorttabel1,2,FALSE))-catfd_1_SHV_26)/catpn_1_SHB_1+catfd_1_SHV_26/catpn_1_SHV_26),0)</f>
        <v>0</v>
      </c>
      <c r="J44" s="33">
        <f t="shared" si="6"/>
        <v>0</v>
      </c>
      <c r="K44" s="35">
        <f t="shared" si="7"/>
        <v>0</v>
      </c>
      <c r="L44" s="33">
        <f t="shared" si="8"/>
        <v>0</v>
      </c>
      <c r="M44" s="35">
        <f t="shared" si="9"/>
        <v>0</v>
      </c>
    </row>
    <row r="45" spans="1:13" x14ac:dyDescent="0.25">
      <c r="A45" s="20" t="s">
        <v>208</v>
      </c>
      <c r="B45" s="20" t="s">
        <v>20</v>
      </c>
      <c r="C45" s="20" t="s">
        <v>175</v>
      </c>
      <c r="D45" s="20" t="s">
        <v>210</v>
      </c>
      <c r="E45" s="33">
        <v>5.0999999999999996</v>
      </c>
      <c r="F45" s="33">
        <f t="shared" si="5"/>
        <v>0.98</v>
      </c>
      <c r="G45" s="34">
        <f>IF(AND(catpn_1_SHB_1&gt;0,catpn_1_SHV_49&gt;0),(dagenperjaar1*VLOOKUP(B45,dagsoorttabel1,2,FALSE))/(((dagenperjaar1*VLOOKUP(B45,dagsoorttabel1,2,FALSE))-catfd_1_SHV_49)/catpn_1_SHB_1+catfd_1_SHV_49/catpn_1_SHV_49),0)</f>
        <v>0</v>
      </c>
      <c r="H45" s="20" t="s">
        <v>41</v>
      </c>
      <c r="I45" s="35">
        <f>IF(AND(catpn_1_SHB_1&gt;0,catpn_1_SHV_49&gt;0),(cattf_1_SHB_1*((dagenperjaar1*VLOOKUP(B45,dagsoorttabel1,2,FALSE))-catfd_1_SHV_49)/catpn_1_SHB_1+cattf_1_SHV_49*catfd_1_SHV_49/catpn_1_SHV_49)/(((dagenperjaar1*VLOOKUP(B45,dagsoorttabel1,2,FALSE))-catfd_1_SHV_49)/catpn_1_SHB_1+catfd_1_SHV_49/catpn_1_SHV_49),0)</f>
        <v>0</v>
      </c>
      <c r="J45" s="33">
        <f t="shared" si="6"/>
        <v>0</v>
      </c>
      <c r="K45" s="35">
        <f t="shared" si="7"/>
        <v>0</v>
      </c>
      <c r="L45" s="33">
        <f t="shared" si="8"/>
        <v>0</v>
      </c>
      <c r="M45" s="35">
        <f t="shared" si="9"/>
        <v>0</v>
      </c>
    </row>
    <row r="46" spans="1:13" x14ac:dyDescent="0.25">
      <c r="A46" s="20" t="s">
        <v>208</v>
      </c>
      <c r="B46" s="20" t="s">
        <v>19</v>
      </c>
      <c r="C46" s="20" t="s">
        <v>175</v>
      </c>
      <c r="D46" s="20" t="s">
        <v>209</v>
      </c>
      <c r="E46" s="33">
        <v>6.1499999999999995</v>
      </c>
      <c r="F46" s="33">
        <f t="shared" si="5"/>
        <v>1.23</v>
      </c>
      <c r="G46" s="34">
        <f>catpn_1_SHV_51</f>
        <v>0</v>
      </c>
      <c r="H46" s="20" t="s">
        <v>41</v>
      </c>
      <c r="I46" s="35">
        <f>cattf_1_SHV_51</f>
        <v>0</v>
      </c>
      <c r="J46" s="33">
        <f t="shared" si="6"/>
        <v>0</v>
      </c>
      <c r="K46" s="35">
        <f t="shared" si="7"/>
        <v>0</v>
      </c>
      <c r="L46" s="33">
        <f t="shared" si="8"/>
        <v>0</v>
      </c>
      <c r="M46" s="35">
        <f t="shared" si="9"/>
        <v>0</v>
      </c>
    </row>
    <row r="47" spans="1:13" x14ac:dyDescent="0.25">
      <c r="A47" s="20" t="s">
        <v>211</v>
      </c>
      <c r="B47" s="20" t="s">
        <v>11</v>
      </c>
      <c r="C47" s="20" t="s">
        <v>175</v>
      </c>
      <c r="D47" s="20" t="s">
        <v>212</v>
      </c>
      <c r="E47" s="33">
        <v>10</v>
      </c>
      <c r="F47" s="33">
        <f t="shared" si="5"/>
        <v>9.6078431372549016</v>
      </c>
      <c r="G47" s="34">
        <f>IF(AND(catpn_1_THB_1&gt;0,catpn_1_THV_49&gt;0),(dagenperjaar1*VLOOKUP(B47,dagsoorttabel1,2,FALSE))/(((dagenperjaar1*VLOOKUP(B47,dagsoorttabel1,2,FALSE))-catfd_1_THV_49)/catpn_1_THB_1+catfd_1_THV_49/catpn_1_THV_49),0)</f>
        <v>0</v>
      </c>
      <c r="H47" s="20" t="s">
        <v>41</v>
      </c>
      <c r="I47" s="35">
        <f>IF(AND(catpn_1_THB_1&gt;0,catpn_1_THV_49&gt;0),(cattf_1_THB_1*((dagenperjaar1*VLOOKUP(B47,dagsoorttabel1,2,FALSE))-catfd_1_THV_49)/catpn_1_THB_1+cattf_1_THV_49*catfd_1_THV_49/catpn_1_THV_49)/(((dagenperjaar1*VLOOKUP(B47,dagsoorttabel1,2,FALSE))-catfd_1_THV_49)/catpn_1_THB_1+catfd_1_THV_49/catpn_1_THV_49),0)</f>
        <v>0</v>
      </c>
      <c r="J47" s="33">
        <f t="shared" si="6"/>
        <v>0</v>
      </c>
      <c r="K47" s="35">
        <f t="shared" si="7"/>
        <v>0</v>
      </c>
      <c r="L47" s="33">
        <f t="shared" si="8"/>
        <v>0</v>
      </c>
      <c r="M47" s="35">
        <f t="shared" si="9"/>
        <v>0</v>
      </c>
    </row>
    <row r="48" spans="1:13" x14ac:dyDescent="0.25">
      <c r="A48" s="20" t="s">
        <v>211</v>
      </c>
      <c r="B48" s="20" t="s">
        <v>10</v>
      </c>
      <c r="C48" s="20" t="s">
        <v>175</v>
      </c>
      <c r="D48" s="20" t="s">
        <v>212</v>
      </c>
      <c r="E48" s="33">
        <v>66.599999999999994</v>
      </c>
      <c r="F48" s="33">
        <f t="shared" si="5"/>
        <v>66.599999999999994</v>
      </c>
      <c r="G48" s="34">
        <f>IF(AND(catpn_1_THB_1&gt;0,catpn_1_THV_51&gt;0),(dagenperjaar1*VLOOKUP(B48,dagsoorttabel1,2,FALSE))/(((dagenperjaar1*VLOOKUP(B48,dagsoorttabel1,2,FALSE))-catfd_1_THV_51)/catpn_1_THB_1+catfd_1_THV_51/catpn_1_THV_51),0)</f>
        <v>0</v>
      </c>
      <c r="H48" s="20" t="s">
        <v>41</v>
      </c>
      <c r="I48" s="35">
        <f>IF(AND(catpn_1_THB_1&gt;0,catpn_1_THV_51&gt;0),(cattf_1_THB_1*((dagenperjaar1*VLOOKUP(B48,dagsoorttabel1,2,FALSE))-catfd_1_THV_51)/catpn_1_THB_1+cattf_1_THV_51*catfd_1_THV_51/catpn_1_THV_51)/(((dagenperjaar1*VLOOKUP(B48,dagsoorttabel1,2,FALSE))-catfd_1_THV_51)/catpn_1_THB_1+catfd_1_THV_51/catpn_1_THV_51),0)</f>
        <v>0</v>
      </c>
      <c r="J48" s="33">
        <f t="shared" si="6"/>
        <v>0</v>
      </c>
      <c r="K48" s="35">
        <f t="shared" si="7"/>
        <v>0</v>
      </c>
      <c r="L48" s="33">
        <f t="shared" si="8"/>
        <v>0</v>
      </c>
      <c r="M48" s="35">
        <f t="shared" si="9"/>
        <v>0</v>
      </c>
    </row>
    <row r="49" spans="1:13" x14ac:dyDescent="0.25">
      <c r="A49" s="20" t="s">
        <v>213</v>
      </c>
      <c r="B49" s="20" t="s">
        <v>23</v>
      </c>
      <c r="C49" s="20" t="s">
        <v>175</v>
      </c>
      <c r="D49" s="20" t="s">
        <v>214</v>
      </c>
      <c r="E49" s="33">
        <v>27.6</v>
      </c>
      <c r="F49" s="33">
        <f t="shared" si="5"/>
        <v>1.2988235294117647</v>
      </c>
      <c r="G49" s="34">
        <f>IF(AND(catpn_1_VHB_1&gt;0,catpn_1_VHV_12&gt;0),(dagenperjaar1*VLOOKUP(B49,dagsoorttabel1,2,FALSE))/(((dagenperjaar1*VLOOKUP(B49,dagsoorttabel1,2,FALSE))-catfd_1_VHV_12)/catpn_1_VHB_1+catfd_1_VHV_12/catpn_1_VHV_12),0)</f>
        <v>0</v>
      </c>
      <c r="H49" s="20" t="s">
        <v>41</v>
      </c>
      <c r="I49" s="35">
        <f>IF(AND(catpn_1_VHB_1&gt;0,catpn_1_VHV_12&gt;0),(cattf_1_VHB_1*((dagenperjaar1*VLOOKUP(B49,dagsoorttabel1,2,FALSE))-catfd_1_VHV_12)/catpn_1_VHB_1+cattf_1_VHV_12*catfd_1_VHV_12/catpn_1_VHV_12)/(((dagenperjaar1*VLOOKUP(B49,dagsoorttabel1,2,FALSE))-catfd_1_VHV_12)/catpn_1_VHB_1+catfd_1_VHV_12/catpn_1_VHV_12),0)</f>
        <v>0</v>
      </c>
      <c r="J49" s="33">
        <f t="shared" si="6"/>
        <v>0</v>
      </c>
      <c r="K49" s="35">
        <f t="shared" si="7"/>
        <v>0</v>
      </c>
      <c r="L49" s="33">
        <f t="shared" si="8"/>
        <v>0</v>
      </c>
      <c r="M49" s="35">
        <f t="shared" si="9"/>
        <v>0</v>
      </c>
    </row>
    <row r="50" spans="1:13" x14ac:dyDescent="0.25">
      <c r="A50" s="20" t="s">
        <v>213</v>
      </c>
      <c r="B50" s="20" t="s">
        <v>11</v>
      </c>
      <c r="C50" s="20" t="s">
        <v>175</v>
      </c>
      <c r="D50" s="20" t="s">
        <v>214</v>
      </c>
      <c r="E50" s="33">
        <v>643.07000000000005</v>
      </c>
      <c r="F50" s="33">
        <f t="shared" si="5"/>
        <v>617.851568627451</v>
      </c>
      <c r="G50" s="34">
        <f>IF(AND(catpn_1_VHB_1&gt;0,catpn_1_VHV_49&gt;0),(dagenperjaar1*VLOOKUP(B50,dagsoorttabel1,2,FALSE))/(((dagenperjaar1*VLOOKUP(B50,dagsoorttabel1,2,FALSE))-catfd_1_VHV_49)/catpn_1_VHB_1+catfd_1_VHV_49/catpn_1_VHV_49),0)</f>
        <v>0</v>
      </c>
      <c r="H50" s="20" t="s">
        <v>41</v>
      </c>
      <c r="I50" s="35">
        <f>IF(AND(catpn_1_VHB_1&gt;0,catpn_1_VHV_49&gt;0),(cattf_1_VHB_1*((dagenperjaar1*VLOOKUP(B50,dagsoorttabel1,2,FALSE))-catfd_1_VHV_49)/catpn_1_VHB_1+cattf_1_VHV_49*catfd_1_VHV_49/catpn_1_VHV_49)/(((dagenperjaar1*VLOOKUP(B50,dagsoorttabel1,2,FALSE))-catfd_1_VHV_49)/catpn_1_VHB_1+catfd_1_VHV_49/catpn_1_VHV_49),0)</f>
        <v>0</v>
      </c>
      <c r="J50" s="33">
        <f t="shared" si="6"/>
        <v>0</v>
      </c>
      <c r="K50" s="35">
        <f t="shared" si="7"/>
        <v>0</v>
      </c>
      <c r="L50" s="33">
        <f t="shared" si="8"/>
        <v>0</v>
      </c>
      <c r="M50" s="35">
        <f t="shared" si="9"/>
        <v>0</v>
      </c>
    </row>
    <row r="51" spans="1:13" x14ac:dyDescent="0.25">
      <c r="A51" s="20" t="s">
        <v>213</v>
      </c>
      <c r="B51" s="20" t="s">
        <v>10</v>
      </c>
      <c r="C51" s="20" t="s">
        <v>175</v>
      </c>
      <c r="D51" s="20" t="s">
        <v>214</v>
      </c>
      <c r="E51" s="33">
        <v>307.95000000000005</v>
      </c>
      <c r="F51" s="33">
        <f t="shared" si="5"/>
        <v>307.95000000000005</v>
      </c>
      <c r="G51" s="34">
        <f>IF(AND(catpn_1_VHB_1&gt;0,catpn_1_VHV_51&gt;0),(dagenperjaar1*VLOOKUP(B51,dagsoorttabel1,2,FALSE))/(((dagenperjaar1*VLOOKUP(B51,dagsoorttabel1,2,FALSE))-catfd_1_VHV_51)/catpn_1_VHB_1+catfd_1_VHV_51/catpn_1_VHV_51),0)</f>
        <v>0</v>
      </c>
      <c r="H51" s="20" t="s">
        <v>41</v>
      </c>
      <c r="I51" s="35">
        <f>IF(AND(catpn_1_VHB_1&gt;0,catpn_1_VHV_51&gt;0),(cattf_1_VHB_1*((dagenperjaar1*VLOOKUP(B51,dagsoorttabel1,2,FALSE))-catfd_1_VHV_51)/catpn_1_VHB_1+cattf_1_VHV_51*catfd_1_VHV_51/catpn_1_VHV_51)/(((dagenperjaar1*VLOOKUP(B51,dagsoorttabel1,2,FALSE))-catfd_1_VHV_51)/catpn_1_VHB_1+catfd_1_VHV_51/catpn_1_VHV_51),0)</f>
        <v>0</v>
      </c>
      <c r="J51" s="33">
        <f t="shared" si="6"/>
        <v>0</v>
      </c>
      <c r="K51" s="35">
        <f t="shared" si="7"/>
        <v>0</v>
      </c>
      <c r="L51" s="33">
        <f t="shared" si="8"/>
        <v>0</v>
      </c>
      <c r="M51" s="35">
        <f t="shared" si="9"/>
        <v>0</v>
      </c>
    </row>
    <row r="52" spans="1:13" x14ac:dyDescent="0.25">
      <c r="A52" s="20" t="s">
        <v>213</v>
      </c>
      <c r="B52" s="20" t="s">
        <v>22</v>
      </c>
      <c r="C52" s="20" t="s">
        <v>175</v>
      </c>
      <c r="D52" s="20" t="s">
        <v>214</v>
      </c>
      <c r="E52" s="33">
        <v>115.65</v>
      </c>
      <c r="F52" s="33">
        <f t="shared" si="5"/>
        <v>11.791764705882354</v>
      </c>
      <c r="G52" s="34">
        <f>IF(AND(catpn_1_VHB_1&gt;0,catpn_1_VHV_26&gt;0),(dagenperjaar1*VLOOKUP(B52,dagsoorttabel1,2,FALSE))/(((dagenperjaar1*VLOOKUP(B52,dagsoorttabel1,2,FALSE))-catfd_1_VHV_26)/catpn_1_VHB_1+catfd_1_VHV_26/catpn_1_VHV_26),0)</f>
        <v>0</v>
      </c>
      <c r="H52" s="20" t="s">
        <v>41</v>
      </c>
      <c r="I52" s="35">
        <f>IF(AND(catpn_1_VHB_1&gt;0,catpn_1_VHV_26&gt;0),(cattf_1_VHB_1*((dagenperjaar1*VLOOKUP(B52,dagsoorttabel1,2,FALSE))-catfd_1_VHV_26)/catpn_1_VHB_1+cattf_1_VHV_26*catfd_1_VHV_26/catpn_1_VHV_26)/(((dagenperjaar1*VLOOKUP(B52,dagsoorttabel1,2,FALSE))-catfd_1_VHV_26)/catpn_1_VHB_1+catfd_1_VHV_26/catpn_1_VHV_26),0)</f>
        <v>0</v>
      </c>
      <c r="J52" s="33">
        <f t="shared" si="6"/>
        <v>0</v>
      </c>
      <c r="K52" s="35">
        <f t="shared" si="7"/>
        <v>0</v>
      </c>
      <c r="L52" s="33">
        <f t="shared" si="8"/>
        <v>0</v>
      </c>
      <c r="M52" s="35">
        <f t="shared" si="9"/>
        <v>0</v>
      </c>
    </row>
    <row r="53" spans="1:13" x14ac:dyDescent="0.25">
      <c r="A53" s="20" t="s">
        <v>213</v>
      </c>
      <c r="B53" s="20" t="s">
        <v>20</v>
      </c>
      <c r="C53" s="20" t="s">
        <v>175</v>
      </c>
      <c r="D53" s="20" t="s">
        <v>214</v>
      </c>
      <c r="E53" s="33">
        <v>104.4</v>
      </c>
      <c r="F53" s="33">
        <f t="shared" si="5"/>
        <v>20.061176470588236</v>
      </c>
      <c r="G53" s="34">
        <f>IF(AND(catpn_1_VHB_1&gt;0,catpn_1_VHV_49&gt;0),(dagenperjaar1*VLOOKUP(B53,dagsoorttabel1,2,FALSE))/(((dagenperjaar1*VLOOKUP(B53,dagsoorttabel1,2,FALSE))-catfd_1_VHV_49)/catpn_1_VHB_1+catfd_1_VHV_49/catpn_1_VHV_49),0)</f>
        <v>0</v>
      </c>
      <c r="H53" s="20" t="s">
        <v>41</v>
      </c>
      <c r="I53" s="35">
        <f>IF(AND(catpn_1_VHB_1&gt;0,catpn_1_VHV_49&gt;0),(cattf_1_VHB_1*((dagenperjaar1*VLOOKUP(B53,dagsoorttabel1,2,FALSE))-catfd_1_VHV_49)/catpn_1_VHB_1+cattf_1_VHV_49*catfd_1_VHV_49/catpn_1_VHV_49)/(((dagenperjaar1*VLOOKUP(B53,dagsoorttabel1,2,FALSE))-catfd_1_VHV_49)/catpn_1_VHB_1+catfd_1_VHV_49/catpn_1_VHV_49),0)</f>
        <v>0</v>
      </c>
      <c r="J53" s="33">
        <f t="shared" si="6"/>
        <v>0</v>
      </c>
      <c r="K53" s="35">
        <f t="shared" si="7"/>
        <v>0</v>
      </c>
      <c r="L53" s="33">
        <f t="shared" si="8"/>
        <v>0</v>
      </c>
      <c r="M53" s="35">
        <f t="shared" si="9"/>
        <v>0</v>
      </c>
    </row>
    <row r="54" spans="1:13" x14ac:dyDescent="0.25">
      <c r="A54" s="20" t="s">
        <v>213</v>
      </c>
      <c r="B54" s="20" t="s">
        <v>9</v>
      </c>
      <c r="C54" s="20" t="s">
        <v>175</v>
      </c>
      <c r="D54" s="20" t="s">
        <v>214</v>
      </c>
      <c r="E54" s="33">
        <v>42.150000000000006</v>
      </c>
      <c r="F54" s="33">
        <f t="shared" si="5"/>
        <v>42.150000000000006</v>
      </c>
      <c r="G54" s="34">
        <f>IF(AND(catpn_1_VHB_1&gt;0,catpn_1_VHV_51&gt;0),(dagenperjaar1*VLOOKUP(B54,dagsoorttabel1,2,FALSE))/(((dagenperjaar1*VLOOKUP(B54,dagsoorttabel1,2,FALSE))-catfd_1_VHV_51)/catpn_1_VHB_1+catfd_1_VHV_51/catpn_1_VHV_51),0)</f>
        <v>0</v>
      </c>
      <c r="H54" s="20" t="s">
        <v>41</v>
      </c>
      <c r="I54" s="35">
        <f>IF(AND(catpn_1_VHB_1&gt;0,catpn_1_VHV_51&gt;0),(cattf_1_VHB_1*((dagenperjaar1*VLOOKUP(B54,dagsoorttabel1,2,FALSE))-catfd_1_VHV_51)/catpn_1_VHB_1+cattf_1_VHV_51*catfd_1_VHV_51/catpn_1_VHV_51)/(((dagenperjaar1*VLOOKUP(B54,dagsoorttabel1,2,FALSE))-catfd_1_VHV_51)/catpn_1_VHB_1+catfd_1_VHV_51/catpn_1_VHV_51),0)</f>
        <v>0</v>
      </c>
      <c r="J54" s="33">
        <f t="shared" si="6"/>
        <v>0</v>
      </c>
      <c r="K54" s="35">
        <f t="shared" si="7"/>
        <v>0</v>
      </c>
      <c r="L54" s="33">
        <f t="shared" si="8"/>
        <v>0</v>
      </c>
      <c r="M54" s="35">
        <f t="shared" si="9"/>
        <v>0</v>
      </c>
    </row>
    <row r="55" spans="1:13" x14ac:dyDescent="0.25">
      <c r="A55" s="20" t="s">
        <v>215</v>
      </c>
      <c r="B55" s="20" t="s">
        <v>11</v>
      </c>
      <c r="C55" s="20" t="s">
        <v>175</v>
      </c>
      <c r="D55" s="20" t="s">
        <v>216</v>
      </c>
      <c r="E55" s="33">
        <v>41</v>
      </c>
      <c r="F55" s="33">
        <f t="shared" si="5"/>
        <v>39.392156862745097</v>
      </c>
      <c r="G55" s="34">
        <f>IF(AND(catpn_1_VZB_1&gt;0,catpn_1_VZV_49&gt;0),(dagenperjaar1*VLOOKUP(B55,dagsoorttabel1,2,FALSE))/(((dagenperjaar1*VLOOKUP(B55,dagsoorttabel1,2,FALSE))-catfd_1_VZV_49)/catpn_1_VZB_1+catfd_1_VZV_49/catpn_1_VZV_49),0)</f>
        <v>0</v>
      </c>
      <c r="H55" s="20" t="s">
        <v>41</v>
      </c>
      <c r="I55" s="35">
        <f>IF(AND(catpn_1_VZB_1&gt;0,catpn_1_VZV_49&gt;0),(cattf_1_VZB_1*((dagenperjaar1*VLOOKUP(B55,dagsoorttabel1,2,FALSE))-catfd_1_VZV_49)/catpn_1_VZB_1+cattf_1_VZV_49*catfd_1_VZV_49/catpn_1_VZV_49)/(((dagenperjaar1*VLOOKUP(B55,dagsoorttabel1,2,FALSE))-catfd_1_VZV_49)/catpn_1_VZB_1+catfd_1_VZV_49/catpn_1_VZV_49),0)</f>
        <v>0</v>
      </c>
      <c r="J55" s="33">
        <f t="shared" si="6"/>
        <v>0</v>
      </c>
      <c r="K55" s="35">
        <f t="shared" si="7"/>
        <v>0</v>
      </c>
      <c r="L55" s="33">
        <f t="shared" si="8"/>
        <v>0</v>
      </c>
      <c r="M55" s="35">
        <f t="shared" si="9"/>
        <v>0</v>
      </c>
    </row>
    <row r="56" spans="1:13" x14ac:dyDescent="0.25">
      <c r="A56" s="20" t="s">
        <v>215</v>
      </c>
      <c r="B56" s="20" t="s">
        <v>10</v>
      </c>
      <c r="C56" s="20" t="s">
        <v>175</v>
      </c>
      <c r="D56" s="20" t="s">
        <v>216</v>
      </c>
      <c r="E56" s="33">
        <v>10.7</v>
      </c>
      <c r="F56" s="33">
        <f t="shared" si="5"/>
        <v>10.7</v>
      </c>
      <c r="G56" s="34">
        <f>IF(AND(catpn_1_VZB_1&gt;0,catpn_1_VZV_51&gt;0),(dagenperjaar1*VLOOKUP(B56,dagsoorttabel1,2,FALSE))/(((dagenperjaar1*VLOOKUP(B56,dagsoorttabel1,2,FALSE))-catfd_1_VZV_51)/catpn_1_VZB_1+catfd_1_VZV_51/catpn_1_VZV_51),0)</f>
        <v>0</v>
      </c>
      <c r="H56" s="20" t="s">
        <v>41</v>
      </c>
      <c r="I56" s="35">
        <f>IF(AND(catpn_1_VZB_1&gt;0,catpn_1_VZV_51&gt;0),(cattf_1_VZB_1*((dagenperjaar1*VLOOKUP(B56,dagsoorttabel1,2,FALSE))-catfd_1_VZV_51)/catpn_1_VZB_1+cattf_1_VZV_51*catfd_1_VZV_51/catpn_1_VZV_51)/(((dagenperjaar1*VLOOKUP(B56,dagsoorttabel1,2,FALSE))-catfd_1_VZV_51)/catpn_1_VZB_1+catfd_1_VZV_51/catpn_1_VZV_51),0)</f>
        <v>0</v>
      </c>
      <c r="J56" s="33">
        <f t="shared" si="6"/>
        <v>0</v>
      </c>
      <c r="K56" s="35">
        <f t="shared" si="7"/>
        <v>0</v>
      </c>
      <c r="L56" s="33">
        <f t="shared" si="8"/>
        <v>0</v>
      </c>
      <c r="M56" s="35">
        <f t="shared" si="9"/>
        <v>0</v>
      </c>
    </row>
    <row r="57" spans="1:13" x14ac:dyDescent="0.25">
      <c r="A57" s="20" t="s">
        <v>217</v>
      </c>
      <c r="B57" s="20" t="s">
        <v>10</v>
      </c>
      <c r="C57" s="20" t="s">
        <v>175</v>
      </c>
      <c r="D57" s="20" t="s">
        <v>218</v>
      </c>
      <c r="E57" s="33">
        <v>14</v>
      </c>
      <c r="F57" s="33">
        <f t="shared" si="5"/>
        <v>14</v>
      </c>
      <c r="G57" s="34">
        <f>IF(AND(catpn_1_WZB_1&gt;0,catpn_1_WZV_51&gt;0),(dagenperjaar1*VLOOKUP(B57,dagsoorttabel1,2,FALSE))/(((dagenperjaar1*VLOOKUP(B57,dagsoorttabel1,2,FALSE))-catfd_1_WZV_51)/catpn_1_WZB_1+catfd_1_WZV_51/catpn_1_WZV_51),0)</f>
        <v>0</v>
      </c>
      <c r="H57" s="20" t="s">
        <v>41</v>
      </c>
      <c r="I57" s="35">
        <f>IF(AND(catpn_1_WZB_1&gt;0,catpn_1_WZV_51&gt;0),(cattf_1_WZB_1*((dagenperjaar1*VLOOKUP(B57,dagsoorttabel1,2,FALSE))-catfd_1_WZV_51)/catpn_1_WZB_1+cattf_1_WZV_51*catfd_1_WZV_51/catpn_1_WZV_51)/(((dagenperjaar1*VLOOKUP(B57,dagsoorttabel1,2,FALSE))-catfd_1_WZV_51)/catpn_1_WZB_1+catfd_1_WZV_51/catpn_1_WZV_51),0)</f>
        <v>0</v>
      </c>
      <c r="J57" s="33">
        <f t="shared" si="6"/>
        <v>0</v>
      </c>
      <c r="K57" s="35">
        <f t="shared" si="7"/>
        <v>0</v>
      </c>
      <c r="L57" s="33">
        <f t="shared" si="8"/>
        <v>0</v>
      </c>
      <c r="M57" s="35">
        <f t="shared" si="9"/>
        <v>0</v>
      </c>
    </row>
    <row r="58" spans="1:13" x14ac:dyDescent="0.25">
      <c r="A58" s="20" t="s">
        <v>219</v>
      </c>
      <c r="B58" s="20" t="s">
        <v>11</v>
      </c>
      <c r="C58" s="20" t="s">
        <v>175</v>
      </c>
      <c r="D58" s="20" t="s">
        <v>220</v>
      </c>
      <c r="E58" s="33">
        <v>17.650000000000002</v>
      </c>
      <c r="F58" s="33">
        <f t="shared" si="5"/>
        <v>16.957843137254905</v>
      </c>
      <c r="G58" s="34">
        <f>IF(AND(catpn_1_ZDHB_1&gt;0,catpn_1_ZDHV_49&gt;0),(dagenperjaar1*VLOOKUP(B58,dagsoorttabel1,2,FALSE))/(((dagenperjaar1*VLOOKUP(B58,dagsoorttabel1,2,FALSE))-catfd_1_ZDHV_49)/catpn_1_ZDHB_1+catfd_1_ZDHV_49/catpn_1_ZDHV_49),0)</f>
        <v>0</v>
      </c>
      <c r="H58" s="20" t="s">
        <v>41</v>
      </c>
      <c r="I58" s="35">
        <f>IF(AND(catpn_1_ZDHB_1&gt;0,catpn_1_ZDHV_49&gt;0),(cattf_1_ZDHB_1*((dagenperjaar1*VLOOKUP(B58,dagsoorttabel1,2,FALSE))-catfd_1_ZDHV_49)/catpn_1_ZDHB_1+cattf_1_ZDHV_49*catfd_1_ZDHV_49/catpn_1_ZDHV_49)/(((dagenperjaar1*VLOOKUP(B58,dagsoorttabel1,2,FALSE))-catfd_1_ZDHV_49)/catpn_1_ZDHB_1+catfd_1_ZDHV_49/catpn_1_ZDHV_49),0)</f>
        <v>0</v>
      </c>
      <c r="J58" s="33">
        <f t="shared" si="6"/>
        <v>0</v>
      </c>
      <c r="K58" s="35">
        <f t="shared" si="7"/>
        <v>0</v>
      </c>
      <c r="L58" s="33">
        <f t="shared" si="8"/>
        <v>0</v>
      </c>
      <c r="M58" s="35">
        <f t="shared" si="9"/>
        <v>0</v>
      </c>
    </row>
    <row r="59" spans="1:13" x14ac:dyDescent="0.25">
      <c r="A59" s="20" t="s">
        <v>221</v>
      </c>
      <c r="B59" s="20" t="s">
        <v>11</v>
      </c>
      <c r="C59" s="20" t="s">
        <v>175</v>
      </c>
      <c r="D59" s="20" t="s">
        <v>222</v>
      </c>
      <c r="E59" s="33">
        <v>173.95000000000002</v>
      </c>
      <c r="F59" s="33">
        <f t="shared" si="5"/>
        <v>167.12843137254904</v>
      </c>
      <c r="G59" s="34">
        <f>IF(AND(catpn_1_ZKHB_1&gt;0,catpn_1_ZKHV_49&gt;0),(dagenperjaar1*VLOOKUP(B59,dagsoorttabel1,2,FALSE))/(((dagenperjaar1*VLOOKUP(B59,dagsoorttabel1,2,FALSE))-catfd_1_ZKHV_49)/catpn_1_ZKHB_1+catfd_1_ZKHV_49/catpn_1_ZKHV_49),0)</f>
        <v>0</v>
      </c>
      <c r="H59" s="20" t="s">
        <v>41</v>
      </c>
      <c r="I59" s="35">
        <f>IF(AND(catpn_1_ZKHB_1&gt;0,catpn_1_ZKHV_49&gt;0),(cattf_1_ZKHB_1*((dagenperjaar1*VLOOKUP(B59,dagsoorttabel1,2,FALSE))-catfd_1_ZKHV_49)/catpn_1_ZKHB_1+cattf_1_ZKHV_49*catfd_1_ZKHV_49/catpn_1_ZKHV_49)/(((dagenperjaar1*VLOOKUP(B59,dagsoorttabel1,2,FALSE))-catfd_1_ZKHV_49)/catpn_1_ZKHB_1+catfd_1_ZKHV_49/catpn_1_ZKHV_49),0)</f>
        <v>0</v>
      </c>
      <c r="J59" s="33">
        <f t="shared" si="6"/>
        <v>0</v>
      </c>
      <c r="K59" s="35">
        <f t="shared" si="7"/>
        <v>0</v>
      </c>
      <c r="L59" s="33">
        <f t="shared" si="8"/>
        <v>0</v>
      </c>
      <c r="M59" s="35">
        <f t="shared" si="9"/>
        <v>0</v>
      </c>
    </row>
    <row r="60" spans="1:13" x14ac:dyDescent="0.25">
      <c r="A60" s="20" t="s">
        <v>223</v>
      </c>
      <c r="B60" s="20" t="s">
        <v>11</v>
      </c>
      <c r="C60" s="20" t="s">
        <v>175</v>
      </c>
      <c r="D60" s="20" t="s">
        <v>224</v>
      </c>
      <c r="E60" s="33">
        <v>375.35</v>
      </c>
      <c r="F60" s="33">
        <f t="shared" si="5"/>
        <v>360.6303921568628</v>
      </c>
      <c r="G60" s="34">
        <f>IF(AND(catpn_1_ZSHB_1&gt;0,catpn_1_ZSHV_49&gt;0),(dagenperjaar1*VLOOKUP(B60,dagsoorttabel1,2,FALSE))/(((dagenperjaar1*VLOOKUP(B60,dagsoorttabel1,2,FALSE))-catfd_1_ZSHV_49)/catpn_1_ZSHB_1+catfd_1_ZSHV_49/catpn_1_ZSHV_49),0)</f>
        <v>0</v>
      </c>
      <c r="H60" s="20" t="s">
        <v>41</v>
      </c>
      <c r="I60" s="35">
        <f>IF(AND(catpn_1_ZSHB_1&gt;0,catpn_1_ZSHV_49&gt;0),(cattf_1_ZSHB_1*((dagenperjaar1*VLOOKUP(B60,dagsoorttabel1,2,FALSE))-catfd_1_ZSHV_49)/catpn_1_ZSHB_1+cattf_1_ZSHV_49*catfd_1_ZSHV_49/catpn_1_ZSHV_49)/(((dagenperjaar1*VLOOKUP(B60,dagsoorttabel1,2,FALSE))-catfd_1_ZSHV_49)/catpn_1_ZSHB_1+catfd_1_ZSHV_49/catpn_1_ZSHV_49),0)</f>
        <v>0</v>
      </c>
      <c r="J60" s="33">
        <f t="shared" si="6"/>
        <v>0</v>
      </c>
      <c r="K60" s="35">
        <f t="shared" si="7"/>
        <v>0</v>
      </c>
      <c r="L60" s="33">
        <f t="shared" si="8"/>
        <v>0</v>
      </c>
      <c r="M60" s="35">
        <f t="shared" si="9"/>
        <v>0</v>
      </c>
    </row>
    <row r="61" spans="1:13" x14ac:dyDescent="0.25">
      <c r="A61" s="20" t="s">
        <v>225</v>
      </c>
      <c r="B61" s="20" t="s">
        <v>11</v>
      </c>
      <c r="C61" s="20" t="s">
        <v>175</v>
      </c>
      <c r="D61" s="20" t="s">
        <v>226</v>
      </c>
      <c r="E61" s="33">
        <v>189.64999999999998</v>
      </c>
      <c r="F61" s="33">
        <f t="shared" si="5"/>
        <v>182.21274509803919</v>
      </c>
      <c r="G61" s="34">
        <f>IF(AND(catpn_1_ZVHB_1&gt;0,catpn_1_ZVHV_49&gt;0),(dagenperjaar1*VLOOKUP(B61,dagsoorttabel1,2,FALSE))/(((dagenperjaar1*VLOOKUP(B61,dagsoorttabel1,2,FALSE))-catfd_1_ZVHV_49)/catpn_1_ZVHB_1+catfd_1_ZVHV_49/catpn_1_ZVHV_49),0)</f>
        <v>0</v>
      </c>
      <c r="H61" s="20" t="s">
        <v>41</v>
      </c>
      <c r="I61" s="35">
        <f>IF(AND(catpn_1_ZVHB_1&gt;0,catpn_1_ZVHV_49&gt;0),(cattf_1_ZVHB_1*((dagenperjaar1*VLOOKUP(B61,dagsoorttabel1,2,FALSE))-catfd_1_ZVHV_49)/catpn_1_ZVHB_1+cattf_1_ZVHV_49*catfd_1_ZVHV_49/catpn_1_ZVHV_49)/(((dagenperjaar1*VLOOKUP(B61,dagsoorttabel1,2,FALSE))-catfd_1_ZVHV_49)/catpn_1_ZVHB_1+catfd_1_ZVHV_49/catpn_1_ZVHV_49),0)</f>
        <v>0</v>
      </c>
      <c r="J61" s="33">
        <f t="shared" si="6"/>
        <v>0</v>
      </c>
      <c r="K61" s="35">
        <f t="shared" si="7"/>
        <v>0</v>
      </c>
      <c r="L61" s="33">
        <f t="shared" si="8"/>
        <v>0</v>
      </c>
      <c r="M61" s="35">
        <f t="shared" si="9"/>
        <v>0</v>
      </c>
    </row>
    <row r="62" spans="1:13" x14ac:dyDescent="0.25">
      <c r="A62" s="20" t="s">
        <v>227</v>
      </c>
      <c r="B62" s="20" t="s">
        <v>28</v>
      </c>
      <c r="C62" s="20" t="s">
        <v>228</v>
      </c>
      <c r="D62" s="20" t="s">
        <v>229</v>
      </c>
      <c r="E62" s="33">
        <v>5</v>
      </c>
      <c r="F62" s="33">
        <f t="shared" si="5"/>
        <v>1.9607843137254902E-2</v>
      </c>
      <c r="G62" s="36"/>
      <c r="H62" s="20" t="s">
        <v>230</v>
      </c>
      <c r="I62" s="24"/>
      <c r="J62" s="33">
        <f>F62*ROUND(G62,4)/60</f>
        <v>0</v>
      </c>
      <c r="K62" s="35">
        <f t="shared" si="7"/>
        <v>0</v>
      </c>
      <c r="L62" s="33">
        <f t="shared" si="8"/>
        <v>0</v>
      </c>
      <c r="M62" s="35">
        <f t="shared" si="9"/>
        <v>0</v>
      </c>
    </row>
    <row r="63" spans="1:13" x14ac:dyDescent="0.25">
      <c r="A63" s="20" t="s">
        <v>231</v>
      </c>
      <c r="B63" s="20" t="s">
        <v>27</v>
      </c>
      <c r="C63" s="20" t="s">
        <v>228</v>
      </c>
      <c r="D63" s="20" t="s">
        <v>232</v>
      </c>
      <c r="E63" s="33">
        <v>400</v>
      </c>
      <c r="F63" s="33">
        <f t="shared" si="5"/>
        <v>3.1372549019607843</v>
      </c>
      <c r="G63" s="36"/>
      <c r="H63" s="20" t="s">
        <v>41</v>
      </c>
      <c r="I63" s="24"/>
      <c r="J63" s="33">
        <f>IF(OR(ISBLANK(G63),G63=0),0,F63/ROUND(G63,4))</f>
        <v>0</v>
      </c>
      <c r="K63" s="35">
        <f t="shared" si="7"/>
        <v>0</v>
      </c>
      <c r="L63" s="33">
        <f t="shared" si="8"/>
        <v>0</v>
      </c>
      <c r="M63" s="35">
        <f t="shared" si="9"/>
        <v>0</v>
      </c>
    </row>
    <row r="64" spans="1:13" x14ac:dyDescent="0.25">
      <c r="A64" s="20" t="s">
        <v>233</v>
      </c>
      <c r="B64" s="20" t="s">
        <v>23</v>
      </c>
      <c r="C64" s="20" t="s">
        <v>228</v>
      </c>
      <c r="D64" s="20" t="s">
        <v>234</v>
      </c>
      <c r="E64" s="33">
        <v>5</v>
      </c>
      <c r="F64" s="33">
        <f t="shared" si="5"/>
        <v>0.23529411764705882</v>
      </c>
      <c r="G64" s="36"/>
      <c r="H64" s="20" t="s">
        <v>230</v>
      </c>
      <c r="I64" s="24"/>
      <c r="J64" s="33">
        <f>F64*ROUND(G64,4)/60</f>
        <v>0</v>
      </c>
      <c r="K64" s="35">
        <f t="shared" si="7"/>
        <v>0</v>
      </c>
      <c r="L64" s="33">
        <f t="shared" si="8"/>
        <v>0</v>
      </c>
      <c r="M64" s="35">
        <f t="shared" si="9"/>
        <v>0</v>
      </c>
    </row>
    <row r="65" spans="1:13" x14ac:dyDescent="0.25">
      <c r="A65" s="20" t="s">
        <v>235</v>
      </c>
      <c r="B65" s="20" t="s">
        <v>17</v>
      </c>
      <c r="C65" s="20" t="s">
        <v>228</v>
      </c>
      <c r="D65" s="20" t="s">
        <v>236</v>
      </c>
      <c r="E65" s="33">
        <v>44.58</v>
      </c>
      <c r="F65" s="33">
        <f t="shared" si="5"/>
        <v>17.132705882352941</v>
      </c>
      <c r="G65" s="36"/>
      <c r="H65" s="20" t="s">
        <v>41</v>
      </c>
      <c r="I65" s="24"/>
      <c r="J65" s="33">
        <f>IF(OR(ISBLANK(G65),G65=0),0,F65/ROUND(G65,4))</f>
        <v>0</v>
      </c>
      <c r="K65" s="35">
        <f t="shared" si="7"/>
        <v>0</v>
      </c>
      <c r="L65" s="33">
        <f t="shared" si="8"/>
        <v>0</v>
      </c>
      <c r="M65" s="35">
        <f t="shared" si="9"/>
        <v>0</v>
      </c>
    </row>
    <row r="66" spans="1:13" x14ac:dyDescent="0.25">
      <c r="A66" s="20" t="s">
        <v>237</v>
      </c>
      <c r="B66" s="20" t="s">
        <v>23</v>
      </c>
      <c r="C66" s="20" t="s">
        <v>228</v>
      </c>
      <c r="D66" s="20" t="s">
        <v>238</v>
      </c>
      <c r="E66" s="33">
        <v>1</v>
      </c>
      <c r="F66" s="33">
        <f t="shared" si="5"/>
        <v>4.7058823529411764E-2</v>
      </c>
      <c r="G66" s="36"/>
      <c r="H66" s="20" t="s">
        <v>230</v>
      </c>
      <c r="I66" s="24"/>
      <c r="J66" s="33">
        <f>F66*ROUND(G66,4)/60</f>
        <v>0</v>
      </c>
      <c r="K66" s="35">
        <f t="shared" si="7"/>
        <v>0</v>
      </c>
      <c r="L66" s="33">
        <f t="shared" si="8"/>
        <v>0</v>
      </c>
      <c r="M66" s="35">
        <f t="shared" si="9"/>
        <v>0</v>
      </c>
    </row>
    <row r="67" spans="1:13" x14ac:dyDescent="0.25">
      <c r="A67" s="20" t="s">
        <v>239</v>
      </c>
      <c r="B67" s="20" t="s">
        <v>28</v>
      </c>
      <c r="C67" s="20" t="s">
        <v>228</v>
      </c>
      <c r="D67" s="20" t="s">
        <v>240</v>
      </c>
      <c r="E67" s="33">
        <v>1</v>
      </c>
      <c r="F67" s="33">
        <f t="shared" si="5"/>
        <v>3.9215686274509803E-3</v>
      </c>
      <c r="G67" s="36"/>
      <c r="H67" s="20" t="s">
        <v>230</v>
      </c>
      <c r="I67" s="24"/>
      <c r="J67" s="33">
        <f>F67*ROUND(G67,4)/60</f>
        <v>0</v>
      </c>
      <c r="K67" s="35">
        <f t="shared" si="7"/>
        <v>0</v>
      </c>
      <c r="L67" s="33">
        <f t="shared" si="8"/>
        <v>0</v>
      </c>
      <c r="M67" s="35">
        <f t="shared" si="9"/>
        <v>0</v>
      </c>
    </row>
    <row r="68" spans="1:13" x14ac:dyDescent="0.25">
      <c r="A68" s="20" t="s">
        <v>241</v>
      </c>
      <c r="B68" s="20" t="s">
        <v>28</v>
      </c>
      <c r="C68" s="20" t="s">
        <v>228</v>
      </c>
      <c r="D68" s="20" t="s">
        <v>242</v>
      </c>
      <c r="E68" s="33">
        <v>1</v>
      </c>
      <c r="F68" s="33">
        <f t="shared" si="5"/>
        <v>3.9215686274509803E-3</v>
      </c>
      <c r="G68" s="34"/>
      <c r="H68" s="20" t="s">
        <v>243</v>
      </c>
      <c r="I68" s="24"/>
      <c r="J68" s="33" t="s">
        <v>244</v>
      </c>
      <c r="K68" s="35">
        <f>ROUND(I68,2)*F68</f>
        <v>0</v>
      </c>
      <c r="L68" s="33">
        <v>0</v>
      </c>
      <c r="M68" s="35">
        <f>K68*dagenperjaar1</f>
        <v>0</v>
      </c>
    </row>
    <row r="69" spans="1:13" x14ac:dyDescent="0.25">
      <c r="A69" s="25" t="s">
        <v>245</v>
      </c>
      <c r="B69" s="25" t="s">
        <v>19</v>
      </c>
      <c r="C69" s="25" t="s">
        <v>228</v>
      </c>
      <c r="D69" s="25" t="s">
        <v>246</v>
      </c>
      <c r="E69" s="37">
        <v>2</v>
      </c>
      <c r="F69" s="37">
        <f t="shared" si="5"/>
        <v>0.4</v>
      </c>
      <c r="G69" s="38"/>
      <c r="H69" s="25" t="s">
        <v>247</v>
      </c>
      <c r="I69" s="29"/>
      <c r="J69" s="37">
        <f>F69</f>
        <v>0.4</v>
      </c>
      <c r="K69" s="39">
        <f>ROUND(I69,2)*J69</f>
        <v>0</v>
      </c>
      <c r="L69" s="37">
        <f>J69*dagenperjaar1</f>
        <v>102</v>
      </c>
      <c r="M69" s="39">
        <f>L69*ROUND(I69,2)</f>
        <v>0</v>
      </c>
    </row>
    <row r="70" spans="1:13" x14ac:dyDescent="0.25">
      <c r="A70" s="40" t="s">
        <v>248</v>
      </c>
      <c r="B70" s="41"/>
      <c r="C70" s="41"/>
      <c r="D70" s="41"/>
      <c r="E70" s="41"/>
      <c r="F70" s="41"/>
      <c r="G70" s="41"/>
      <c r="H70" s="41"/>
      <c r="I70" s="41"/>
      <c r="J70" s="42">
        <f>SUM(J6:J69)</f>
        <v>0.4</v>
      </c>
      <c r="K70" s="43">
        <f>SUM(K6:K69)</f>
        <v>0</v>
      </c>
      <c r="L70" s="42">
        <f>SUM(L6:L69)</f>
        <v>102</v>
      </c>
      <c r="M70" s="44">
        <f>SUM(M6:M69)</f>
        <v>0</v>
      </c>
    </row>
    <row r="71" spans="1:13" x14ac:dyDescent="0.25">
      <c r="A71" s="45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6"/>
    </row>
    <row r="72" spans="1:13" x14ac:dyDescent="0.25">
      <c r="A72" s="40" t="s">
        <v>249</v>
      </c>
      <c r="B72" s="41"/>
      <c r="C72" s="41"/>
      <c r="D72" s="41"/>
      <c r="E72" s="41"/>
      <c r="F72" s="41"/>
      <c r="G72" s="41"/>
      <c r="H72" s="41"/>
      <c r="I72" s="43">
        <f>IF(urenjaar1&gt;0,SUMIF(L6:L69,"&gt;0",M6:M69)/urenjaar1,0)</f>
        <v>0</v>
      </c>
      <c r="J72" s="41"/>
      <c r="K72" s="41"/>
      <c r="L72" s="41"/>
      <c r="M72" s="46"/>
    </row>
    <row r="73" spans="1:13" x14ac:dyDescent="0.25">
      <c r="A73" s="45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6"/>
    </row>
    <row r="74" spans="1:13" x14ac:dyDescent="0.25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1"/>
    </row>
    <row r="75" spans="1:13" x14ac:dyDescent="0.25">
      <c r="A75" s="12" t="s">
        <v>141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4"/>
    </row>
    <row r="76" spans="1:13" x14ac:dyDescent="0.25">
      <c r="A76" s="15" t="s">
        <v>250</v>
      </c>
      <c r="B76" s="15" t="s">
        <v>20</v>
      </c>
      <c r="C76" s="15" t="s">
        <v>175</v>
      </c>
      <c r="D76" s="15" t="s">
        <v>251</v>
      </c>
      <c r="E76" s="30">
        <v>43.900000000000006</v>
      </c>
      <c r="F76" s="30">
        <f t="shared" ref="F76:F87" si="10">E76*VLOOKUP(B76,dagsoorttabel1,2,FALSE)</f>
        <v>8.4356862745098056</v>
      </c>
      <c r="G76" s="31">
        <f>catpn_3_WDHWB_1</f>
        <v>0</v>
      </c>
      <c r="H76" s="15" t="s">
        <v>41</v>
      </c>
      <c r="I76" s="32">
        <f>cattf_3_WDHWB_1</f>
        <v>0</v>
      </c>
      <c r="J76" s="30">
        <f t="shared" ref="J76:J87" si="11">IF(OR(ISBLANK(G76),G76=0),0,F76/ROUND(G76,4))</f>
        <v>0</v>
      </c>
      <c r="K76" s="32">
        <f t="shared" ref="K76:K87" si="12">ROUND(I76,2)*J76</f>
        <v>0</v>
      </c>
      <c r="L76" s="30">
        <f t="shared" ref="L76:L87" si="13">J76*dagenperjaar1</f>
        <v>0</v>
      </c>
      <c r="M76" s="32">
        <f t="shared" ref="M76:M87" si="14">L76*ROUND(I76,2)</f>
        <v>0</v>
      </c>
    </row>
    <row r="77" spans="1:13" x14ac:dyDescent="0.25">
      <c r="A77" s="20" t="s">
        <v>252</v>
      </c>
      <c r="B77" s="20" t="s">
        <v>20</v>
      </c>
      <c r="C77" s="20" t="s">
        <v>175</v>
      </c>
      <c r="D77" s="20" t="s">
        <v>253</v>
      </c>
      <c r="E77" s="33">
        <v>128.25</v>
      </c>
      <c r="F77" s="33">
        <f t="shared" si="10"/>
        <v>24.644117647058824</v>
      </c>
      <c r="G77" s="34">
        <f>catpn_3_WEHWB_1</f>
        <v>0</v>
      </c>
      <c r="H77" s="20" t="s">
        <v>41</v>
      </c>
      <c r="I77" s="35">
        <f>cattf_3_WEHWB_1</f>
        <v>0</v>
      </c>
      <c r="J77" s="33">
        <f t="shared" si="11"/>
        <v>0</v>
      </c>
      <c r="K77" s="35">
        <f t="shared" si="12"/>
        <v>0</v>
      </c>
      <c r="L77" s="33">
        <f t="shared" si="13"/>
        <v>0</v>
      </c>
      <c r="M77" s="35">
        <f t="shared" si="14"/>
        <v>0</v>
      </c>
    </row>
    <row r="78" spans="1:13" x14ac:dyDescent="0.25">
      <c r="A78" s="20" t="s">
        <v>254</v>
      </c>
      <c r="B78" s="20" t="s">
        <v>20</v>
      </c>
      <c r="C78" s="20" t="s">
        <v>175</v>
      </c>
      <c r="D78" s="20" t="s">
        <v>255</v>
      </c>
      <c r="E78" s="33">
        <v>17.75</v>
      </c>
      <c r="F78" s="33">
        <f t="shared" si="10"/>
        <v>3.4107843137254905</v>
      </c>
      <c r="G78" s="34">
        <f>catpn_3_WEZWB_1</f>
        <v>0</v>
      </c>
      <c r="H78" s="20" t="s">
        <v>41</v>
      </c>
      <c r="I78" s="35">
        <f>cattf_3_WEZWB_1</f>
        <v>0</v>
      </c>
      <c r="J78" s="33">
        <f t="shared" si="11"/>
        <v>0</v>
      </c>
      <c r="K78" s="35">
        <f t="shared" si="12"/>
        <v>0</v>
      </c>
      <c r="L78" s="33">
        <f t="shared" si="13"/>
        <v>0</v>
      </c>
      <c r="M78" s="35">
        <f t="shared" si="14"/>
        <v>0</v>
      </c>
    </row>
    <row r="79" spans="1:13" x14ac:dyDescent="0.25">
      <c r="A79" s="20" t="s">
        <v>256</v>
      </c>
      <c r="B79" s="20" t="s">
        <v>20</v>
      </c>
      <c r="C79" s="20" t="s">
        <v>175</v>
      </c>
      <c r="D79" s="20" t="s">
        <v>257</v>
      </c>
      <c r="E79" s="33">
        <v>756.75</v>
      </c>
      <c r="F79" s="33">
        <f t="shared" si="10"/>
        <v>145.41470588235296</v>
      </c>
      <c r="G79" s="34">
        <f>catpn_3_WGHWB_1</f>
        <v>0</v>
      </c>
      <c r="H79" s="20" t="s">
        <v>41</v>
      </c>
      <c r="I79" s="35">
        <f>cattf_3_WGHWB_1</f>
        <v>0</v>
      </c>
      <c r="J79" s="33">
        <f t="shared" si="11"/>
        <v>0</v>
      </c>
      <c r="K79" s="35">
        <f t="shared" si="12"/>
        <v>0</v>
      </c>
      <c r="L79" s="33">
        <f t="shared" si="13"/>
        <v>0</v>
      </c>
      <c r="M79" s="35">
        <f t="shared" si="14"/>
        <v>0</v>
      </c>
    </row>
    <row r="80" spans="1:13" x14ac:dyDescent="0.25">
      <c r="A80" s="20" t="s">
        <v>258</v>
      </c>
      <c r="B80" s="20" t="s">
        <v>20</v>
      </c>
      <c r="C80" s="20" t="s">
        <v>175</v>
      </c>
      <c r="D80" s="20" t="s">
        <v>259</v>
      </c>
      <c r="E80" s="33">
        <v>98.749999999999986</v>
      </c>
      <c r="F80" s="33">
        <f t="shared" si="10"/>
        <v>18.975490196078429</v>
      </c>
      <c r="G80" s="34">
        <f>catpn_3_WKHWB_1</f>
        <v>0</v>
      </c>
      <c r="H80" s="20" t="s">
        <v>41</v>
      </c>
      <c r="I80" s="35">
        <f>cattf_3_WKHWB_1</f>
        <v>0</v>
      </c>
      <c r="J80" s="33">
        <f t="shared" si="11"/>
        <v>0</v>
      </c>
      <c r="K80" s="35">
        <f t="shared" si="12"/>
        <v>0</v>
      </c>
      <c r="L80" s="33">
        <f t="shared" si="13"/>
        <v>0</v>
      </c>
      <c r="M80" s="35">
        <f t="shared" si="14"/>
        <v>0</v>
      </c>
    </row>
    <row r="81" spans="1:13" x14ac:dyDescent="0.25">
      <c r="A81" s="20" t="s">
        <v>260</v>
      </c>
      <c r="B81" s="20" t="s">
        <v>20</v>
      </c>
      <c r="C81" s="20" t="s">
        <v>175</v>
      </c>
      <c r="D81" s="20" t="s">
        <v>261</v>
      </c>
      <c r="E81" s="33">
        <v>16.899999999999999</v>
      </c>
      <c r="F81" s="33">
        <f t="shared" si="10"/>
        <v>3.247450980392157</v>
      </c>
      <c r="G81" s="34">
        <f>catpn_3_WPHWB_1</f>
        <v>0</v>
      </c>
      <c r="H81" s="20" t="s">
        <v>41</v>
      </c>
      <c r="I81" s="35">
        <f>cattf_3_WPHWB_1</f>
        <v>0</v>
      </c>
      <c r="J81" s="33">
        <f t="shared" si="11"/>
        <v>0</v>
      </c>
      <c r="K81" s="35">
        <f t="shared" si="12"/>
        <v>0</v>
      </c>
      <c r="L81" s="33">
        <f t="shared" si="13"/>
        <v>0</v>
      </c>
      <c r="M81" s="35">
        <f t="shared" si="14"/>
        <v>0</v>
      </c>
    </row>
    <row r="82" spans="1:13" x14ac:dyDescent="0.25">
      <c r="A82" s="20" t="s">
        <v>262</v>
      </c>
      <c r="B82" s="20" t="s">
        <v>20</v>
      </c>
      <c r="C82" s="20" t="s">
        <v>175</v>
      </c>
      <c r="D82" s="20" t="s">
        <v>263</v>
      </c>
      <c r="E82" s="33">
        <v>31.5</v>
      </c>
      <c r="F82" s="33">
        <f t="shared" si="10"/>
        <v>6.0529411764705889</v>
      </c>
      <c r="G82" s="34">
        <f>catpn_3_WSHWB_1</f>
        <v>0</v>
      </c>
      <c r="H82" s="20" t="s">
        <v>41</v>
      </c>
      <c r="I82" s="35">
        <f>cattf_3_WSHWB_1</f>
        <v>0</v>
      </c>
      <c r="J82" s="33">
        <f t="shared" si="11"/>
        <v>0</v>
      </c>
      <c r="K82" s="35">
        <f t="shared" si="12"/>
        <v>0</v>
      </c>
      <c r="L82" s="33">
        <f t="shared" si="13"/>
        <v>0</v>
      </c>
      <c r="M82" s="35">
        <f t="shared" si="14"/>
        <v>0</v>
      </c>
    </row>
    <row r="83" spans="1:13" x14ac:dyDescent="0.25">
      <c r="A83" s="20" t="s">
        <v>264</v>
      </c>
      <c r="B83" s="20" t="s">
        <v>20</v>
      </c>
      <c r="C83" s="20" t="s">
        <v>175</v>
      </c>
      <c r="D83" s="20" t="s">
        <v>265</v>
      </c>
      <c r="E83" s="33">
        <v>371</v>
      </c>
      <c r="F83" s="33">
        <f t="shared" si="10"/>
        <v>71.290196078431379</v>
      </c>
      <c r="G83" s="34">
        <f>catpn_3_WVHWB_1</f>
        <v>0</v>
      </c>
      <c r="H83" s="20" t="s">
        <v>41</v>
      </c>
      <c r="I83" s="35">
        <f>cattf_3_WVHWB_1</f>
        <v>0</v>
      </c>
      <c r="J83" s="33">
        <f t="shared" si="11"/>
        <v>0</v>
      </c>
      <c r="K83" s="35">
        <f t="shared" si="12"/>
        <v>0</v>
      </c>
      <c r="L83" s="33">
        <f t="shared" si="13"/>
        <v>0</v>
      </c>
      <c r="M83" s="35">
        <f t="shared" si="14"/>
        <v>0</v>
      </c>
    </row>
    <row r="84" spans="1:13" x14ac:dyDescent="0.25">
      <c r="A84" s="20" t="s">
        <v>148</v>
      </c>
      <c r="B84" s="20" t="s">
        <v>20</v>
      </c>
      <c r="C84" s="20" t="s">
        <v>175</v>
      </c>
      <c r="D84" s="20" t="s">
        <v>251</v>
      </c>
      <c r="E84" s="33">
        <v>17.650000000000002</v>
      </c>
      <c r="F84" s="33">
        <f t="shared" si="10"/>
        <v>3.3915686274509809</v>
      </c>
      <c r="G84" s="34">
        <f>catpn_3_WZDHW_1</f>
        <v>0</v>
      </c>
      <c r="H84" s="20" t="s">
        <v>41</v>
      </c>
      <c r="I84" s="35">
        <f>cattf_3_WZDHW_1</f>
        <v>0</v>
      </c>
      <c r="J84" s="33">
        <f t="shared" si="11"/>
        <v>0</v>
      </c>
      <c r="K84" s="35">
        <f t="shared" si="12"/>
        <v>0</v>
      </c>
      <c r="L84" s="33">
        <f t="shared" si="13"/>
        <v>0</v>
      </c>
      <c r="M84" s="35">
        <f t="shared" si="14"/>
        <v>0</v>
      </c>
    </row>
    <row r="85" spans="1:13" x14ac:dyDescent="0.25">
      <c r="A85" s="20" t="s">
        <v>150</v>
      </c>
      <c r="B85" s="20" t="s">
        <v>20</v>
      </c>
      <c r="C85" s="20" t="s">
        <v>175</v>
      </c>
      <c r="D85" s="20" t="s">
        <v>259</v>
      </c>
      <c r="E85" s="33">
        <v>19.3</v>
      </c>
      <c r="F85" s="33">
        <f t="shared" si="10"/>
        <v>3.7086274509803925</v>
      </c>
      <c r="G85" s="34">
        <f>catpn_3_WZKHW_1</f>
        <v>0</v>
      </c>
      <c r="H85" s="20" t="s">
        <v>41</v>
      </c>
      <c r="I85" s="35">
        <f>cattf_3_WZKHW_1</f>
        <v>0</v>
      </c>
      <c r="J85" s="33">
        <f t="shared" si="11"/>
        <v>0</v>
      </c>
      <c r="K85" s="35">
        <f t="shared" si="12"/>
        <v>0</v>
      </c>
      <c r="L85" s="33">
        <f t="shared" si="13"/>
        <v>0</v>
      </c>
      <c r="M85" s="35">
        <f t="shared" si="14"/>
        <v>0</v>
      </c>
    </row>
    <row r="86" spans="1:13" x14ac:dyDescent="0.25">
      <c r="A86" s="20" t="s">
        <v>152</v>
      </c>
      <c r="B86" s="20" t="s">
        <v>20</v>
      </c>
      <c r="C86" s="20" t="s">
        <v>175</v>
      </c>
      <c r="D86" s="20" t="s">
        <v>263</v>
      </c>
      <c r="E86" s="33">
        <v>375.35</v>
      </c>
      <c r="F86" s="33">
        <f t="shared" si="10"/>
        <v>72.126078431372562</v>
      </c>
      <c r="G86" s="34">
        <f>catpn_3_WZSHW_1</f>
        <v>0</v>
      </c>
      <c r="H86" s="20" t="s">
        <v>41</v>
      </c>
      <c r="I86" s="35">
        <f>cattf_3_WZSHW_1</f>
        <v>0</v>
      </c>
      <c r="J86" s="33">
        <f t="shared" si="11"/>
        <v>0</v>
      </c>
      <c r="K86" s="35">
        <f t="shared" si="12"/>
        <v>0</v>
      </c>
      <c r="L86" s="33">
        <f t="shared" si="13"/>
        <v>0</v>
      </c>
      <c r="M86" s="35">
        <f t="shared" si="14"/>
        <v>0</v>
      </c>
    </row>
    <row r="87" spans="1:13" x14ac:dyDescent="0.25">
      <c r="A87" s="25" t="s">
        <v>164</v>
      </c>
      <c r="B87" s="25" t="s">
        <v>20</v>
      </c>
      <c r="C87" s="25" t="s">
        <v>175</v>
      </c>
      <c r="D87" s="25" t="s">
        <v>265</v>
      </c>
      <c r="E87" s="37">
        <v>72.099999999999994</v>
      </c>
      <c r="F87" s="37">
        <f t="shared" si="10"/>
        <v>13.854509803921568</v>
      </c>
      <c r="G87" s="38">
        <f>catpn_3_WZVHW_1</f>
        <v>0</v>
      </c>
      <c r="H87" s="25" t="s">
        <v>41</v>
      </c>
      <c r="I87" s="39">
        <f>cattf_3_WZVHW_1</f>
        <v>0</v>
      </c>
      <c r="J87" s="37">
        <f t="shared" si="11"/>
        <v>0</v>
      </c>
      <c r="K87" s="39">
        <f t="shared" si="12"/>
        <v>0</v>
      </c>
      <c r="L87" s="37">
        <f t="shared" si="13"/>
        <v>0</v>
      </c>
      <c r="M87" s="39">
        <f t="shared" si="14"/>
        <v>0</v>
      </c>
    </row>
    <row r="88" spans="1:13" x14ac:dyDescent="0.25">
      <c r="A88" s="40" t="s">
        <v>266</v>
      </c>
      <c r="B88" s="41"/>
      <c r="C88" s="41"/>
      <c r="D88" s="41"/>
      <c r="E88" s="41"/>
      <c r="F88" s="41"/>
      <c r="G88" s="41"/>
      <c r="H88" s="41"/>
      <c r="I88" s="41"/>
      <c r="J88" s="42">
        <f>SUM(J76:J87)</f>
        <v>0</v>
      </c>
      <c r="K88" s="43">
        <f>SUM(K76:K87)</f>
        <v>0</v>
      </c>
      <c r="L88" s="42">
        <f>SUM(L76:L87)</f>
        <v>0</v>
      </c>
      <c r="M88" s="44">
        <f>SUM(M76:M87)</f>
        <v>0</v>
      </c>
    </row>
    <row r="89" spans="1:13" x14ac:dyDescent="0.25">
      <c r="A89" s="45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6"/>
    </row>
    <row r="90" spans="1:13" x14ac:dyDescent="0.25">
      <c r="A90" s="40" t="s">
        <v>267</v>
      </c>
      <c r="B90" s="41"/>
      <c r="C90" s="41"/>
      <c r="D90" s="41"/>
      <c r="E90" s="41"/>
      <c r="F90" s="41"/>
      <c r="G90" s="41"/>
      <c r="H90" s="41"/>
      <c r="I90" s="43">
        <f>IF(urenjaar3&gt;0,SUMIF(L76:L87,"&gt;0",M76:M87)/urenjaar3,0)</f>
        <v>0</v>
      </c>
      <c r="J90" s="41"/>
      <c r="K90" s="41"/>
      <c r="L90" s="41"/>
      <c r="M90" s="46"/>
    </row>
    <row r="91" spans="1:13" x14ac:dyDescent="0.25">
      <c r="A91" s="45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6"/>
    </row>
    <row r="93" spans="1:13" x14ac:dyDescent="0.25">
      <c r="A93" s="40" t="s">
        <v>268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2">
        <f>urenjaar1+urenjaar3</f>
        <v>102</v>
      </c>
      <c r="M93" s="43">
        <f>prijsjaar1+prijsjaar3</f>
        <v>0</v>
      </c>
    </row>
  </sheetData>
  <pageMargins left="0.7" right="0.7" top="0.75" bottom="0.75" header="0.3" footer="0.3"/>
  <pageSetup scale="70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0A35-AC96-4771-8201-F3497C7D663C}">
  <dimension ref="A1:Y83"/>
  <sheetViews>
    <sheetView workbookViewId="0"/>
  </sheetViews>
  <sheetFormatPr defaultRowHeight="15" x14ac:dyDescent="0.25"/>
  <cols>
    <col min="1" max="1" width="5.7109375" customWidth="1"/>
    <col min="2" max="2" width="6.28515625" customWidth="1"/>
    <col min="3" max="3" width="11.7109375" customWidth="1"/>
    <col min="4" max="25" width="12.7109375" customWidth="1"/>
  </cols>
  <sheetData>
    <row r="1" spans="1:25" x14ac:dyDescent="0.25">
      <c r="A1" s="1" t="s">
        <v>269</v>
      </c>
    </row>
    <row r="3" spans="1:25" x14ac:dyDescent="0.25">
      <c r="A3" s="47" t="s">
        <v>166</v>
      </c>
      <c r="B3" s="47" t="s">
        <v>7</v>
      </c>
      <c r="C3" s="47" t="s">
        <v>270</v>
      </c>
      <c r="D3" s="47" t="s">
        <v>271</v>
      </c>
      <c r="E3" s="47" t="s">
        <v>272</v>
      </c>
      <c r="F3" s="47" t="s">
        <v>273</v>
      </c>
      <c r="G3" s="47" t="s">
        <v>274</v>
      </c>
      <c r="H3" s="47" t="s">
        <v>275</v>
      </c>
      <c r="I3" s="47" t="s">
        <v>276</v>
      </c>
      <c r="J3" s="47" t="s">
        <v>277</v>
      </c>
      <c r="K3" s="47" t="s">
        <v>278</v>
      </c>
      <c r="L3" s="47" t="s">
        <v>279</v>
      </c>
      <c r="M3" s="47" t="s">
        <v>280</v>
      </c>
      <c r="N3" s="47" t="s">
        <v>281</v>
      </c>
      <c r="O3" s="47" t="s">
        <v>282</v>
      </c>
      <c r="P3" s="47" t="s">
        <v>283</v>
      </c>
      <c r="Q3" s="47" t="s">
        <v>284</v>
      </c>
      <c r="R3" s="47" t="s">
        <v>285</v>
      </c>
      <c r="S3" s="47" t="s">
        <v>286</v>
      </c>
      <c r="T3" s="47" t="s">
        <v>287</v>
      </c>
      <c r="U3" s="47" t="s">
        <v>288</v>
      </c>
      <c r="V3" s="47" t="s">
        <v>289</v>
      </c>
      <c r="W3" s="47" t="s">
        <v>290</v>
      </c>
      <c r="X3" s="47" t="s">
        <v>291</v>
      </c>
      <c r="Y3" s="47" t="s">
        <v>292</v>
      </c>
    </row>
    <row r="4" spans="1:25" x14ac:dyDescent="0.25">
      <c r="A4" s="48"/>
      <c r="B4" s="48"/>
      <c r="C4" s="48"/>
      <c r="D4" s="48"/>
      <c r="E4" s="48"/>
      <c r="F4" s="48"/>
      <c r="G4" s="48"/>
      <c r="H4" s="48"/>
      <c r="I4" s="49" t="s">
        <v>168</v>
      </c>
      <c r="J4" s="49" t="s">
        <v>168</v>
      </c>
      <c r="K4" s="49" t="s">
        <v>168</v>
      </c>
      <c r="L4" s="49" t="s">
        <v>168</v>
      </c>
      <c r="M4" s="49" t="s">
        <v>168</v>
      </c>
      <c r="N4" s="49" t="s">
        <v>168</v>
      </c>
      <c r="O4" s="49" t="s">
        <v>168</v>
      </c>
      <c r="P4" s="49" t="s">
        <v>168</v>
      </c>
      <c r="Q4" s="49" t="s">
        <v>168</v>
      </c>
      <c r="R4" s="49" t="s">
        <v>168</v>
      </c>
      <c r="S4" s="49" t="s">
        <v>168</v>
      </c>
      <c r="T4" s="49" t="s">
        <v>168</v>
      </c>
      <c r="U4" s="49" t="s">
        <v>168</v>
      </c>
      <c r="V4" s="49" t="s">
        <v>168</v>
      </c>
      <c r="W4" s="49" t="s">
        <v>168</v>
      </c>
      <c r="X4" s="49" t="s">
        <v>168</v>
      </c>
      <c r="Y4" s="49" t="s">
        <v>168</v>
      </c>
    </row>
    <row r="5" spans="1:25" x14ac:dyDescent="0.25">
      <c r="A5" s="15" t="s">
        <v>174</v>
      </c>
      <c r="B5" s="15" t="s">
        <v>19</v>
      </c>
      <c r="C5" s="15" t="s">
        <v>293</v>
      </c>
      <c r="D5" s="15" t="s">
        <v>175</v>
      </c>
      <c r="E5" s="30">
        <f t="shared" ref="E5:E36" si="0">IF(B5="","",VLOOKUP(B5,dagsoorttabel1,2,FALSE))</f>
        <v>0.2</v>
      </c>
      <c r="F5" s="30">
        <v>1</v>
      </c>
      <c r="G5" s="30">
        <f>IF(prodnorm29&gt;0,1/ROUND(prodnorm29,4),0)</f>
        <v>0</v>
      </c>
      <c r="H5" s="32">
        <f>ROUND(uurtarief29,2)</f>
        <v>0</v>
      </c>
      <c r="I5" s="30">
        <v>0</v>
      </c>
      <c r="J5" s="30">
        <v>0</v>
      </c>
      <c r="K5" s="30">
        <v>146.9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</row>
    <row r="6" spans="1:25" x14ac:dyDescent="0.25">
      <c r="A6" s="20" t="s">
        <v>177</v>
      </c>
      <c r="B6" s="20" t="s">
        <v>19</v>
      </c>
      <c r="C6" s="20" t="s">
        <v>293</v>
      </c>
      <c r="D6" s="20" t="s">
        <v>175</v>
      </c>
      <c r="E6" s="33">
        <f t="shared" si="0"/>
        <v>0.2</v>
      </c>
      <c r="F6" s="33">
        <v>1</v>
      </c>
      <c r="G6" s="33">
        <f>IF(prodnorm30&gt;0,1/ROUND(prodnorm30,4),0)</f>
        <v>0</v>
      </c>
      <c r="H6" s="35">
        <f>ROUND(uurtarief30,2)</f>
        <v>0</v>
      </c>
      <c r="I6" s="33">
        <v>0</v>
      </c>
      <c r="J6" s="33">
        <v>0</v>
      </c>
      <c r="K6" s="33">
        <v>8.1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</row>
    <row r="7" spans="1:25" x14ac:dyDescent="0.25">
      <c r="A7" s="20" t="s">
        <v>179</v>
      </c>
      <c r="B7" s="20" t="s">
        <v>28</v>
      </c>
      <c r="C7" s="20" t="s">
        <v>293</v>
      </c>
      <c r="D7" s="20" t="s">
        <v>175</v>
      </c>
      <c r="E7" s="33">
        <f t="shared" si="0"/>
        <v>3.9215686274509803E-3</v>
      </c>
      <c r="F7" s="33">
        <v>1</v>
      </c>
      <c r="G7" s="33">
        <f>IF(prodnorm31&gt;0,1/ROUND(prodnorm31,4),0)</f>
        <v>0</v>
      </c>
      <c r="H7" s="35">
        <f>ROUND(uurtarief31,2)</f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16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</row>
    <row r="8" spans="1:25" x14ac:dyDescent="0.25">
      <c r="A8" s="20" t="s">
        <v>179</v>
      </c>
      <c r="B8" s="20" t="s">
        <v>11</v>
      </c>
      <c r="C8" s="20" t="s">
        <v>293</v>
      </c>
      <c r="D8" s="20" t="s">
        <v>175</v>
      </c>
      <c r="E8" s="33">
        <f t="shared" si="0"/>
        <v>0.96078431372549022</v>
      </c>
      <c r="F8" s="33">
        <v>1</v>
      </c>
      <c r="G8" s="33">
        <f>IF(prodnorm32&gt;0,1/ROUND(prodnorm32,4),0)</f>
        <v>0</v>
      </c>
      <c r="H8" s="35">
        <f>ROUND(uurtarief32,2)</f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38.25</v>
      </c>
      <c r="R8" s="33">
        <v>0</v>
      </c>
      <c r="S8" s="33">
        <v>0</v>
      </c>
      <c r="T8" s="33">
        <v>0</v>
      </c>
      <c r="U8" s="33">
        <v>0</v>
      </c>
      <c r="V8" s="33">
        <v>8.26</v>
      </c>
      <c r="W8" s="33">
        <v>0</v>
      </c>
      <c r="X8" s="33">
        <v>0</v>
      </c>
      <c r="Y8" s="33">
        <v>0</v>
      </c>
    </row>
    <row r="9" spans="1:25" x14ac:dyDescent="0.25">
      <c r="A9" s="20" t="s">
        <v>179</v>
      </c>
      <c r="B9" s="20" t="s">
        <v>10</v>
      </c>
      <c r="C9" s="20" t="s">
        <v>293</v>
      </c>
      <c r="D9" s="20" t="s">
        <v>175</v>
      </c>
      <c r="E9" s="33">
        <f t="shared" si="0"/>
        <v>1</v>
      </c>
      <c r="F9" s="33">
        <v>1</v>
      </c>
      <c r="G9" s="33">
        <f>IF(prodnorm33&gt;0,1/ROUND(prodnorm33,4),0)</f>
        <v>0</v>
      </c>
      <c r="H9" s="35">
        <f>ROUND(uurtarief33,2)</f>
        <v>0</v>
      </c>
      <c r="I9" s="33">
        <v>0</v>
      </c>
      <c r="J9" s="33">
        <v>0</v>
      </c>
      <c r="K9" s="33">
        <v>28.25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</row>
    <row r="10" spans="1:25" x14ac:dyDescent="0.25">
      <c r="A10" s="20" t="s">
        <v>179</v>
      </c>
      <c r="B10" s="20" t="s">
        <v>22</v>
      </c>
      <c r="C10" s="20" t="s">
        <v>293</v>
      </c>
      <c r="D10" s="20" t="s">
        <v>175</v>
      </c>
      <c r="E10" s="33">
        <f t="shared" si="0"/>
        <v>0.10196078431372549</v>
      </c>
      <c r="F10" s="33">
        <v>1</v>
      </c>
      <c r="G10" s="33">
        <f>IF(prodnorm34&gt;0,1/ROUND(prodnorm34,4),0)</f>
        <v>0</v>
      </c>
      <c r="H10" s="35">
        <f>ROUND(uurtarief34,2)</f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6.1499999999999995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</row>
    <row r="11" spans="1:25" x14ac:dyDescent="0.25">
      <c r="A11" s="20" t="s">
        <v>181</v>
      </c>
      <c r="B11" s="20" t="s">
        <v>11</v>
      </c>
      <c r="C11" s="20" t="s">
        <v>293</v>
      </c>
      <c r="D11" s="20" t="s">
        <v>175</v>
      </c>
      <c r="E11" s="33">
        <f t="shared" si="0"/>
        <v>0.96078431372549022</v>
      </c>
      <c r="F11" s="33">
        <v>1</v>
      </c>
      <c r="G11" s="33">
        <f>IF(prodnorm35&gt;0,1/ROUND(prodnorm35,4),0)</f>
        <v>0</v>
      </c>
      <c r="H11" s="35">
        <f>ROUND(uurtarief35,2)</f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70.149999999999991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</row>
    <row r="12" spans="1:25" x14ac:dyDescent="0.25">
      <c r="A12" s="20" t="s">
        <v>181</v>
      </c>
      <c r="B12" s="20" t="s">
        <v>10</v>
      </c>
      <c r="C12" s="20" t="s">
        <v>293</v>
      </c>
      <c r="D12" s="20" t="s">
        <v>175</v>
      </c>
      <c r="E12" s="33">
        <f t="shared" si="0"/>
        <v>1</v>
      </c>
      <c r="F12" s="33">
        <v>1</v>
      </c>
      <c r="G12" s="33">
        <f>IF(prodnorm36&gt;0,1/ROUND(prodnorm36,4),0)</f>
        <v>0</v>
      </c>
      <c r="H12" s="35">
        <f>ROUND(uurtarief36,2)</f>
        <v>0</v>
      </c>
      <c r="I12" s="33">
        <v>0</v>
      </c>
      <c r="J12" s="33">
        <v>0</v>
      </c>
      <c r="K12" s="33">
        <v>173.6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</row>
    <row r="13" spans="1:25" x14ac:dyDescent="0.25">
      <c r="A13" s="20" t="s">
        <v>183</v>
      </c>
      <c r="B13" s="20" t="s">
        <v>11</v>
      </c>
      <c r="C13" s="20" t="s">
        <v>293</v>
      </c>
      <c r="D13" s="20" t="s">
        <v>175</v>
      </c>
      <c r="E13" s="33">
        <f t="shared" si="0"/>
        <v>0.96078431372549022</v>
      </c>
      <c r="F13" s="33">
        <v>1</v>
      </c>
      <c r="G13" s="33">
        <f>IF(prodnorm37&gt;0,1/ROUND(prodnorm37,4),0)</f>
        <v>0</v>
      </c>
      <c r="H13" s="35">
        <f>ROUND(uurtarief37,2)</f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4.5</v>
      </c>
      <c r="R13" s="33">
        <v>0</v>
      </c>
      <c r="S13" s="33">
        <v>43.900000000000006</v>
      </c>
      <c r="T13" s="33">
        <v>0</v>
      </c>
      <c r="U13" s="33">
        <v>0</v>
      </c>
      <c r="V13" s="33">
        <v>12.39</v>
      </c>
      <c r="W13" s="33">
        <v>42.250000000000007</v>
      </c>
      <c r="X13" s="33">
        <v>26</v>
      </c>
      <c r="Y13" s="33">
        <v>0</v>
      </c>
    </row>
    <row r="14" spans="1:25" x14ac:dyDescent="0.25">
      <c r="A14" s="20" t="s">
        <v>183</v>
      </c>
      <c r="B14" s="20" t="s">
        <v>22</v>
      </c>
      <c r="C14" s="20" t="s">
        <v>293</v>
      </c>
      <c r="D14" s="20" t="s">
        <v>175</v>
      </c>
      <c r="E14" s="33">
        <f t="shared" si="0"/>
        <v>0.10196078431372549</v>
      </c>
      <c r="F14" s="33">
        <v>1</v>
      </c>
      <c r="G14" s="33">
        <f>IF(prodnorm38&gt;0,1/ROUND(prodnorm38,4),0)</f>
        <v>0</v>
      </c>
      <c r="H14" s="35">
        <f>ROUND(uurtarief38,2)</f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6.1499999999999995</v>
      </c>
      <c r="O14" s="33">
        <v>4.7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</row>
    <row r="15" spans="1:25" x14ac:dyDescent="0.25">
      <c r="A15" s="20" t="s">
        <v>185</v>
      </c>
      <c r="B15" s="20" t="s">
        <v>11</v>
      </c>
      <c r="C15" s="20" t="s">
        <v>293</v>
      </c>
      <c r="D15" s="20" t="s">
        <v>175</v>
      </c>
      <c r="E15" s="33">
        <f t="shared" si="0"/>
        <v>0.96078431372549022</v>
      </c>
      <c r="F15" s="33">
        <v>1</v>
      </c>
      <c r="G15" s="33">
        <f>IF(prodnorm39&gt;0,1/ROUND(prodnorm39,4),0)</f>
        <v>0</v>
      </c>
      <c r="H15" s="35">
        <f>ROUND(uurtarief39,2)</f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116.9</v>
      </c>
      <c r="R15" s="33">
        <v>0</v>
      </c>
      <c r="S15" s="33">
        <v>11.350000000000001</v>
      </c>
      <c r="T15" s="33">
        <v>0</v>
      </c>
      <c r="U15" s="33">
        <v>0</v>
      </c>
      <c r="V15" s="33">
        <v>56</v>
      </c>
      <c r="W15" s="33">
        <v>0</v>
      </c>
      <c r="X15" s="33">
        <v>2</v>
      </c>
      <c r="Y15" s="33">
        <v>0</v>
      </c>
    </row>
    <row r="16" spans="1:25" x14ac:dyDescent="0.25">
      <c r="A16" s="20" t="s">
        <v>185</v>
      </c>
      <c r="B16" s="20" t="s">
        <v>20</v>
      </c>
      <c r="C16" s="20" t="s">
        <v>293</v>
      </c>
      <c r="D16" s="20" t="s">
        <v>175</v>
      </c>
      <c r="E16" s="33">
        <f t="shared" si="0"/>
        <v>0.19215686274509805</v>
      </c>
      <c r="F16" s="33">
        <v>1</v>
      </c>
      <c r="G16" s="33">
        <f>IF(prodnorm40&gt;0,1/ROUND(prodnorm40,4),0)</f>
        <v>0</v>
      </c>
      <c r="H16" s="35">
        <f>ROUND(uurtarief40,2)</f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20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</row>
    <row r="17" spans="1:25" x14ac:dyDescent="0.25">
      <c r="A17" s="20" t="s">
        <v>185</v>
      </c>
      <c r="B17" s="20" t="s">
        <v>19</v>
      </c>
      <c r="C17" s="20" t="s">
        <v>293</v>
      </c>
      <c r="D17" s="20" t="s">
        <v>175</v>
      </c>
      <c r="E17" s="33">
        <f t="shared" si="0"/>
        <v>0.2</v>
      </c>
      <c r="F17" s="33">
        <v>1</v>
      </c>
      <c r="G17" s="33">
        <f>IF(prodnorm41&gt;0,1/ROUND(prodnorm41,4),0)</f>
        <v>0</v>
      </c>
      <c r="H17" s="35">
        <f>ROUND(uurtarief41,2)</f>
        <v>0</v>
      </c>
      <c r="I17" s="33">
        <v>0</v>
      </c>
      <c r="J17" s="33">
        <v>0</v>
      </c>
      <c r="K17" s="33">
        <v>53.9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</row>
    <row r="18" spans="1:25" x14ac:dyDescent="0.25">
      <c r="A18" s="20" t="s">
        <v>187</v>
      </c>
      <c r="B18" s="20" t="s">
        <v>15</v>
      </c>
      <c r="C18" s="20" t="s">
        <v>293</v>
      </c>
      <c r="D18" s="20" t="s">
        <v>175</v>
      </c>
      <c r="E18" s="33">
        <f t="shared" si="0"/>
        <v>0.6</v>
      </c>
      <c r="F18" s="33">
        <v>1</v>
      </c>
      <c r="G18" s="33">
        <f>IF(prodnorm42&gt;0,1/ROUND(prodnorm42,4),0)</f>
        <v>0</v>
      </c>
      <c r="H18" s="35">
        <f>ROUND(uurtarief42,2)</f>
        <v>0</v>
      </c>
      <c r="I18" s="33">
        <v>0</v>
      </c>
      <c r="J18" s="33">
        <v>0</v>
      </c>
      <c r="K18" s="33">
        <v>0</v>
      </c>
      <c r="L18" s="33">
        <v>0</v>
      </c>
      <c r="M18" s="33">
        <v>2.5499999999999998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</row>
    <row r="19" spans="1:25" x14ac:dyDescent="0.25">
      <c r="A19" s="20" t="s">
        <v>187</v>
      </c>
      <c r="B19" s="20" t="s">
        <v>11</v>
      </c>
      <c r="C19" s="20" t="s">
        <v>293</v>
      </c>
      <c r="D19" s="20" t="s">
        <v>175</v>
      </c>
      <c r="E19" s="33">
        <f t="shared" si="0"/>
        <v>0.96078431372549022</v>
      </c>
      <c r="F19" s="33">
        <v>1</v>
      </c>
      <c r="G19" s="33">
        <f>IF(prodnorm43&gt;0,1/ROUND(prodnorm43,4),0)</f>
        <v>0</v>
      </c>
      <c r="H19" s="35">
        <f>ROUND(uurtarief43,2)</f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17.75</v>
      </c>
      <c r="R19" s="33">
        <v>0</v>
      </c>
      <c r="S19" s="33">
        <v>0</v>
      </c>
      <c r="T19" s="33">
        <v>0</v>
      </c>
      <c r="U19" s="33">
        <v>0</v>
      </c>
      <c r="V19" s="33">
        <v>5.3</v>
      </c>
      <c r="W19" s="33">
        <v>15.85</v>
      </c>
      <c r="X19" s="33">
        <v>0</v>
      </c>
      <c r="Y19" s="33">
        <v>0</v>
      </c>
    </row>
    <row r="20" spans="1:25" x14ac:dyDescent="0.25">
      <c r="A20" s="20" t="s">
        <v>187</v>
      </c>
      <c r="B20" s="20" t="s">
        <v>10</v>
      </c>
      <c r="C20" s="20" t="s">
        <v>293</v>
      </c>
      <c r="D20" s="20" t="s">
        <v>175</v>
      </c>
      <c r="E20" s="33">
        <f t="shared" si="0"/>
        <v>1</v>
      </c>
      <c r="F20" s="33">
        <v>1</v>
      </c>
      <c r="G20" s="33">
        <f>IF(prodnorm44&gt;0,1/ROUND(prodnorm44,4),0)</f>
        <v>0</v>
      </c>
      <c r="H20" s="35">
        <f>ROUND(uurtarief44,2)</f>
        <v>0</v>
      </c>
      <c r="I20" s="33">
        <v>0</v>
      </c>
      <c r="J20" s="33">
        <v>0</v>
      </c>
      <c r="K20" s="33">
        <v>6.5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</row>
    <row r="21" spans="1:25" x14ac:dyDescent="0.25">
      <c r="A21" s="20" t="s">
        <v>187</v>
      </c>
      <c r="B21" s="20" t="s">
        <v>20</v>
      </c>
      <c r="C21" s="20" t="s">
        <v>293</v>
      </c>
      <c r="D21" s="20" t="s">
        <v>175</v>
      </c>
      <c r="E21" s="33">
        <f t="shared" si="0"/>
        <v>0.19215686274509805</v>
      </c>
      <c r="F21" s="33">
        <v>1</v>
      </c>
      <c r="G21" s="33">
        <f>IF(prodnorm45&gt;0,1/ROUND(prodnorm45,4),0)</f>
        <v>0</v>
      </c>
      <c r="H21" s="35">
        <f>ROUND(uurtarief45,2)</f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8</v>
      </c>
      <c r="X21" s="33">
        <v>0</v>
      </c>
      <c r="Y21" s="33">
        <v>0</v>
      </c>
    </row>
    <row r="22" spans="1:25" x14ac:dyDescent="0.25">
      <c r="A22" s="20" t="s">
        <v>189</v>
      </c>
      <c r="B22" s="20" t="s">
        <v>11</v>
      </c>
      <c r="C22" s="20" t="s">
        <v>293</v>
      </c>
      <c r="D22" s="20" t="s">
        <v>175</v>
      </c>
      <c r="E22" s="33">
        <f t="shared" si="0"/>
        <v>0.96078431372549022</v>
      </c>
      <c r="F22" s="33">
        <v>1</v>
      </c>
      <c r="G22" s="33">
        <f>IF(prodnorm46&gt;0,1/ROUND(prodnorm46,4),0)</f>
        <v>0</v>
      </c>
      <c r="H22" s="35">
        <f>ROUND(uurtarief46,2)</f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756.75</v>
      </c>
      <c r="T22" s="33">
        <v>0</v>
      </c>
      <c r="U22" s="33">
        <v>0</v>
      </c>
      <c r="V22" s="33">
        <v>456.85</v>
      </c>
      <c r="W22" s="33">
        <v>616</v>
      </c>
      <c r="X22" s="33">
        <v>448</v>
      </c>
      <c r="Y22" s="33">
        <v>0</v>
      </c>
    </row>
    <row r="23" spans="1:25" x14ac:dyDescent="0.25">
      <c r="A23" s="20" t="s">
        <v>189</v>
      </c>
      <c r="B23" s="20" t="s">
        <v>20</v>
      </c>
      <c r="C23" s="20" t="s">
        <v>293</v>
      </c>
      <c r="D23" s="20" t="s">
        <v>175</v>
      </c>
      <c r="E23" s="33">
        <f t="shared" si="0"/>
        <v>0.19215686274509805</v>
      </c>
      <c r="F23" s="33">
        <v>1</v>
      </c>
      <c r="G23" s="33">
        <f>IF(prodnorm47&gt;0,1/ROUND(prodnorm47,4),0)</f>
        <v>0</v>
      </c>
      <c r="H23" s="35">
        <f>ROUND(uurtarief47,2)</f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216</v>
      </c>
      <c r="T23" s="33">
        <v>0</v>
      </c>
      <c r="U23" s="33">
        <v>0</v>
      </c>
      <c r="V23" s="33">
        <v>75</v>
      </c>
      <c r="W23" s="33">
        <v>64</v>
      </c>
      <c r="X23" s="33">
        <v>45</v>
      </c>
      <c r="Y23" s="33">
        <v>0</v>
      </c>
    </row>
    <row r="24" spans="1:25" x14ac:dyDescent="0.25">
      <c r="A24" s="20" t="s">
        <v>192</v>
      </c>
      <c r="B24" s="20" t="s">
        <v>9</v>
      </c>
      <c r="C24" s="20" t="s">
        <v>293</v>
      </c>
      <c r="D24" s="20" t="s">
        <v>175</v>
      </c>
      <c r="E24" s="33">
        <f t="shared" si="0"/>
        <v>1</v>
      </c>
      <c r="F24" s="33">
        <v>1</v>
      </c>
      <c r="G24" s="33">
        <f>IF(prodnorm48&gt;0,1/ROUND(prodnorm48,4),0)</f>
        <v>0</v>
      </c>
      <c r="H24" s="35">
        <f>ROUND(uurtarief48,2)</f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95.670000000000016</v>
      </c>
      <c r="V24" s="33">
        <v>0</v>
      </c>
      <c r="W24" s="33">
        <v>0</v>
      </c>
      <c r="X24" s="33">
        <v>0</v>
      </c>
      <c r="Y24" s="33">
        <v>0</v>
      </c>
    </row>
    <row r="25" spans="1:25" x14ac:dyDescent="0.25">
      <c r="A25" s="20" t="s">
        <v>194</v>
      </c>
      <c r="B25" s="20" t="s">
        <v>10</v>
      </c>
      <c r="C25" s="20" t="s">
        <v>293</v>
      </c>
      <c r="D25" s="20" t="s">
        <v>175</v>
      </c>
      <c r="E25" s="33">
        <f t="shared" si="0"/>
        <v>1</v>
      </c>
      <c r="F25" s="33">
        <v>1</v>
      </c>
      <c r="G25" s="33">
        <f>IF(prodnorm49&gt;0,1/ROUND(prodnorm49,4),0)</f>
        <v>0</v>
      </c>
      <c r="H25" s="35">
        <f>ROUND(uurtarief49,2)</f>
        <v>0</v>
      </c>
      <c r="I25" s="33">
        <v>0</v>
      </c>
      <c r="J25" s="33">
        <v>0</v>
      </c>
      <c r="K25" s="33">
        <v>2.25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</row>
    <row r="26" spans="1:25" x14ac:dyDescent="0.25">
      <c r="A26" s="20" t="s">
        <v>196</v>
      </c>
      <c r="B26" s="20" t="s">
        <v>11</v>
      </c>
      <c r="C26" s="20" t="s">
        <v>293</v>
      </c>
      <c r="D26" s="20" t="s">
        <v>175</v>
      </c>
      <c r="E26" s="33">
        <f t="shared" si="0"/>
        <v>0.96078431372549022</v>
      </c>
      <c r="F26" s="33">
        <v>1</v>
      </c>
      <c r="G26" s="33">
        <f>IF(prodnorm50&gt;0,1/ROUND(prodnorm50,4),0)</f>
        <v>0</v>
      </c>
      <c r="H26" s="35">
        <f>ROUND(uurtarief50,2)</f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27.78</v>
      </c>
      <c r="R26" s="33">
        <v>0</v>
      </c>
      <c r="S26" s="33">
        <v>98.749999999999986</v>
      </c>
      <c r="T26" s="33">
        <v>0</v>
      </c>
      <c r="U26" s="33">
        <v>0</v>
      </c>
      <c r="V26" s="33">
        <v>99.300000000000011</v>
      </c>
      <c r="W26" s="33">
        <v>144.30000000000001</v>
      </c>
      <c r="X26" s="33">
        <v>52.459999999999994</v>
      </c>
      <c r="Y26" s="33">
        <v>0</v>
      </c>
    </row>
    <row r="27" spans="1:25" x14ac:dyDescent="0.25">
      <c r="A27" s="20" t="s">
        <v>198</v>
      </c>
      <c r="B27" s="20" t="s">
        <v>10</v>
      </c>
      <c r="C27" s="20" t="s">
        <v>293</v>
      </c>
      <c r="D27" s="20" t="s">
        <v>175</v>
      </c>
      <c r="E27" s="33">
        <f t="shared" si="0"/>
        <v>1</v>
      </c>
      <c r="F27" s="33">
        <v>1</v>
      </c>
      <c r="G27" s="33">
        <f>IF(prodnorm51&gt;0,1/ROUND(prodnorm51,4),0)</f>
        <v>0</v>
      </c>
      <c r="H27" s="35">
        <f>ROUND(uurtarief51,2)</f>
        <v>0</v>
      </c>
      <c r="I27" s="33">
        <v>0</v>
      </c>
      <c r="J27" s="33">
        <v>0</v>
      </c>
      <c r="K27" s="33">
        <v>100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</row>
    <row r="28" spans="1:25" x14ac:dyDescent="0.25">
      <c r="A28" s="20" t="s">
        <v>200</v>
      </c>
      <c r="B28" s="20" t="s">
        <v>11</v>
      </c>
      <c r="C28" s="20" t="s">
        <v>293</v>
      </c>
      <c r="D28" s="20" t="s">
        <v>175</v>
      </c>
      <c r="E28" s="33">
        <f t="shared" si="0"/>
        <v>0.96078431372549022</v>
      </c>
      <c r="F28" s="33">
        <v>1</v>
      </c>
      <c r="G28" s="33">
        <f>IF(prodnorm52&gt;0,1/ROUND(prodnorm52,4),0)</f>
        <v>0</v>
      </c>
      <c r="H28" s="35">
        <f>ROUND(uurtarief52,2)</f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27.25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21.57</v>
      </c>
      <c r="Y28" s="33">
        <v>0</v>
      </c>
    </row>
    <row r="29" spans="1:25" x14ac:dyDescent="0.25">
      <c r="A29" s="20" t="s">
        <v>200</v>
      </c>
      <c r="B29" s="20" t="s">
        <v>10</v>
      </c>
      <c r="C29" s="20" t="s">
        <v>293</v>
      </c>
      <c r="D29" s="20" t="s">
        <v>175</v>
      </c>
      <c r="E29" s="33">
        <f t="shared" si="0"/>
        <v>1</v>
      </c>
      <c r="F29" s="33">
        <v>1</v>
      </c>
      <c r="G29" s="33">
        <f>IF(prodnorm53&gt;0,1/ROUND(prodnorm53,4),0)</f>
        <v>0</v>
      </c>
      <c r="H29" s="35">
        <f>ROUND(uurtarief53,2)</f>
        <v>0</v>
      </c>
      <c r="I29" s="33">
        <v>0</v>
      </c>
      <c r="J29" s="33">
        <v>0</v>
      </c>
      <c r="K29" s="33">
        <v>104.1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</row>
    <row r="30" spans="1:25" x14ac:dyDescent="0.25">
      <c r="A30" s="20" t="s">
        <v>200</v>
      </c>
      <c r="B30" s="20" t="s">
        <v>22</v>
      </c>
      <c r="C30" s="20" t="s">
        <v>293</v>
      </c>
      <c r="D30" s="20" t="s">
        <v>175</v>
      </c>
      <c r="E30" s="33">
        <f t="shared" si="0"/>
        <v>0.10196078431372549</v>
      </c>
      <c r="F30" s="33">
        <v>1</v>
      </c>
      <c r="G30" s="33">
        <f>IF(prodnorm54&gt;0,1/ROUND(prodnorm54,4),0)</f>
        <v>0</v>
      </c>
      <c r="H30" s="35">
        <f>ROUND(uurtarief54,2)</f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92.25</v>
      </c>
      <c r="O30" s="33">
        <v>11.6</v>
      </c>
      <c r="P30" s="33">
        <v>11.7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</row>
    <row r="31" spans="1:25" x14ac:dyDescent="0.25">
      <c r="A31" s="20" t="s">
        <v>202</v>
      </c>
      <c r="B31" s="20" t="s">
        <v>11</v>
      </c>
      <c r="C31" s="20" t="s">
        <v>293</v>
      </c>
      <c r="D31" s="20" t="s">
        <v>175</v>
      </c>
      <c r="E31" s="33">
        <f t="shared" si="0"/>
        <v>0.96078431372549022</v>
      </c>
      <c r="F31" s="33">
        <v>1</v>
      </c>
      <c r="G31" s="33">
        <f>IF(prodnorm55&gt;0,1/ROUND(prodnorm55,4),0)</f>
        <v>0</v>
      </c>
      <c r="H31" s="35">
        <f>ROUND(uurtarief55,2)</f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42.5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</row>
    <row r="32" spans="1:25" x14ac:dyDescent="0.25">
      <c r="A32" s="20" t="s">
        <v>202</v>
      </c>
      <c r="B32" s="20" t="s">
        <v>10</v>
      </c>
      <c r="C32" s="20" t="s">
        <v>293</v>
      </c>
      <c r="D32" s="20" t="s">
        <v>175</v>
      </c>
      <c r="E32" s="33">
        <f t="shared" si="0"/>
        <v>1</v>
      </c>
      <c r="F32" s="33">
        <v>1</v>
      </c>
      <c r="G32" s="33">
        <f>IF(prodnorm56&gt;0,1/ROUND(prodnorm56,4),0)</f>
        <v>0</v>
      </c>
      <c r="H32" s="35">
        <f>ROUND(uurtarief56,2)</f>
        <v>0</v>
      </c>
      <c r="I32" s="33">
        <v>0</v>
      </c>
      <c r="J32" s="33">
        <v>0</v>
      </c>
      <c r="K32" s="33">
        <v>101.2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</row>
    <row r="33" spans="1:25" x14ac:dyDescent="0.25">
      <c r="A33" s="20" t="s">
        <v>204</v>
      </c>
      <c r="B33" s="20" t="s">
        <v>11</v>
      </c>
      <c r="C33" s="20" t="s">
        <v>293</v>
      </c>
      <c r="D33" s="20" t="s">
        <v>175</v>
      </c>
      <c r="E33" s="33">
        <f t="shared" si="0"/>
        <v>0.96078431372549022</v>
      </c>
      <c r="F33" s="33">
        <v>1</v>
      </c>
      <c r="G33" s="33">
        <f>IF(prodnorm57&gt;0,1/ROUND(prodnorm57,4),0)</f>
        <v>0</v>
      </c>
      <c r="H33" s="35">
        <f>ROUND(uurtarief57,2)</f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16.899999999999999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6.5</v>
      </c>
      <c r="Y33" s="33">
        <v>0</v>
      </c>
    </row>
    <row r="34" spans="1:25" x14ac:dyDescent="0.25">
      <c r="A34" s="20" t="s">
        <v>204</v>
      </c>
      <c r="B34" s="20" t="s">
        <v>10</v>
      </c>
      <c r="C34" s="20" t="s">
        <v>293</v>
      </c>
      <c r="D34" s="20" t="s">
        <v>175</v>
      </c>
      <c r="E34" s="33">
        <f t="shared" si="0"/>
        <v>1</v>
      </c>
      <c r="F34" s="33">
        <v>1</v>
      </c>
      <c r="G34" s="33">
        <f>IF(prodnorm58&gt;0,1/ROUND(prodnorm58,4),0)</f>
        <v>0</v>
      </c>
      <c r="H34" s="35">
        <f>ROUND(uurtarief58,2)</f>
        <v>0</v>
      </c>
      <c r="I34" s="33">
        <v>0</v>
      </c>
      <c r="J34" s="33">
        <v>0</v>
      </c>
      <c r="K34" s="33">
        <v>8.1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</row>
    <row r="35" spans="1:25" x14ac:dyDescent="0.25">
      <c r="A35" s="20" t="s">
        <v>204</v>
      </c>
      <c r="B35" s="20" t="s">
        <v>22</v>
      </c>
      <c r="C35" s="20" t="s">
        <v>293</v>
      </c>
      <c r="D35" s="20" t="s">
        <v>175</v>
      </c>
      <c r="E35" s="33">
        <f t="shared" si="0"/>
        <v>0.10196078431372549</v>
      </c>
      <c r="F35" s="33">
        <v>1</v>
      </c>
      <c r="G35" s="33">
        <f>IF(prodnorm59&gt;0,1/ROUND(prodnorm59,4),0)</f>
        <v>0</v>
      </c>
      <c r="H35" s="35">
        <f>ROUND(uurtarief59,2)</f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2.7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</row>
    <row r="36" spans="1:25" x14ac:dyDescent="0.25">
      <c r="A36" s="20" t="s">
        <v>204</v>
      </c>
      <c r="B36" s="20" t="s">
        <v>17</v>
      </c>
      <c r="C36" s="20" t="s">
        <v>293</v>
      </c>
      <c r="D36" s="20" t="s">
        <v>175</v>
      </c>
      <c r="E36" s="33">
        <f t="shared" si="0"/>
        <v>0.3843137254901961</v>
      </c>
      <c r="F36" s="33">
        <v>1</v>
      </c>
      <c r="G36" s="33">
        <f>IF(prodnorm60&gt;0,1/ROUND(prodnorm60,4),0)</f>
        <v>0</v>
      </c>
      <c r="H36" s="35">
        <f>ROUND(uurtarief60,2)</f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44.58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</row>
    <row r="37" spans="1:25" x14ac:dyDescent="0.25">
      <c r="A37" s="20" t="s">
        <v>206</v>
      </c>
      <c r="B37" s="20" t="s">
        <v>11</v>
      </c>
      <c r="C37" s="20" t="s">
        <v>293</v>
      </c>
      <c r="D37" s="20" t="s">
        <v>175</v>
      </c>
      <c r="E37" s="33">
        <f t="shared" ref="E37:E68" si="1">IF(B37="","",VLOOKUP(B37,dagsoorttabel1,2,FALSE))</f>
        <v>0.96078431372549022</v>
      </c>
      <c r="F37" s="33">
        <v>1</v>
      </c>
      <c r="G37" s="33">
        <f>IF(prodnorm61&gt;0,1/ROUND(prodnorm61,4),0)</f>
        <v>0</v>
      </c>
      <c r="H37" s="35">
        <f>ROUND(uurtarief61,2)</f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28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</row>
    <row r="38" spans="1:25" x14ac:dyDescent="0.25">
      <c r="A38" s="20" t="s">
        <v>206</v>
      </c>
      <c r="B38" s="20" t="s">
        <v>10</v>
      </c>
      <c r="C38" s="20" t="s">
        <v>293</v>
      </c>
      <c r="D38" s="20" t="s">
        <v>175</v>
      </c>
      <c r="E38" s="33">
        <f t="shared" si="1"/>
        <v>1</v>
      </c>
      <c r="F38" s="33">
        <v>1</v>
      </c>
      <c r="G38" s="33">
        <f>IF(prodnorm62&gt;0,1/ROUND(prodnorm62,4),0)</f>
        <v>0</v>
      </c>
      <c r="H38" s="35">
        <f>ROUND(uurtarief62,2)</f>
        <v>0</v>
      </c>
      <c r="I38" s="33">
        <v>0</v>
      </c>
      <c r="J38" s="33">
        <v>0</v>
      </c>
      <c r="K38" s="33">
        <v>56.599999999999994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</row>
    <row r="39" spans="1:25" x14ac:dyDescent="0.25">
      <c r="A39" s="20" t="s">
        <v>206</v>
      </c>
      <c r="B39" s="20" t="s">
        <v>17</v>
      </c>
      <c r="C39" s="20" t="s">
        <v>293</v>
      </c>
      <c r="D39" s="20" t="s">
        <v>175</v>
      </c>
      <c r="E39" s="33">
        <f t="shared" si="1"/>
        <v>0.3843137254901961</v>
      </c>
      <c r="F39" s="33">
        <v>1</v>
      </c>
      <c r="G39" s="33">
        <f>IF(prodnorm63&gt;0,1/ROUND(prodnorm63,4),0)</f>
        <v>0</v>
      </c>
      <c r="H39" s="35">
        <f>ROUND(uurtarief63,2)</f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7.46</v>
      </c>
      <c r="S39" s="33">
        <v>0</v>
      </c>
      <c r="T39" s="33">
        <v>169.05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</row>
    <row r="40" spans="1:25" x14ac:dyDescent="0.25">
      <c r="A40" s="20" t="s">
        <v>208</v>
      </c>
      <c r="B40" s="20" t="s">
        <v>15</v>
      </c>
      <c r="C40" s="20" t="s">
        <v>293</v>
      </c>
      <c r="D40" s="20" t="s">
        <v>175</v>
      </c>
      <c r="E40" s="33">
        <f t="shared" si="1"/>
        <v>0.6</v>
      </c>
      <c r="F40" s="33">
        <v>1</v>
      </c>
      <c r="G40" s="33">
        <f>IF(prodnorm64&gt;0,1/ROUND(prodnorm64,4),0)</f>
        <v>0</v>
      </c>
      <c r="H40" s="35">
        <f>ROUND(uurtarief64,2)</f>
        <v>0</v>
      </c>
      <c r="I40" s="33">
        <v>0</v>
      </c>
      <c r="J40" s="33">
        <v>0</v>
      </c>
      <c r="K40" s="33">
        <v>0</v>
      </c>
      <c r="L40" s="33">
        <v>0</v>
      </c>
      <c r="M40" s="33">
        <v>5.35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</row>
    <row r="41" spans="1:25" x14ac:dyDescent="0.25">
      <c r="A41" s="20" t="s">
        <v>208</v>
      </c>
      <c r="B41" s="20" t="s">
        <v>11</v>
      </c>
      <c r="C41" s="20" t="s">
        <v>293</v>
      </c>
      <c r="D41" s="20" t="s">
        <v>175</v>
      </c>
      <c r="E41" s="33">
        <f t="shared" si="1"/>
        <v>0.96078431372549022</v>
      </c>
      <c r="F41" s="33">
        <v>1</v>
      </c>
      <c r="G41" s="33">
        <f>IF(prodnorm65&gt;0,1/ROUND(prodnorm65,4),0)</f>
        <v>0</v>
      </c>
      <c r="H41" s="35">
        <f>ROUND(uurtarief65,2)</f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1.9200000000000002</v>
      </c>
      <c r="R41" s="33">
        <v>0</v>
      </c>
      <c r="S41" s="33">
        <v>31.5</v>
      </c>
      <c r="T41" s="33">
        <v>0</v>
      </c>
      <c r="U41" s="33">
        <v>0</v>
      </c>
      <c r="V41" s="33">
        <v>9.4499999999999993</v>
      </c>
      <c r="W41" s="33">
        <v>37.1</v>
      </c>
      <c r="X41" s="33">
        <v>15.96</v>
      </c>
      <c r="Y41" s="33">
        <v>0</v>
      </c>
    </row>
    <row r="42" spans="1:25" x14ac:dyDescent="0.25">
      <c r="A42" s="20" t="s">
        <v>208</v>
      </c>
      <c r="B42" s="20" t="s">
        <v>10</v>
      </c>
      <c r="C42" s="20" t="s">
        <v>293</v>
      </c>
      <c r="D42" s="20" t="s">
        <v>175</v>
      </c>
      <c r="E42" s="33">
        <f t="shared" si="1"/>
        <v>1</v>
      </c>
      <c r="F42" s="33">
        <v>1</v>
      </c>
      <c r="G42" s="33">
        <f>IF(prodnorm66&gt;0,1/ROUND(prodnorm66,4),0)</f>
        <v>0</v>
      </c>
      <c r="H42" s="35">
        <f>ROUND(uurtarief66,2)</f>
        <v>0</v>
      </c>
      <c r="I42" s="33">
        <v>0</v>
      </c>
      <c r="J42" s="33">
        <v>0</v>
      </c>
      <c r="K42" s="33">
        <v>24.45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</row>
    <row r="43" spans="1:25" x14ac:dyDescent="0.25">
      <c r="A43" s="20" t="s">
        <v>208</v>
      </c>
      <c r="B43" s="20" t="s">
        <v>22</v>
      </c>
      <c r="C43" s="20" t="s">
        <v>293</v>
      </c>
      <c r="D43" s="20" t="s">
        <v>175</v>
      </c>
      <c r="E43" s="33">
        <f t="shared" si="1"/>
        <v>0.10196078431372549</v>
      </c>
      <c r="F43" s="33">
        <v>1</v>
      </c>
      <c r="G43" s="33">
        <f>IF(prodnorm67&gt;0,1/ROUND(prodnorm67,4),0)</f>
        <v>0</v>
      </c>
      <c r="H43" s="35">
        <f>ROUND(uurtarief67,2)</f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3.7</v>
      </c>
      <c r="O43" s="33">
        <v>2.1</v>
      </c>
      <c r="P43" s="33">
        <v>1.4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</row>
    <row r="44" spans="1:25" x14ac:dyDescent="0.25">
      <c r="A44" s="20" t="s">
        <v>208</v>
      </c>
      <c r="B44" s="20" t="s">
        <v>20</v>
      </c>
      <c r="C44" s="20" t="s">
        <v>293</v>
      </c>
      <c r="D44" s="20" t="s">
        <v>175</v>
      </c>
      <c r="E44" s="33">
        <f t="shared" si="1"/>
        <v>0.19215686274509805</v>
      </c>
      <c r="F44" s="33">
        <v>1</v>
      </c>
      <c r="G44" s="33">
        <f>IF(prodnorm68&gt;0,1/ROUND(prodnorm68,4),0)</f>
        <v>0</v>
      </c>
      <c r="H44" s="35">
        <f>ROUND(uurtarief68,2)</f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5.0999999999999996</v>
      </c>
      <c r="W44" s="33">
        <v>0</v>
      </c>
      <c r="X44" s="33">
        <v>0</v>
      </c>
      <c r="Y44" s="33">
        <v>0</v>
      </c>
    </row>
    <row r="45" spans="1:25" x14ac:dyDescent="0.25">
      <c r="A45" s="20" t="s">
        <v>208</v>
      </c>
      <c r="B45" s="20" t="s">
        <v>19</v>
      </c>
      <c r="C45" s="20" t="s">
        <v>293</v>
      </c>
      <c r="D45" s="20" t="s">
        <v>175</v>
      </c>
      <c r="E45" s="33">
        <f t="shared" si="1"/>
        <v>0.2</v>
      </c>
      <c r="F45" s="33">
        <v>1</v>
      </c>
      <c r="G45" s="33">
        <f>IF(prodnorm69&gt;0,1/ROUND(prodnorm69,4),0)</f>
        <v>0</v>
      </c>
      <c r="H45" s="35">
        <f>ROUND(uurtarief69,2)</f>
        <v>0</v>
      </c>
      <c r="I45" s="33">
        <v>0</v>
      </c>
      <c r="J45" s="33">
        <v>0</v>
      </c>
      <c r="K45" s="33">
        <v>6.1499999999999995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</row>
    <row r="46" spans="1:25" x14ac:dyDescent="0.25">
      <c r="A46" s="20" t="s">
        <v>211</v>
      </c>
      <c r="B46" s="20" t="s">
        <v>11</v>
      </c>
      <c r="C46" s="20" t="s">
        <v>293</v>
      </c>
      <c r="D46" s="20" t="s">
        <v>175</v>
      </c>
      <c r="E46" s="33">
        <f t="shared" si="1"/>
        <v>0.96078431372549022</v>
      </c>
      <c r="F46" s="33">
        <v>1</v>
      </c>
      <c r="G46" s="33">
        <f>IF(prodnorm70&gt;0,1/ROUND(prodnorm70,4),0)</f>
        <v>0</v>
      </c>
      <c r="H46" s="35">
        <f>ROUND(uurtarief70,2)</f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10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</row>
    <row r="47" spans="1:25" x14ac:dyDescent="0.25">
      <c r="A47" s="20" t="s">
        <v>211</v>
      </c>
      <c r="B47" s="20" t="s">
        <v>10</v>
      </c>
      <c r="C47" s="20" t="s">
        <v>293</v>
      </c>
      <c r="D47" s="20" t="s">
        <v>175</v>
      </c>
      <c r="E47" s="33">
        <f t="shared" si="1"/>
        <v>1</v>
      </c>
      <c r="F47" s="33">
        <v>1</v>
      </c>
      <c r="G47" s="33">
        <f>IF(prodnorm71&gt;0,1/ROUND(prodnorm71,4),0)</f>
        <v>0</v>
      </c>
      <c r="H47" s="35">
        <f>ROUND(uurtarief71,2)</f>
        <v>0</v>
      </c>
      <c r="I47" s="33">
        <v>0</v>
      </c>
      <c r="J47" s="33">
        <v>0</v>
      </c>
      <c r="K47" s="33">
        <v>66.599999999999994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</row>
    <row r="48" spans="1:25" x14ac:dyDescent="0.25">
      <c r="A48" s="20" t="s">
        <v>213</v>
      </c>
      <c r="B48" s="20" t="s">
        <v>23</v>
      </c>
      <c r="C48" s="20" t="s">
        <v>293</v>
      </c>
      <c r="D48" s="20" t="s">
        <v>175</v>
      </c>
      <c r="E48" s="33">
        <f t="shared" si="1"/>
        <v>4.7058823529411764E-2</v>
      </c>
      <c r="F48" s="33">
        <v>1</v>
      </c>
      <c r="G48" s="33">
        <f>IF(prodnorm72&gt;0,1/ROUND(prodnorm72,4),0)</f>
        <v>0</v>
      </c>
      <c r="H48" s="35">
        <f>ROUND(uurtarief72,2)</f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27.6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</row>
    <row r="49" spans="1:25" x14ac:dyDescent="0.25">
      <c r="A49" s="20" t="s">
        <v>213</v>
      </c>
      <c r="B49" s="20" t="s">
        <v>11</v>
      </c>
      <c r="C49" s="20" t="s">
        <v>293</v>
      </c>
      <c r="D49" s="20" t="s">
        <v>175</v>
      </c>
      <c r="E49" s="33">
        <f t="shared" si="1"/>
        <v>0.96078431372549022</v>
      </c>
      <c r="F49" s="33">
        <v>1</v>
      </c>
      <c r="G49" s="33">
        <f>IF(prodnorm73&gt;0,1/ROUND(prodnorm73,4),0)</f>
        <v>0</v>
      </c>
      <c r="H49" s="35">
        <f>ROUND(uurtarief73,2)</f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159.75</v>
      </c>
      <c r="R49" s="33">
        <v>0</v>
      </c>
      <c r="S49" s="33">
        <v>133.55000000000001</v>
      </c>
      <c r="T49" s="33">
        <v>0</v>
      </c>
      <c r="U49" s="33">
        <v>0</v>
      </c>
      <c r="V49" s="33">
        <v>66.5</v>
      </c>
      <c r="W49" s="33">
        <v>170.4</v>
      </c>
      <c r="X49" s="33">
        <v>112.87</v>
      </c>
      <c r="Y49" s="33">
        <v>0</v>
      </c>
    </row>
    <row r="50" spans="1:25" x14ac:dyDescent="0.25">
      <c r="A50" s="20" t="s">
        <v>213</v>
      </c>
      <c r="B50" s="20" t="s">
        <v>10</v>
      </c>
      <c r="C50" s="20" t="s">
        <v>293</v>
      </c>
      <c r="D50" s="20" t="s">
        <v>175</v>
      </c>
      <c r="E50" s="33">
        <f t="shared" si="1"/>
        <v>1</v>
      </c>
      <c r="F50" s="33">
        <v>1</v>
      </c>
      <c r="G50" s="33">
        <f>IF(prodnorm74&gt;0,1/ROUND(prodnorm74,4),0)</f>
        <v>0</v>
      </c>
      <c r="H50" s="35">
        <f>ROUND(uurtarief74,2)</f>
        <v>0</v>
      </c>
      <c r="I50" s="33">
        <v>0</v>
      </c>
      <c r="J50" s="33">
        <v>0</v>
      </c>
      <c r="K50" s="33">
        <v>307.95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</row>
    <row r="51" spans="1:25" x14ac:dyDescent="0.25">
      <c r="A51" s="20" t="s">
        <v>213</v>
      </c>
      <c r="B51" s="20" t="s">
        <v>22</v>
      </c>
      <c r="C51" s="20" t="s">
        <v>293</v>
      </c>
      <c r="D51" s="20" t="s">
        <v>175</v>
      </c>
      <c r="E51" s="33">
        <f t="shared" si="1"/>
        <v>0.10196078431372549</v>
      </c>
      <c r="F51" s="33">
        <v>1</v>
      </c>
      <c r="G51" s="33">
        <f>IF(prodnorm75&gt;0,1/ROUND(prodnorm75,4),0)</f>
        <v>0</v>
      </c>
      <c r="H51" s="35">
        <f>ROUND(uurtarief75,2)</f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62.55</v>
      </c>
      <c r="O51" s="33">
        <v>30.7</v>
      </c>
      <c r="P51" s="33">
        <v>22.4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</row>
    <row r="52" spans="1:25" x14ac:dyDescent="0.25">
      <c r="A52" s="20" t="s">
        <v>213</v>
      </c>
      <c r="B52" s="20" t="s">
        <v>20</v>
      </c>
      <c r="C52" s="20" t="s">
        <v>293</v>
      </c>
      <c r="D52" s="20" t="s">
        <v>175</v>
      </c>
      <c r="E52" s="33">
        <f t="shared" si="1"/>
        <v>0.19215686274509805</v>
      </c>
      <c r="F52" s="33">
        <v>1</v>
      </c>
      <c r="G52" s="33">
        <f>IF(prodnorm76&gt;0,1/ROUND(prodnorm76,4),0)</f>
        <v>0</v>
      </c>
      <c r="H52" s="35">
        <f>ROUND(uurtarief76,2)</f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104.4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</row>
    <row r="53" spans="1:25" x14ac:dyDescent="0.25">
      <c r="A53" s="20" t="s">
        <v>213</v>
      </c>
      <c r="B53" s="20" t="s">
        <v>9</v>
      </c>
      <c r="C53" s="20" t="s">
        <v>293</v>
      </c>
      <c r="D53" s="20" t="s">
        <v>175</v>
      </c>
      <c r="E53" s="33">
        <f t="shared" si="1"/>
        <v>1</v>
      </c>
      <c r="F53" s="33">
        <v>1</v>
      </c>
      <c r="G53" s="33">
        <f>IF(prodnorm77&gt;0,1/ROUND(prodnorm77,4),0)</f>
        <v>0</v>
      </c>
      <c r="H53" s="35">
        <f>ROUND(uurtarief77,2)</f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42.150000000000006</v>
      </c>
      <c r="V53" s="33">
        <v>0</v>
      </c>
      <c r="W53" s="33">
        <v>0</v>
      </c>
      <c r="X53" s="33">
        <v>0</v>
      </c>
      <c r="Y53" s="33">
        <v>0</v>
      </c>
    </row>
    <row r="54" spans="1:25" x14ac:dyDescent="0.25">
      <c r="A54" s="20" t="s">
        <v>215</v>
      </c>
      <c r="B54" s="20" t="s">
        <v>11</v>
      </c>
      <c r="C54" s="20" t="s">
        <v>293</v>
      </c>
      <c r="D54" s="20" t="s">
        <v>175</v>
      </c>
      <c r="E54" s="33">
        <f t="shared" si="1"/>
        <v>0.96078431372549022</v>
      </c>
      <c r="F54" s="33">
        <v>1</v>
      </c>
      <c r="G54" s="33">
        <f>IF(prodnorm78&gt;0,1/ROUND(prodnorm78,4),0)</f>
        <v>0</v>
      </c>
      <c r="H54" s="35">
        <f>ROUND(uurtarief78,2)</f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19.399999999999999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21.6</v>
      </c>
      <c r="X54" s="33">
        <v>0</v>
      </c>
      <c r="Y54" s="33">
        <v>0</v>
      </c>
    </row>
    <row r="55" spans="1:25" x14ac:dyDescent="0.25">
      <c r="A55" s="20" t="s">
        <v>215</v>
      </c>
      <c r="B55" s="20" t="s">
        <v>10</v>
      </c>
      <c r="C55" s="20" t="s">
        <v>293</v>
      </c>
      <c r="D55" s="20" t="s">
        <v>175</v>
      </c>
      <c r="E55" s="33">
        <f t="shared" si="1"/>
        <v>1</v>
      </c>
      <c r="F55" s="33">
        <v>1</v>
      </c>
      <c r="G55" s="33">
        <f>IF(prodnorm79&gt;0,1/ROUND(prodnorm79,4),0)</f>
        <v>0</v>
      </c>
      <c r="H55" s="35">
        <f>ROUND(uurtarief79,2)</f>
        <v>0</v>
      </c>
      <c r="I55" s="33">
        <v>0</v>
      </c>
      <c r="J55" s="33">
        <v>0</v>
      </c>
      <c r="K55" s="33">
        <v>10.7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</row>
    <row r="56" spans="1:25" x14ac:dyDescent="0.25">
      <c r="A56" s="20" t="s">
        <v>217</v>
      </c>
      <c r="B56" s="20" t="s">
        <v>10</v>
      </c>
      <c r="C56" s="20" t="s">
        <v>293</v>
      </c>
      <c r="D56" s="20" t="s">
        <v>175</v>
      </c>
      <c r="E56" s="33">
        <f t="shared" si="1"/>
        <v>1</v>
      </c>
      <c r="F56" s="33">
        <v>1</v>
      </c>
      <c r="G56" s="33">
        <f>IF(prodnorm80&gt;0,1/ROUND(prodnorm80,4),0)</f>
        <v>0</v>
      </c>
      <c r="H56" s="35">
        <f>ROUND(uurtarief80,2)</f>
        <v>0</v>
      </c>
      <c r="I56" s="33">
        <v>0</v>
      </c>
      <c r="J56" s="33">
        <v>0</v>
      </c>
      <c r="K56" s="33">
        <v>14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</row>
    <row r="57" spans="1:25" x14ac:dyDescent="0.25">
      <c r="A57" s="20" t="s">
        <v>219</v>
      </c>
      <c r="B57" s="20" t="s">
        <v>11</v>
      </c>
      <c r="C57" s="20" t="s">
        <v>293</v>
      </c>
      <c r="D57" s="20" t="s">
        <v>175</v>
      </c>
      <c r="E57" s="33">
        <f t="shared" si="1"/>
        <v>0.96078431372549022</v>
      </c>
      <c r="F57" s="33">
        <v>1</v>
      </c>
      <c r="G57" s="33">
        <f>IF(prodnorm81&gt;0,1/ROUND(prodnorm81,4),0)</f>
        <v>0</v>
      </c>
      <c r="H57" s="35">
        <f>ROUND(uurtarief81,2)</f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17.650000000000002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</row>
    <row r="58" spans="1:25" x14ac:dyDescent="0.25">
      <c r="A58" s="20" t="s">
        <v>221</v>
      </c>
      <c r="B58" s="20" t="s">
        <v>11</v>
      </c>
      <c r="C58" s="20" t="s">
        <v>293</v>
      </c>
      <c r="D58" s="20" t="s">
        <v>175</v>
      </c>
      <c r="E58" s="33">
        <f t="shared" si="1"/>
        <v>0.96078431372549022</v>
      </c>
      <c r="F58" s="33">
        <v>1</v>
      </c>
      <c r="G58" s="33">
        <f>IF(prodnorm82&gt;0,1/ROUND(prodnorm82,4),0)</f>
        <v>0</v>
      </c>
      <c r="H58" s="35">
        <f>ROUND(uurtarief82,2)</f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173.95000000000002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</row>
    <row r="59" spans="1:25" x14ac:dyDescent="0.25">
      <c r="A59" s="20" t="s">
        <v>223</v>
      </c>
      <c r="B59" s="20" t="s">
        <v>11</v>
      </c>
      <c r="C59" s="20" t="s">
        <v>293</v>
      </c>
      <c r="D59" s="20" t="s">
        <v>175</v>
      </c>
      <c r="E59" s="33">
        <f t="shared" si="1"/>
        <v>0.96078431372549022</v>
      </c>
      <c r="F59" s="33">
        <v>1</v>
      </c>
      <c r="G59" s="33">
        <f>IF(prodnorm83&gt;0,1/ROUND(prodnorm83,4),0)</f>
        <v>0</v>
      </c>
      <c r="H59" s="35">
        <f>ROUND(uurtarief83,2)</f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375.35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</row>
    <row r="60" spans="1:25" x14ac:dyDescent="0.25">
      <c r="A60" s="20" t="s">
        <v>225</v>
      </c>
      <c r="B60" s="20" t="s">
        <v>11</v>
      </c>
      <c r="C60" s="20" t="s">
        <v>293</v>
      </c>
      <c r="D60" s="20" t="s">
        <v>175</v>
      </c>
      <c r="E60" s="33">
        <f t="shared" si="1"/>
        <v>0.96078431372549022</v>
      </c>
      <c r="F60" s="33">
        <v>1</v>
      </c>
      <c r="G60" s="33">
        <f>IF(prodnorm84&gt;0,1/ROUND(prodnorm84,4),0)</f>
        <v>0</v>
      </c>
      <c r="H60" s="35">
        <f>ROUND(uurtarief84,2)</f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189.64999999999998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</row>
    <row r="61" spans="1:25" x14ac:dyDescent="0.25">
      <c r="A61" s="20" t="s">
        <v>227</v>
      </c>
      <c r="B61" s="20" t="s">
        <v>28</v>
      </c>
      <c r="C61" s="20" t="s">
        <v>293</v>
      </c>
      <c r="D61" s="20" t="s">
        <v>228</v>
      </c>
      <c r="E61" s="33">
        <f t="shared" si="1"/>
        <v>3.9215686274509803E-3</v>
      </c>
      <c r="F61" s="33">
        <v>1</v>
      </c>
      <c r="G61" s="33">
        <f>ROUND(prodnorm21,4)/60</f>
        <v>0</v>
      </c>
      <c r="H61" s="35">
        <f>ROUND(uurtarief21,2)</f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1</v>
      </c>
      <c r="R61" s="33">
        <v>0</v>
      </c>
      <c r="S61" s="33">
        <v>1</v>
      </c>
      <c r="T61" s="33">
        <v>0</v>
      </c>
      <c r="U61" s="33">
        <v>0</v>
      </c>
      <c r="V61" s="33">
        <v>1</v>
      </c>
      <c r="W61" s="33">
        <v>1</v>
      </c>
      <c r="X61" s="33">
        <v>1</v>
      </c>
      <c r="Y61" s="33">
        <v>0</v>
      </c>
    </row>
    <row r="62" spans="1:25" x14ac:dyDescent="0.25">
      <c r="A62" s="20" t="s">
        <v>231</v>
      </c>
      <c r="B62" s="20" t="s">
        <v>27</v>
      </c>
      <c r="C62" s="20" t="s">
        <v>293</v>
      </c>
      <c r="D62" s="20" t="s">
        <v>228</v>
      </c>
      <c r="E62" s="33">
        <f t="shared" si="1"/>
        <v>7.8431372549019607E-3</v>
      </c>
      <c r="F62" s="33">
        <v>1</v>
      </c>
      <c r="G62" s="33">
        <f>IF(prodnorm22&gt;0,1/ROUND(prodnorm22,4),0)</f>
        <v>0</v>
      </c>
      <c r="H62" s="35">
        <f>ROUND(uurtarief22,2)</f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216</v>
      </c>
      <c r="T62" s="33">
        <v>0</v>
      </c>
      <c r="U62" s="33">
        <v>0</v>
      </c>
      <c r="V62" s="33">
        <v>75</v>
      </c>
      <c r="W62" s="33">
        <v>64</v>
      </c>
      <c r="X62" s="33">
        <v>45</v>
      </c>
      <c r="Y62" s="33">
        <v>0</v>
      </c>
    </row>
    <row r="63" spans="1:25" x14ac:dyDescent="0.25">
      <c r="A63" s="20" t="s">
        <v>233</v>
      </c>
      <c r="B63" s="20" t="s">
        <v>23</v>
      </c>
      <c r="C63" s="20" t="s">
        <v>293</v>
      </c>
      <c r="D63" s="20" t="s">
        <v>228</v>
      </c>
      <c r="E63" s="33">
        <f t="shared" si="1"/>
        <v>4.7058823529411764E-2</v>
      </c>
      <c r="F63" s="33">
        <v>1</v>
      </c>
      <c r="G63" s="33">
        <f>ROUND(prodnorm23,4)/60</f>
        <v>0</v>
      </c>
      <c r="H63" s="35">
        <f>ROUND(uurtarief23,2)</f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1</v>
      </c>
      <c r="T63" s="33">
        <v>0</v>
      </c>
      <c r="U63" s="33">
        <v>0</v>
      </c>
      <c r="V63" s="33">
        <v>1</v>
      </c>
      <c r="W63" s="33">
        <v>2</v>
      </c>
      <c r="X63" s="33">
        <v>1</v>
      </c>
      <c r="Y63" s="33">
        <v>0</v>
      </c>
    </row>
    <row r="64" spans="1:25" x14ac:dyDescent="0.25">
      <c r="A64" s="20" t="s">
        <v>235</v>
      </c>
      <c r="B64" s="20" t="s">
        <v>17</v>
      </c>
      <c r="C64" s="20" t="s">
        <v>293</v>
      </c>
      <c r="D64" s="20" t="s">
        <v>228</v>
      </c>
      <c r="E64" s="33">
        <f t="shared" si="1"/>
        <v>0.3843137254901961</v>
      </c>
      <c r="F64" s="33">
        <v>1</v>
      </c>
      <c r="G64" s="33">
        <f>IF(prodnorm24&gt;0,1/ROUND(prodnorm24,4),0)</f>
        <v>0</v>
      </c>
      <c r="H64" s="35">
        <f>ROUND(uurtarief24,2)</f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44.58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</row>
    <row r="65" spans="1:25" x14ac:dyDescent="0.25">
      <c r="A65" s="20" t="s">
        <v>237</v>
      </c>
      <c r="B65" s="20" t="s">
        <v>23</v>
      </c>
      <c r="C65" s="20" t="s">
        <v>293</v>
      </c>
      <c r="D65" s="20" t="s">
        <v>228</v>
      </c>
      <c r="E65" s="33">
        <f t="shared" si="1"/>
        <v>4.7058823529411764E-2</v>
      </c>
      <c r="F65" s="33">
        <v>1</v>
      </c>
      <c r="G65" s="33">
        <f>ROUND(prodnorm25,4)/60</f>
        <v>0</v>
      </c>
      <c r="H65" s="35">
        <f>ROUND(uurtarief25,2)</f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1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</row>
    <row r="66" spans="1:25" x14ac:dyDescent="0.25">
      <c r="A66" s="20" t="s">
        <v>239</v>
      </c>
      <c r="B66" s="20" t="s">
        <v>28</v>
      </c>
      <c r="C66" s="20" t="s">
        <v>293</v>
      </c>
      <c r="D66" s="20" t="s">
        <v>228</v>
      </c>
      <c r="E66" s="33">
        <f t="shared" si="1"/>
        <v>3.9215686274509803E-3</v>
      </c>
      <c r="F66" s="33">
        <v>1</v>
      </c>
      <c r="G66" s="33">
        <f>ROUND(prodnorm26,4)/60</f>
        <v>0</v>
      </c>
      <c r="H66" s="35">
        <f>ROUND(uurtarief26,2)</f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1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</row>
    <row r="67" spans="1:25" x14ac:dyDescent="0.25">
      <c r="A67" s="20" t="s">
        <v>241</v>
      </c>
      <c r="B67" s="20" t="s">
        <v>28</v>
      </c>
      <c r="C67" s="20" t="s">
        <v>293</v>
      </c>
      <c r="D67" s="20" t="s">
        <v>228</v>
      </c>
      <c r="E67" s="33">
        <f t="shared" si="1"/>
        <v>3.9215686274509803E-3</v>
      </c>
      <c r="F67" s="33">
        <v>0</v>
      </c>
      <c r="G67" s="33">
        <v>1</v>
      </c>
      <c r="H67" s="35">
        <f>ROUND(uurtarief27,2)</f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1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</row>
    <row r="68" spans="1:25" x14ac:dyDescent="0.25">
      <c r="A68" s="25" t="s">
        <v>245</v>
      </c>
      <c r="B68" s="25" t="s">
        <v>19</v>
      </c>
      <c r="C68" s="25" t="s">
        <v>293</v>
      </c>
      <c r="D68" s="25" t="s">
        <v>228</v>
      </c>
      <c r="E68" s="37">
        <f t="shared" si="1"/>
        <v>0.2</v>
      </c>
      <c r="F68" s="37">
        <v>1</v>
      </c>
      <c r="G68" s="37">
        <v>1</v>
      </c>
      <c r="H68" s="39">
        <f>ROUND(uurtarief28,2)</f>
        <v>0</v>
      </c>
      <c r="I68" s="37">
        <v>0</v>
      </c>
      <c r="J68" s="37">
        <v>0</v>
      </c>
      <c r="K68" s="37">
        <v>2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</row>
    <row r="69" spans="1:25" x14ac:dyDescent="0.25">
      <c r="A69" s="40" t="s">
        <v>248</v>
      </c>
      <c r="B69" s="41"/>
      <c r="C69" s="41"/>
      <c r="D69" s="41"/>
      <c r="E69" s="41"/>
      <c r="F69" s="41"/>
      <c r="G69" s="41"/>
      <c r="H69" s="41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</row>
    <row r="71" spans="1:25" x14ac:dyDescent="0.25">
      <c r="A71" s="15" t="s">
        <v>250</v>
      </c>
      <c r="B71" s="15" t="s">
        <v>20</v>
      </c>
      <c r="C71" s="15" t="s">
        <v>294</v>
      </c>
      <c r="D71" s="15" t="s">
        <v>175</v>
      </c>
      <c r="E71" s="30">
        <f t="shared" ref="E71:E82" si="2">IF(B71="","",VLOOKUP(B71,dagsoorttabel1,2,FALSE))</f>
        <v>0.19215686274509805</v>
      </c>
      <c r="F71" s="30">
        <v>1</v>
      </c>
      <c r="G71" s="30">
        <f>IF(prodnorm86&gt;0,1/ROUND(prodnorm86,4),0)</f>
        <v>0</v>
      </c>
      <c r="H71" s="32">
        <f>ROUND(uurtarief86,2)</f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43.900000000000006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</row>
    <row r="72" spans="1:25" x14ac:dyDescent="0.25">
      <c r="A72" s="20" t="s">
        <v>252</v>
      </c>
      <c r="B72" s="20" t="s">
        <v>20</v>
      </c>
      <c r="C72" s="20" t="s">
        <v>294</v>
      </c>
      <c r="D72" s="20" t="s">
        <v>175</v>
      </c>
      <c r="E72" s="33">
        <f t="shared" si="2"/>
        <v>0.19215686274509805</v>
      </c>
      <c r="F72" s="33">
        <v>1</v>
      </c>
      <c r="G72" s="33">
        <f>IF(prodnorm87&gt;0,1/ROUND(prodnorm87,4),0)</f>
        <v>0</v>
      </c>
      <c r="H72" s="35">
        <f>ROUND(uurtarief87,2)</f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116.9</v>
      </c>
      <c r="R72" s="33">
        <v>0</v>
      </c>
      <c r="S72" s="33">
        <v>11.350000000000001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</row>
    <row r="73" spans="1:25" x14ac:dyDescent="0.25">
      <c r="A73" s="20" t="s">
        <v>254</v>
      </c>
      <c r="B73" s="20" t="s">
        <v>20</v>
      </c>
      <c r="C73" s="20" t="s">
        <v>294</v>
      </c>
      <c r="D73" s="20" t="s">
        <v>175</v>
      </c>
      <c r="E73" s="33">
        <f t="shared" si="2"/>
        <v>0.19215686274509805</v>
      </c>
      <c r="F73" s="33">
        <v>1</v>
      </c>
      <c r="G73" s="33">
        <f>IF(prodnorm88&gt;0,1/ROUND(prodnorm88,4),0)</f>
        <v>0</v>
      </c>
      <c r="H73" s="35">
        <f>ROUND(uurtarief88,2)</f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17.75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</row>
    <row r="74" spans="1:25" x14ac:dyDescent="0.25">
      <c r="A74" s="20" t="s">
        <v>256</v>
      </c>
      <c r="B74" s="20" t="s">
        <v>20</v>
      </c>
      <c r="C74" s="20" t="s">
        <v>294</v>
      </c>
      <c r="D74" s="20" t="s">
        <v>175</v>
      </c>
      <c r="E74" s="33">
        <f t="shared" si="2"/>
        <v>0.19215686274509805</v>
      </c>
      <c r="F74" s="33">
        <v>1</v>
      </c>
      <c r="G74" s="33">
        <f>IF(prodnorm89&gt;0,1/ROUND(prodnorm89,4),0)</f>
        <v>0</v>
      </c>
      <c r="H74" s="35">
        <f>ROUND(uurtarief89,2)</f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756.75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</row>
    <row r="75" spans="1:25" x14ac:dyDescent="0.25">
      <c r="A75" s="20" t="s">
        <v>258</v>
      </c>
      <c r="B75" s="20" t="s">
        <v>20</v>
      </c>
      <c r="C75" s="20" t="s">
        <v>294</v>
      </c>
      <c r="D75" s="20" t="s">
        <v>175</v>
      </c>
      <c r="E75" s="33">
        <f t="shared" si="2"/>
        <v>0.19215686274509805</v>
      </c>
      <c r="F75" s="33">
        <v>1</v>
      </c>
      <c r="G75" s="33">
        <f>IF(prodnorm90&gt;0,1/ROUND(prodnorm90,4),0)</f>
        <v>0</v>
      </c>
      <c r="H75" s="35">
        <f>ROUND(uurtarief90,2)</f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98.749999999999986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</row>
    <row r="76" spans="1:25" x14ac:dyDescent="0.25">
      <c r="A76" s="20" t="s">
        <v>260</v>
      </c>
      <c r="B76" s="20" t="s">
        <v>20</v>
      </c>
      <c r="C76" s="20" t="s">
        <v>294</v>
      </c>
      <c r="D76" s="20" t="s">
        <v>175</v>
      </c>
      <c r="E76" s="33">
        <f t="shared" si="2"/>
        <v>0.19215686274509805</v>
      </c>
      <c r="F76" s="33">
        <v>1</v>
      </c>
      <c r="G76" s="33">
        <f>IF(prodnorm91&gt;0,1/ROUND(prodnorm91,4),0)</f>
        <v>0</v>
      </c>
      <c r="H76" s="35">
        <f>ROUND(uurtarief91,2)</f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16.899999999999999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</row>
    <row r="77" spans="1:25" x14ac:dyDescent="0.25">
      <c r="A77" s="20" t="s">
        <v>262</v>
      </c>
      <c r="B77" s="20" t="s">
        <v>20</v>
      </c>
      <c r="C77" s="20" t="s">
        <v>294</v>
      </c>
      <c r="D77" s="20" t="s">
        <v>175</v>
      </c>
      <c r="E77" s="33">
        <f t="shared" si="2"/>
        <v>0.19215686274509805</v>
      </c>
      <c r="F77" s="33">
        <v>1</v>
      </c>
      <c r="G77" s="33">
        <f>IF(prodnorm92&gt;0,1/ROUND(prodnorm92,4),0)</f>
        <v>0</v>
      </c>
      <c r="H77" s="35">
        <f>ROUND(uurtarief92,2)</f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31.5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</row>
    <row r="78" spans="1:25" x14ac:dyDescent="0.25">
      <c r="A78" s="20" t="s">
        <v>264</v>
      </c>
      <c r="B78" s="20" t="s">
        <v>20</v>
      </c>
      <c r="C78" s="20" t="s">
        <v>294</v>
      </c>
      <c r="D78" s="20" t="s">
        <v>175</v>
      </c>
      <c r="E78" s="33">
        <f t="shared" si="2"/>
        <v>0.19215686274509805</v>
      </c>
      <c r="F78" s="33">
        <v>1</v>
      </c>
      <c r="G78" s="33">
        <f>IF(prodnorm93&gt;0,1/ROUND(prodnorm93,4),0)</f>
        <v>0</v>
      </c>
      <c r="H78" s="35">
        <f>ROUND(uurtarief93,2)</f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133.05000000000001</v>
      </c>
      <c r="R78" s="33">
        <v>0</v>
      </c>
      <c r="S78" s="33">
        <v>237.95000000000002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</row>
    <row r="79" spans="1:25" x14ac:dyDescent="0.25">
      <c r="A79" s="20" t="s">
        <v>148</v>
      </c>
      <c r="B79" s="20" t="s">
        <v>20</v>
      </c>
      <c r="C79" s="20" t="s">
        <v>294</v>
      </c>
      <c r="D79" s="20" t="s">
        <v>175</v>
      </c>
      <c r="E79" s="33">
        <f t="shared" si="2"/>
        <v>0.19215686274509805</v>
      </c>
      <c r="F79" s="33">
        <v>1</v>
      </c>
      <c r="G79" s="33">
        <f>IF(prodnorm94&gt;0,1/ROUND(prodnorm94,4),0)</f>
        <v>0</v>
      </c>
      <c r="H79" s="35">
        <f>ROUND(uurtarief94,2)</f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17.650000000000002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</row>
    <row r="80" spans="1:25" x14ac:dyDescent="0.25">
      <c r="A80" s="20" t="s">
        <v>150</v>
      </c>
      <c r="B80" s="20" t="s">
        <v>20</v>
      </c>
      <c r="C80" s="20" t="s">
        <v>294</v>
      </c>
      <c r="D80" s="20" t="s">
        <v>175</v>
      </c>
      <c r="E80" s="33">
        <f t="shared" si="2"/>
        <v>0.19215686274509805</v>
      </c>
      <c r="F80" s="33">
        <v>1</v>
      </c>
      <c r="G80" s="33">
        <f>IF(prodnorm95&gt;0,1/ROUND(prodnorm95,4),0)</f>
        <v>0</v>
      </c>
      <c r="H80" s="35">
        <f>ROUND(uurtarief95,2)</f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19.3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</row>
    <row r="81" spans="1:25" x14ac:dyDescent="0.25">
      <c r="A81" s="20" t="s">
        <v>152</v>
      </c>
      <c r="B81" s="20" t="s">
        <v>20</v>
      </c>
      <c r="C81" s="20" t="s">
        <v>294</v>
      </c>
      <c r="D81" s="20" t="s">
        <v>175</v>
      </c>
      <c r="E81" s="33">
        <f t="shared" si="2"/>
        <v>0.19215686274509805</v>
      </c>
      <c r="F81" s="33">
        <v>1</v>
      </c>
      <c r="G81" s="33">
        <f>IF(prodnorm96&gt;0,1/ROUND(prodnorm96,4),0)</f>
        <v>0</v>
      </c>
      <c r="H81" s="35">
        <f>ROUND(uurtarief96,2)</f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375.35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</row>
    <row r="82" spans="1:25" x14ac:dyDescent="0.25">
      <c r="A82" s="25" t="s">
        <v>164</v>
      </c>
      <c r="B82" s="25" t="s">
        <v>20</v>
      </c>
      <c r="C82" s="25" t="s">
        <v>294</v>
      </c>
      <c r="D82" s="25" t="s">
        <v>175</v>
      </c>
      <c r="E82" s="37">
        <f t="shared" si="2"/>
        <v>0.19215686274509805</v>
      </c>
      <c r="F82" s="37">
        <v>1</v>
      </c>
      <c r="G82" s="37">
        <f>IF(prodnorm97&gt;0,1/ROUND(prodnorm97,4),0)</f>
        <v>0</v>
      </c>
      <c r="H82" s="39">
        <f>ROUND(uurtarief97,2)</f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72.099999999999994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</row>
    <row r="83" spans="1:25" x14ac:dyDescent="0.25">
      <c r="A83" s="40" t="s">
        <v>266</v>
      </c>
      <c r="B83" s="41"/>
      <c r="C83" s="41"/>
      <c r="D83" s="41"/>
      <c r="E83" s="41"/>
      <c r="F83" s="41"/>
      <c r="G83" s="41"/>
      <c r="H83" s="41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</row>
  </sheetData>
  <pageMargins left="0.7" right="0.7" top="0.75" bottom="0.75" header="0.3" footer="0.3"/>
  <pageSetup scale="70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7DEF6-6A7F-4B1C-8600-B1A3F300948E}">
  <dimension ref="A1:O30"/>
  <sheetViews>
    <sheetView workbookViewId="0"/>
  </sheetViews>
  <sheetFormatPr defaultRowHeight="15" x14ac:dyDescent="0.2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12" width="12.28515625" customWidth="1"/>
    <col min="13" max="13" width="12.7109375" customWidth="1"/>
    <col min="14" max="15" width="13.7109375" customWidth="1"/>
  </cols>
  <sheetData>
    <row r="1" spans="1:15" x14ac:dyDescent="0.25">
      <c r="A1" s="1" t="str">
        <f>CONCATENATE("Bijlage H.3: ",tabeltype," kostenplaatsen")</f>
        <v>Bijlage H.3: Invultabel kostenplaatsen</v>
      </c>
    </row>
    <row r="3" spans="1:15" ht="45" x14ac:dyDescent="0.25">
      <c r="A3" s="8" t="s">
        <v>295</v>
      </c>
      <c r="B3" s="8" t="s">
        <v>296</v>
      </c>
      <c r="C3" s="8" t="s">
        <v>297</v>
      </c>
      <c r="D3" s="8" t="s">
        <v>298</v>
      </c>
      <c r="E3" s="8" t="s">
        <v>7</v>
      </c>
      <c r="F3" s="8" t="s">
        <v>299</v>
      </c>
      <c r="G3" s="8" t="s">
        <v>300</v>
      </c>
      <c r="H3" s="8" t="s">
        <v>301</v>
      </c>
      <c r="I3" s="8" t="s">
        <v>302</v>
      </c>
      <c r="J3" s="8" t="s">
        <v>303</v>
      </c>
      <c r="K3" s="8" t="s">
        <v>304</v>
      </c>
      <c r="L3" s="8" t="s">
        <v>305</v>
      </c>
      <c r="M3" s="8" t="s">
        <v>172</v>
      </c>
      <c r="N3" s="8" t="s">
        <v>306</v>
      </c>
      <c r="O3" s="8" t="s">
        <v>307</v>
      </c>
    </row>
    <row r="4" spans="1:15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x14ac:dyDescent="0.25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5" x14ac:dyDescent="0.25">
      <c r="A6" s="15" t="s">
        <v>278</v>
      </c>
      <c r="B6" s="15" t="s">
        <v>308</v>
      </c>
      <c r="C6" s="15"/>
      <c r="D6" s="15"/>
      <c r="E6" s="51" t="s">
        <v>10</v>
      </c>
      <c r="F6" s="52">
        <f t="shared" ref="F6:F18" si="0">gemuurtarief1</f>
        <v>0</v>
      </c>
      <c r="G6" s="30">
        <f>SUMPRODUCT(taakfreqtabel1,uurfactortabel1,kengetaltabel1,object3_opptabel1)*(1/VLOOKUP(E6,dagsoorttabel1,2,FALSE))</f>
        <v>0.4</v>
      </c>
      <c r="H6" s="53"/>
      <c r="I6" s="30">
        <f t="shared" ref="I6:I18" si="1">G6+H6</f>
        <v>0.4</v>
      </c>
      <c r="J6" s="32">
        <f>SUMPRODUCT(taakfreqtabel1,kengetaltabel1,tarieftabel1,object3_opptabel1)*(1/VLOOKUP(E6,dagsoorttabel1,2,FALSE))</f>
        <v>0</v>
      </c>
      <c r="K6" s="32">
        <f t="shared" ref="K6:K18" si="2">F6*H6</f>
        <v>0</v>
      </c>
      <c r="L6" s="32">
        <f t="shared" ref="L6:L18" si="3">SUM(J6:K6)</f>
        <v>0</v>
      </c>
      <c r="M6" s="30">
        <f t="shared" ref="M6:M18" si="4">I6*dagenperjaar1*VLOOKUP(E6,dagsoorttabel1,2,FALSE)</f>
        <v>102</v>
      </c>
      <c r="N6" s="32">
        <f t="shared" ref="N6:N18" si="5">L6*dagenperjaar1*VLOOKUP(E6,dagsoorttabel1,2,FALSE)</f>
        <v>0</v>
      </c>
      <c r="O6" s="32">
        <f t="shared" ref="O6:O18" si="6">N6/12</f>
        <v>0</v>
      </c>
    </row>
    <row r="7" spans="1:15" x14ac:dyDescent="0.25">
      <c r="A7" s="20" t="s">
        <v>280</v>
      </c>
      <c r="B7" s="20" t="s">
        <v>309</v>
      </c>
      <c r="C7" s="20"/>
      <c r="D7" s="20"/>
      <c r="E7" s="54" t="s">
        <v>15</v>
      </c>
      <c r="F7" s="55">
        <f t="shared" si="0"/>
        <v>0</v>
      </c>
      <c r="G7" s="33">
        <f>SUMPRODUCT(taakfreqtabel1,uurfactortabel1,kengetaltabel1,object5_opptabel1)*(1/VLOOKUP(E7,dagsoorttabel1,2,FALSE))</f>
        <v>0</v>
      </c>
      <c r="H7" s="56"/>
      <c r="I7" s="33">
        <f t="shared" si="1"/>
        <v>0</v>
      </c>
      <c r="J7" s="35">
        <f>SUMPRODUCT(taakfreqtabel1,kengetaltabel1,tarieftabel1,object5_opptabel1)*(1/VLOOKUP(E7,dagsoorttabel1,2,FALSE))</f>
        <v>0</v>
      </c>
      <c r="K7" s="35">
        <f t="shared" si="2"/>
        <v>0</v>
      </c>
      <c r="L7" s="35">
        <f t="shared" si="3"/>
        <v>0</v>
      </c>
      <c r="M7" s="33">
        <f t="shared" si="4"/>
        <v>0</v>
      </c>
      <c r="N7" s="35">
        <f t="shared" si="5"/>
        <v>0</v>
      </c>
      <c r="O7" s="35">
        <f t="shared" si="6"/>
        <v>0</v>
      </c>
    </row>
    <row r="8" spans="1:15" x14ac:dyDescent="0.25">
      <c r="A8" s="20" t="s">
        <v>281</v>
      </c>
      <c r="B8" s="20" t="s">
        <v>310</v>
      </c>
      <c r="C8" s="20"/>
      <c r="D8" s="20"/>
      <c r="E8" s="54" t="s">
        <v>22</v>
      </c>
      <c r="F8" s="55">
        <f t="shared" si="0"/>
        <v>0</v>
      </c>
      <c r="G8" s="33">
        <f>SUMPRODUCT(taakfreqtabel1,uurfactortabel1,kengetaltabel1,object6_opptabel1)*(1/VLOOKUP(E8,dagsoorttabel1,2,FALSE))</f>
        <v>0</v>
      </c>
      <c r="H8" s="56"/>
      <c r="I8" s="33">
        <f t="shared" si="1"/>
        <v>0</v>
      </c>
      <c r="J8" s="35">
        <f>SUMPRODUCT(taakfreqtabel1,kengetaltabel1,tarieftabel1,object6_opptabel1)*(1/VLOOKUP(E8,dagsoorttabel1,2,FALSE))</f>
        <v>0</v>
      </c>
      <c r="K8" s="35">
        <f t="shared" si="2"/>
        <v>0</v>
      </c>
      <c r="L8" s="35">
        <f t="shared" si="3"/>
        <v>0</v>
      </c>
      <c r="M8" s="33">
        <f t="shared" si="4"/>
        <v>0</v>
      </c>
      <c r="N8" s="35">
        <f t="shared" si="5"/>
        <v>0</v>
      </c>
      <c r="O8" s="35">
        <f t="shared" si="6"/>
        <v>0</v>
      </c>
    </row>
    <row r="9" spans="1:15" x14ac:dyDescent="0.25">
      <c r="A9" s="20" t="s">
        <v>282</v>
      </c>
      <c r="B9" s="20" t="s">
        <v>311</v>
      </c>
      <c r="C9" s="20"/>
      <c r="D9" s="20"/>
      <c r="E9" s="54" t="s">
        <v>22</v>
      </c>
      <c r="F9" s="55">
        <f t="shared" si="0"/>
        <v>0</v>
      </c>
      <c r="G9" s="33">
        <f>SUMPRODUCT(taakfreqtabel1,uurfactortabel1,kengetaltabel1,object7_opptabel1)*(1/VLOOKUP(E9,dagsoorttabel1,2,FALSE))</f>
        <v>0</v>
      </c>
      <c r="H9" s="56"/>
      <c r="I9" s="33">
        <f t="shared" si="1"/>
        <v>0</v>
      </c>
      <c r="J9" s="35">
        <f>SUMPRODUCT(taakfreqtabel1,kengetaltabel1,tarieftabel1,object7_opptabel1)*(1/VLOOKUP(E9,dagsoorttabel1,2,FALSE))</f>
        <v>0</v>
      </c>
      <c r="K9" s="35">
        <f t="shared" si="2"/>
        <v>0</v>
      </c>
      <c r="L9" s="35">
        <f t="shared" si="3"/>
        <v>0</v>
      </c>
      <c r="M9" s="33">
        <f t="shared" si="4"/>
        <v>0</v>
      </c>
      <c r="N9" s="35">
        <f t="shared" si="5"/>
        <v>0</v>
      </c>
      <c r="O9" s="35">
        <f t="shared" si="6"/>
        <v>0</v>
      </c>
    </row>
    <row r="10" spans="1:15" x14ac:dyDescent="0.25">
      <c r="A10" s="20" t="s">
        <v>283</v>
      </c>
      <c r="B10" s="20" t="s">
        <v>312</v>
      </c>
      <c r="C10" s="20"/>
      <c r="D10" s="20"/>
      <c r="E10" s="54" t="s">
        <v>22</v>
      </c>
      <c r="F10" s="55">
        <f t="shared" si="0"/>
        <v>0</v>
      </c>
      <c r="G10" s="33">
        <f>SUMPRODUCT(taakfreqtabel1,uurfactortabel1,kengetaltabel1,object8_opptabel1)*(1/VLOOKUP(E10,dagsoorttabel1,2,FALSE))</f>
        <v>0</v>
      </c>
      <c r="H10" s="56"/>
      <c r="I10" s="33">
        <f t="shared" si="1"/>
        <v>0</v>
      </c>
      <c r="J10" s="35">
        <f>SUMPRODUCT(taakfreqtabel1,kengetaltabel1,tarieftabel1,object8_opptabel1)*(1/VLOOKUP(E10,dagsoorttabel1,2,FALSE))</f>
        <v>0</v>
      </c>
      <c r="K10" s="35">
        <f t="shared" si="2"/>
        <v>0</v>
      </c>
      <c r="L10" s="35">
        <f t="shared" si="3"/>
        <v>0</v>
      </c>
      <c r="M10" s="33">
        <f t="shared" si="4"/>
        <v>0</v>
      </c>
      <c r="N10" s="35">
        <f t="shared" si="5"/>
        <v>0</v>
      </c>
      <c r="O10" s="35">
        <f t="shared" si="6"/>
        <v>0</v>
      </c>
    </row>
    <row r="11" spans="1:15" x14ac:dyDescent="0.25">
      <c r="A11" s="20" t="s">
        <v>284</v>
      </c>
      <c r="B11" s="20" t="s">
        <v>313</v>
      </c>
      <c r="C11" s="20"/>
      <c r="D11" s="20"/>
      <c r="E11" s="54" t="s">
        <v>11</v>
      </c>
      <c r="F11" s="55">
        <f t="shared" si="0"/>
        <v>0</v>
      </c>
      <c r="G11" s="33">
        <f>SUMPRODUCT(taakfreqtabel1,uurfactortabel1,kengetaltabel1,object9_opptabel1)*(1/VLOOKUP(E11,dagsoorttabel1,2,FALSE))</f>
        <v>0</v>
      </c>
      <c r="H11" s="56"/>
      <c r="I11" s="33">
        <f t="shared" si="1"/>
        <v>0</v>
      </c>
      <c r="J11" s="35">
        <f>SUMPRODUCT(taakfreqtabel1,kengetaltabel1,tarieftabel1,object9_opptabel1)*(1/VLOOKUP(E11,dagsoorttabel1,2,FALSE))</f>
        <v>0</v>
      </c>
      <c r="K11" s="35">
        <f t="shared" si="2"/>
        <v>0</v>
      </c>
      <c r="L11" s="35">
        <f t="shared" si="3"/>
        <v>0</v>
      </c>
      <c r="M11" s="33">
        <f t="shared" si="4"/>
        <v>0</v>
      </c>
      <c r="N11" s="35">
        <f t="shared" si="5"/>
        <v>0</v>
      </c>
      <c r="O11" s="35">
        <f t="shared" si="6"/>
        <v>0</v>
      </c>
    </row>
    <row r="12" spans="1:15" x14ac:dyDescent="0.25">
      <c r="A12" s="20" t="s">
        <v>285</v>
      </c>
      <c r="B12" s="20" t="s">
        <v>314</v>
      </c>
      <c r="C12" s="20"/>
      <c r="D12" s="20"/>
      <c r="E12" s="54" t="s">
        <v>17</v>
      </c>
      <c r="F12" s="55">
        <f t="shared" si="0"/>
        <v>0</v>
      </c>
      <c r="G12" s="33">
        <f>SUMPRODUCT(taakfreqtabel1,uurfactortabel1,kengetaltabel1,object10_opptabel1)*(1/VLOOKUP(E12,dagsoorttabel1,2,FALSE))</f>
        <v>0</v>
      </c>
      <c r="H12" s="56"/>
      <c r="I12" s="33">
        <f t="shared" si="1"/>
        <v>0</v>
      </c>
      <c r="J12" s="35">
        <f>SUMPRODUCT(taakfreqtabel1,kengetaltabel1,tarieftabel1,object10_opptabel1)*(1/VLOOKUP(E12,dagsoorttabel1,2,FALSE))</f>
        <v>0</v>
      </c>
      <c r="K12" s="35">
        <f t="shared" si="2"/>
        <v>0</v>
      </c>
      <c r="L12" s="35">
        <f t="shared" si="3"/>
        <v>0</v>
      </c>
      <c r="M12" s="33">
        <f t="shared" si="4"/>
        <v>0</v>
      </c>
      <c r="N12" s="35">
        <f t="shared" si="5"/>
        <v>0</v>
      </c>
      <c r="O12" s="35">
        <f t="shared" si="6"/>
        <v>0</v>
      </c>
    </row>
    <row r="13" spans="1:15" x14ac:dyDescent="0.25">
      <c r="A13" s="20" t="s">
        <v>286</v>
      </c>
      <c r="B13" s="20" t="s">
        <v>315</v>
      </c>
      <c r="C13" s="20"/>
      <c r="D13" s="20"/>
      <c r="E13" s="54" t="s">
        <v>11</v>
      </c>
      <c r="F13" s="55">
        <f t="shared" si="0"/>
        <v>0</v>
      </c>
      <c r="G13" s="33">
        <f>SUMPRODUCT(taakfreqtabel1,uurfactortabel1,kengetaltabel1,object11_opptabel1)*(1/VLOOKUP(E13,dagsoorttabel1,2,FALSE))</f>
        <v>0</v>
      </c>
      <c r="H13" s="56"/>
      <c r="I13" s="33">
        <f t="shared" si="1"/>
        <v>0</v>
      </c>
      <c r="J13" s="35">
        <f>SUMPRODUCT(taakfreqtabel1,kengetaltabel1,tarieftabel1,object11_opptabel1)*(1/VLOOKUP(E13,dagsoorttabel1,2,FALSE))</f>
        <v>0</v>
      </c>
      <c r="K13" s="35">
        <f t="shared" si="2"/>
        <v>0</v>
      </c>
      <c r="L13" s="35">
        <f t="shared" si="3"/>
        <v>0</v>
      </c>
      <c r="M13" s="33">
        <f t="shared" si="4"/>
        <v>0</v>
      </c>
      <c r="N13" s="35">
        <f t="shared" si="5"/>
        <v>0</v>
      </c>
      <c r="O13" s="35">
        <f t="shared" si="6"/>
        <v>0</v>
      </c>
    </row>
    <row r="14" spans="1:15" x14ac:dyDescent="0.25">
      <c r="A14" s="20" t="s">
        <v>287</v>
      </c>
      <c r="B14" s="20" t="s">
        <v>316</v>
      </c>
      <c r="C14" s="20"/>
      <c r="D14" s="20"/>
      <c r="E14" s="54" t="s">
        <v>17</v>
      </c>
      <c r="F14" s="55">
        <f t="shared" si="0"/>
        <v>0</v>
      </c>
      <c r="G14" s="33">
        <f>SUMPRODUCT(taakfreqtabel1,uurfactortabel1,kengetaltabel1,object12_opptabel1)*(1/VLOOKUP(E14,dagsoorttabel1,2,FALSE))</f>
        <v>0</v>
      </c>
      <c r="H14" s="56"/>
      <c r="I14" s="33">
        <f t="shared" si="1"/>
        <v>0</v>
      </c>
      <c r="J14" s="35">
        <f>SUMPRODUCT(taakfreqtabel1,kengetaltabel1,tarieftabel1,object12_opptabel1)*(1/VLOOKUP(E14,dagsoorttabel1,2,FALSE))</f>
        <v>0</v>
      </c>
      <c r="K14" s="35">
        <f t="shared" si="2"/>
        <v>0</v>
      </c>
      <c r="L14" s="35">
        <f t="shared" si="3"/>
        <v>0</v>
      </c>
      <c r="M14" s="33">
        <f t="shared" si="4"/>
        <v>0</v>
      </c>
      <c r="N14" s="35">
        <f t="shared" si="5"/>
        <v>0</v>
      </c>
      <c r="O14" s="35">
        <f t="shared" si="6"/>
        <v>0</v>
      </c>
    </row>
    <row r="15" spans="1:15" x14ac:dyDescent="0.25">
      <c r="A15" s="20" t="s">
        <v>288</v>
      </c>
      <c r="B15" s="20" t="s">
        <v>317</v>
      </c>
      <c r="C15" s="20"/>
      <c r="D15" s="20"/>
      <c r="E15" s="54" t="s">
        <v>9</v>
      </c>
      <c r="F15" s="55">
        <f t="shared" si="0"/>
        <v>0</v>
      </c>
      <c r="G15" s="33">
        <f>SUMPRODUCT(taakfreqtabel1,uurfactortabel1,kengetaltabel1,object13_opptabel1)*(1/VLOOKUP(E15,dagsoorttabel1,2,FALSE))</f>
        <v>0</v>
      </c>
      <c r="H15" s="56"/>
      <c r="I15" s="33">
        <f t="shared" si="1"/>
        <v>0</v>
      </c>
      <c r="J15" s="35">
        <f>SUMPRODUCT(taakfreqtabel1,kengetaltabel1,tarieftabel1,object13_opptabel1)*(1/VLOOKUP(E15,dagsoorttabel1,2,FALSE))</f>
        <v>0</v>
      </c>
      <c r="K15" s="35">
        <f t="shared" si="2"/>
        <v>0</v>
      </c>
      <c r="L15" s="35">
        <f t="shared" si="3"/>
        <v>0</v>
      </c>
      <c r="M15" s="33">
        <f t="shared" si="4"/>
        <v>0</v>
      </c>
      <c r="N15" s="35">
        <f t="shared" si="5"/>
        <v>0</v>
      </c>
      <c r="O15" s="35">
        <f t="shared" si="6"/>
        <v>0</v>
      </c>
    </row>
    <row r="16" spans="1:15" x14ac:dyDescent="0.25">
      <c r="A16" s="20" t="s">
        <v>289</v>
      </c>
      <c r="B16" s="20" t="s">
        <v>318</v>
      </c>
      <c r="C16" s="20"/>
      <c r="D16" s="20"/>
      <c r="E16" s="54" t="s">
        <v>11</v>
      </c>
      <c r="F16" s="55">
        <f t="shared" si="0"/>
        <v>0</v>
      </c>
      <c r="G16" s="33">
        <f>SUMPRODUCT(taakfreqtabel1,uurfactortabel1,kengetaltabel1,object14_opptabel1)*(1/VLOOKUP(E16,dagsoorttabel1,2,FALSE))</f>
        <v>0</v>
      </c>
      <c r="H16" s="56"/>
      <c r="I16" s="33">
        <f t="shared" si="1"/>
        <v>0</v>
      </c>
      <c r="J16" s="35">
        <f>SUMPRODUCT(taakfreqtabel1,kengetaltabel1,tarieftabel1,object14_opptabel1)*(1/VLOOKUP(E16,dagsoorttabel1,2,FALSE))</f>
        <v>0</v>
      </c>
      <c r="K16" s="35">
        <f t="shared" si="2"/>
        <v>0</v>
      </c>
      <c r="L16" s="35">
        <f t="shared" si="3"/>
        <v>0</v>
      </c>
      <c r="M16" s="33">
        <f t="shared" si="4"/>
        <v>0</v>
      </c>
      <c r="N16" s="35">
        <f t="shared" si="5"/>
        <v>0</v>
      </c>
      <c r="O16" s="35">
        <f t="shared" si="6"/>
        <v>0</v>
      </c>
    </row>
    <row r="17" spans="1:15" x14ac:dyDescent="0.25">
      <c r="A17" s="20" t="s">
        <v>290</v>
      </c>
      <c r="B17" s="20" t="s">
        <v>319</v>
      </c>
      <c r="C17" s="20"/>
      <c r="D17" s="20"/>
      <c r="E17" s="54" t="s">
        <v>11</v>
      </c>
      <c r="F17" s="55">
        <f t="shared" si="0"/>
        <v>0</v>
      </c>
      <c r="G17" s="33">
        <f>SUMPRODUCT(taakfreqtabel1,uurfactortabel1,kengetaltabel1,object15_opptabel1)*(1/VLOOKUP(E17,dagsoorttabel1,2,FALSE))</f>
        <v>0</v>
      </c>
      <c r="H17" s="56"/>
      <c r="I17" s="33">
        <f t="shared" si="1"/>
        <v>0</v>
      </c>
      <c r="J17" s="35">
        <f>SUMPRODUCT(taakfreqtabel1,kengetaltabel1,tarieftabel1,object15_opptabel1)*(1/VLOOKUP(E17,dagsoorttabel1,2,FALSE))</f>
        <v>0</v>
      </c>
      <c r="K17" s="35">
        <f t="shared" si="2"/>
        <v>0</v>
      </c>
      <c r="L17" s="35">
        <f t="shared" si="3"/>
        <v>0</v>
      </c>
      <c r="M17" s="33">
        <f t="shared" si="4"/>
        <v>0</v>
      </c>
      <c r="N17" s="35">
        <f t="shared" si="5"/>
        <v>0</v>
      </c>
      <c r="O17" s="35">
        <f t="shared" si="6"/>
        <v>0</v>
      </c>
    </row>
    <row r="18" spans="1:15" x14ac:dyDescent="0.25">
      <c r="A18" s="25" t="s">
        <v>291</v>
      </c>
      <c r="B18" s="25" t="s">
        <v>320</v>
      </c>
      <c r="C18" s="25"/>
      <c r="D18" s="25"/>
      <c r="E18" s="57" t="s">
        <v>11</v>
      </c>
      <c r="F18" s="58">
        <f t="shared" si="0"/>
        <v>0</v>
      </c>
      <c r="G18" s="37">
        <f>SUMPRODUCT(taakfreqtabel1,uurfactortabel1,kengetaltabel1,object16_opptabel1)*(1/VLOOKUP(E18,dagsoorttabel1,2,FALSE))</f>
        <v>0</v>
      </c>
      <c r="H18" s="59"/>
      <c r="I18" s="37">
        <f t="shared" si="1"/>
        <v>0</v>
      </c>
      <c r="J18" s="39">
        <f>SUMPRODUCT(taakfreqtabel1,kengetaltabel1,tarieftabel1,object16_opptabel1)*(1/VLOOKUP(E18,dagsoorttabel1,2,FALSE))</f>
        <v>0</v>
      </c>
      <c r="K18" s="39">
        <f t="shared" si="2"/>
        <v>0</v>
      </c>
      <c r="L18" s="39">
        <f t="shared" si="3"/>
        <v>0</v>
      </c>
      <c r="M18" s="37">
        <f t="shared" si="4"/>
        <v>0</v>
      </c>
      <c r="N18" s="39">
        <f t="shared" si="5"/>
        <v>0</v>
      </c>
      <c r="O18" s="39">
        <f t="shared" si="6"/>
        <v>0</v>
      </c>
    </row>
    <row r="19" spans="1:15" x14ac:dyDescent="0.25">
      <c r="A19" s="40" t="s">
        <v>248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>
        <f>SUM(M6:M18)</f>
        <v>102</v>
      </c>
      <c r="N19" s="43">
        <f>SUM(N6:N18)</f>
        <v>0</v>
      </c>
      <c r="O19" s="44">
        <f>SUM(O6:O18)</f>
        <v>0</v>
      </c>
    </row>
    <row r="20" spans="1:15" x14ac:dyDescent="0.25">
      <c r="A20" s="45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6"/>
    </row>
    <row r="21" spans="1:15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</row>
    <row r="22" spans="1:15" x14ac:dyDescent="0.25">
      <c r="A22" s="12" t="s">
        <v>141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</row>
    <row r="23" spans="1:15" x14ac:dyDescent="0.25">
      <c r="A23" s="15" t="s">
        <v>284</v>
      </c>
      <c r="B23" s="15" t="s">
        <v>313</v>
      </c>
      <c r="C23" s="15"/>
      <c r="D23" s="15"/>
      <c r="E23" s="51" t="s">
        <v>20</v>
      </c>
      <c r="F23" s="52">
        <f>gemuurtarief3</f>
        <v>0</v>
      </c>
      <c r="G23" s="30">
        <f>SUMPRODUCT(taakfreqtabel3,uurfactortabel3,kengetaltabel3,object9_opptabel3)*(1/VLOOKUP(E23,dagsoorttabel1,2,FALSE))</f>
        <v>0</v>
      </c>
      <c r="H23" s="53"/>
      <c r="I23" s="30">
        <f>G23+H23</f>
        <v>0</v>
      </c>
      <c r="J23" s="32">
        <f>SUMPRODUCT(taakfreqtabel3,kengetaltabel3,tarieftabel3,object9_opptabel3)*(1/VLOOKUP(E23,dagsoorttabel1,2,FALSE))</f>
        <v>0</v>
      </c>
      <c r="K23" s="32">
        <f>F23*H23</f>
        <v>0</v>
      </c>
      <c r="L23" s="32">
        <f>SUM(J23:K23)</f>
        <v>0</v>
      </c>
      <c r="M23" s="30">
        <f>I23*dagenperjaar1*VLOOKUP(E23,dagsoorttabel1,2,FALSE)</f>
        <v>0</v>
      </c>
      <c r="N23" s="32">
        <f>L23*dagenperjaar1*VLOOKUP(E23,dagsoorttabel1,2,FALSE)</f>
        <v>0</v>
      </c>
      <c r="O23" s="32">
        <f>N23/12</f>
        <v>0</v>
      </c>
    </row>
    <row r="24" spans="1:15" x14ac:dyDescent="0.25">
      <c r="A24" s="25" t="s">
        <v>286</v>
      </c>
      <c r="B24" s="25" t="s">
        <v>315</v>
      </c>
      <c r="C24" s="25"/>
      <c r="D24" s="25"/>
      <c r="E24" s="57" t="s">
        <v>20</v>
      </c>
      <c r="F24" s="58">
        <f>gemuurtarief3</f>
        <v>0</v>
      </c>
      <c r="G24" s="37">
        <f>SUMPRODUCT(taakfreqtabel3,uurfactortabel3,kengetaltabel3,object11_opptabel3)*(1/VLOOKUP(E24,dagsoorttabel1,2,FALSE))</f>
        <v>0</v>
      </c>
      <c r="H24" s="59"/>
      <c r="I24" s="37">
        <f>G24+H24</f>
        <v>0</v>
      </c>
      <c r="J24" s="39">
        <f>SUMPRODUCT(taakfreqtabel3,kengetaltabel3,tarieftabel3,object11_opptabel3)*(1/VLOOKUP(E24,dagsoorttabel1,2,FALSE))</f>
        <v>0</v>
      </c>
      <c r="K24" s="39">
        <f>F24*H24</f>
        <v>0</v>
      </c>
      <c r="L24" s="39">
        <f>SUM(J24:K24)</f>
        <v>0</v>
      </c>
      <c r="M24" s="37">
        <f>I24*dagenperjaar1*VLOOKUP(E24,dagsoorttabel1,2,FALSE)</f>
        <v>0</v>
      </c>
      <c r="N24" s="39">
        <f>L24*dagenperjaar1*VLOOKUP(E24,dagsoorttabel1,2,FALSE)</f>
        <v>0</v>
      </c>
      <c r="O24" s="39">
        <f>N24/12</f>
        <v>0</v>
      </c>
    </row>
    <row r="25" spans="1:15" x14ac:dyDescent="0.25">
      <c r="A25" s="40" t="s">
        <v>266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>
        <f>SUM(M23:M24)</f>
        <v>0</v>
      </c>
      <c r="N25" s="43">
        <f>SUM(N23:N24)</f>
        <v>0</v>
      </c>
      <c r="O25" s="44">
        <f>SUM(O23:O24)</f>
        <v>0</v>
      </c>
    </row>
    <row r="26" spans="1:15" x14ac:dyDescent="0.25">
      <c r="A26" s="45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6"/>
    </row>
    <row r="28" spans="1:15" x14ac:dyDescent="0.25">
      <c r="A28" s="40" t="s">
        <v>321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2">
        <f>urenjaartotaal1+urenjaartotaal3</f>
        <v>102</v>
      </c>
      <c r="N28" s="43">
        <f>prijsjaartotaal1+prijsjaartotaal3</f>
        <v>0</v>
      </c>
      <c r="O28" s="43">
        <f>prijsmaandtotaal1+prijsmaandtotaal3</f>
        <v>0</v>
      </c>
    </row>
    <row r="30" spans="1:15" x14ac:dyDescent="0.25">
      <c r="A30" s="40" t="s">
        <v>322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3">
        <f>N28*1.21</f>
        <v>0</v>
      </c>
      <c r="O30" s="43">
        <f>O28*1.21</f>
        <v>0</v>
      </c>
    </row>
  </sheetData>
  <pageMargins left="0.7" right="0.7" top="0.75" bottom="0.75" header="0.3" footer="0.3"/>
  <pageSetup scale="65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D54A-618F-443B-A595-1B53885E5FB1}">
  <dimension ref="A1:K148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40.7109375" customWidth="1"/>
    <col min="5" max="5" width="11.7109375" customWidth="1"/>
    <col min="6" max="7" width="14.7109375" customWidth="1"/>
    <col min="8" max="8" width="12.7109375" customWidth="1"/>
    <col min="9" max="10" width="14.7109375" customWidth="1"/>
    <col min="11" max="11" width="13.7109375" customWidth="1"/>
  </cols>
  <sheetData>
    <row r="1" spans="1:11" x14ac:dyDescent="0.25">
      <c r="A1" s="1" t="str">
        <f>CONCATENATE("Bijlage H.4: ",tabeltype," niet-meewerkende objectleiding")</f>
        <v>Bijlage H.4: Invultabel niet-meewerkende objectleiding</v>
      </c>
    </row>
    <row r="3" spans="1:11" ht="60" x14ac:dyDescent="0.25">
      <c r="A3" s="8" t="s">
        <v>323</v>
      </c>
      <c r="B3" s="8" t="s">
        <v>7</v>
      </c>
      <c r="C3" s="8" t="s">
        <v>324</v>
      </c>
      <c r="D3" s="8" t="s">
        <v>325</v>
      </c>
      <c r="E3" s="8" t="s">
        <v>326</v>
      </c>
      <c r="F3" s="8" t="s">
        <v>327</v>
      </c>
      <c r="G3" s="8" t="s">
        <v>328</v>
      </c>
      <c r="H3" s="8" t="s">
        <v>172</v>
      </c>
      <c r="I3" s="8" t="s">
        <v>329</v>
      </c>
      <c r="J3" s="8" t="s">
        <v>330</v>
      </c>
      <c r="K3" s="8" t="s">
        <v>331</v>
      </c>
    </row>
    <row r="4" spans="1:11" x14ac:dyDescent="0.25">
      <c r="A4" s="60"/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x14ac:dyDescent="0.25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5">
      <c r="A7" s="63" t="s">
        <v>332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5">
      <c r="A8" s="15" t="s">
        <v>333</v>
      </c>
      <c r="B8" s="15" t="s">
        <v>10</v>
      </c>
      <c r="C8" s="16">
        <f>IF(ISBLANK(B8),0,IF(ISERROR(VALUE(B8)),VLOOKUP(B8,dagsoorttabel1,2,FALSE)*dagenperjaar1,VALUE(B8)))</f>
        <v>255</v>
      </c>
      <c r="D8" s="15" t="s">
        <v>334</v>
      </c>
      <c r="E8" s="19"/>
      <c r="F8" s="18"/>
      <c r="G8" s="64"/>
      <c r="H8" s="30">
        <f>IF(ISBLANK(G8),0,G8*C8)+IF(ISBLANK(F8),0,F8*objecturen3_1)</f>
        <v>0</v>
      </c>
      <c r="I8" s="30">
        <f>IF(C8=0,0,H8/C8)</f>
        <v>0</v>
      </c>
      <c r="J8" s="32">
        <f>IF(ISBLANK(E8),0,ROUND(E8,2)*H8)</f>
        <v>0</v>
      </c>
      <c r="K8" s="32">
        <f>J8/12</f>
        <v>0</v>
      </c>
    </row>
    <row r="9" spans="1:11" x14ac:dyDescent="0.25">
      <c r="A9" s="20"/>
      <c r="B9" s="20"/>
      <c r="C9" s="65">
        <f>dagenperjaar1</f>
        <v>255</v>
      </c>
      <c r="D9" s="66" t="s">
        <v>335</v>
      </c>
      <c r="E9" s="24"/>
      <c r="F9" s="23"/>
      <c r="G9" s="67"/>
      <c r="H9" s="33">
        <f>IF(ISBLANK(G9),0,G9*C9)+IF(ISBLANK(F9),0,F9*objecturen3_1)</f>
        <v>0</v>
      </c>
      <c r="I9" s="33">
        <f>IF(C9=0,0,H9/C9)</f>
        <v>0</v>
      </c>
      <c r="J9" s="35">
        <f>IF(ISBLANK(E9),0,ROUND(E9,2)*H9)</f>
        <v>0</v>
      </c>
      <c r="K9" s="35">
        <f>J9/12</f>
        <v>0</v>
      </c>
    </row>
    <row r="10" spans="1:11" x14ac:dyDescent="0.25">
      <c r="A10" s="20"/>
      <c r="B10" s="20"/>
      <c r="C10" s="65">
        <f>dagenperjaar1</f>
        <v>255</v>
      </c>
      <c r="D10" s="66" t="s">
        <v>335</v>
      </c>
      <c r="E10" s="24"/>
      <c r="F10" s="23"/>
      <c r="G10" s="67"/>
      <c r="H10" s="33">
        <f>IF(ISBLANK(G10),0,G10*C10)+IF(ISBLANK(F10),0,F10*objecturen3_1)</f>
        <v>0</v>
      </c>
      <c r="I10" s="33">
        <f>IF(C10=0,0,H10/C10)</f>
        <v>0</v>
      </c>
      <c r="J10" s="35">
        <f>IF(ISBLANK(E10),0,ROUND(E10,2)*H10)</f>
        <v>0</v>
      </c>
      <c r="K10" s="35">
        <f>J10/12</f>
        <v>0</v>
      </c>
    </row>
    <row r="11" spans="1:11" x14ac:dyDescent="0.25">
      <c r="A11" s="20"/>
      <c r="B11" s="20"/>
      <c r="C11" s="65">
        <f>dagenperjaar1</f>
        <v>255</v>
      </c>
      <c r="D11" s="66" t="s">
        <v>336</v>
      </c>
      <c r="E11" s="24"/>
      <c r="F11" s="68"/>
      <c r="G11" s="22"/>
      <c r="H11" s="33">
        <f>IF(ISBLANK(G11),0,G11*C11)+IF(ISBLANK(F11),0,F11*objecturen3_1)</f>
        <v>0</v>
      </c>
      <c r="I11" s="33">
        <f>IF(C11=0,0,H11/C11)</f>
        <v>0</v>
      </c>
      <c r="J11" s="35">
        <f>IF(ISBLANK(E11),0,ROUND(E11,2)*H11)</f>
        <v>0</v>
      </c>
      <c r="K11" s="35">
        <f>J11/12</f>
        <v>0</v>
      </c>
    </row>
    <row r="12" spans="1:11" x14ac:dyDescent="0.25">
      <c r="A12" s="25"/>
      <c r="B12" s="25"/>
      <c r="C12" s="69">
        <f>dagenperjaar1</f>
        <v>255</v>
      </c>
      <c r="D12" s="70" t="s">
        <v>336</v>
      </c>
      <c r="E12" s="29"/>
      <c r="F12" s="71"/>
      <c r="G12" s="27"/>
      <c r="H12" s="37">
        <f>IF(ISBLANK(G12),0,G12*C12)+IF(ISBLANK(F12),0,F12*objecturen3_1)</f>
        <v>0</v>
      </c>
      <c r="I12" s="37">
        <f>IF(C12=0,0,H12/C12)</f>
        <v>0</v>
      </c>
      <c r="J12" s="39">
        <f>IF(ISBLANK(E12),0,ROUND(E12,2)*H12)</f>
        <v>0</v>
      </c>
      <c r="K12" s="39">
        <f>J12/12</f>
        <v>0</v>
      </c>
    </row>
    <row r="13" spans="1:11" x14ac:dyDescent="0.25">
      <c r="A13" s="72" t="s">
        <v>337</v>
      </c>
      <c r="B13" s="41"/>
      <c r="C13" s="41"/>
      <c r="D13" s="41"/>
      <c r="E13" s="41"/>
      <c r="F13" s="41"/>
      <c r="G13" s="41"/>
      <c r="H13" s="42">
        <f>SUM(H8:H12)</f>
        <v>0</v>
      </c>
      <c r="I13" s="41"/>
      <c r="J13" s="43">
        <f>SUM(J8:J12)</f>
        <v>0</v>
      </c>
      <c r="K13" s="44">
        <f>SUM(K8:K12)</f>
        <v>0</v>
      </c>
    </row>
    <row r="14" spans="1:11" x14ac:dyDescent="0.25">
      <c r="A14" s="45"/>
      <c r="B14" s="41"/>
      <c r="C14" s="41"/>
      <c r="D14" s="41"/>
      <c r="E14" s="41"/>
      <c r="F14" s="41"/>
      <c r="G14" s="41"/>
      <c r="H14" s="41"/>
      <c r="I14" s="41"/>
      <c r="J14" s="41"/>
      <c r="K14" s="46"/>
    </row>
    <row r="15" spans="1:11" x14ac:dyDescent="0.2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5">
      <c r="A16" s="63" t="s">
        <v>338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5">
      <c r="A17" s="15" t="s">
        <v>333</v>
      </c>
      <c r="B17" s="15" t="s">
        <v>15</v>
      </c>
      <c r="C17" s="16">
        <f>IF(ISBLANK(B17),0,IF(ISERROR(VALUE(B17)),VLOOKUP(B17,dagsoorttabel1,2,FALSE)*dagenperjaar1,VALUE(B17)))</f>
        <v>153</v>
      </c>
      <c r="D17" s="15" t="s">
        <v>334</v>
      </c>
      <c r="E17" s="19"/>
      <c r="F17" s="18"/>
      <c r="G17" s="64"/>
      <c r="H17" s="30">
        <f>IF(ISBLANK(G17),0,G17*C17)+IF(ISBLANK(F17),0,F17*objecturen5_1)</f>
        <v>0</v>
      </c>
      <c r="I17" s="30">
        <f>IF(C17=0,0,H17/C17)</f>
        <v>0</v>
      </c>
      <c r="J17" s="32">
        <f>IF(ISBLANK(E17),0,ROUND(E17,2)*H17)</f>
        <v>0</v>
      </c>
      <c r="K17" s="32">
        <f>J17/12</f>
        <v>0</v>
      </c>
    </row>
    <row r="18" spans="1:11" x14ac:dyDescent="0.25">
      <c r="A18" s="20"/>
      <c r="B18" s="20"/>
      <c r="C18" s="65">
        <f>dagenperjaar1</f>
        <v>255</v>
      </c>
      <c r="D18" s="66" t="s">
        <v>335</v>
      </c>
      <c r="E18" s="24"/>
      <c r="F18" s="23"/>
      <c r="G18" s="67"/>
      <c r="H18" s="33">
        <f>IF(ISBLANK(G18),0,G18*C18)+IF(ISBLANK(F18),0,F18*objecturen5_1)</f>
        <v>0</v>
      </c>
      <c r="I18" s="33">
        <f>IF(C18=0,0,H18/C18)</f>
        <v>0</v>
      </c>
      <c r="J18" s="35">
        <f>IF(ISBLANK(E18),0,ROUND(E18,2)*H18)</f>
        <v>0</v>
      </c>
      <c r="K18" s="35">
        <f>J18/12</f>
        <v>0</v>
      </c>
    </row>
    <row r="19" spans="1:11" x14ac:dyDescent="0.25">
      <c r="A19" s="20"/>
      <c r="B19" s="20"/>
      <c r="C19" s="65">
        <f>dagenperjaar1</f>
        <v>255</v>
      </c>
      <c r="D19" s="66" t="s">
        <v>335</v>
      </c>
      <c r="E19" s="24"/>
      <c r="F19" s="23"/>
      <c r="G19" s="67"/>
      <c r="H19" s="33">
        <f>IF(ISBLANK(G19),0,G19*C19)+IF(ISBLANK(F19),0,F19*objecturen5_1)</f>
        <v>0</v>
      </c>
      <c r="I19" s="33">
        <f>IF(C19=0,0,H19/C19)</f>
        <v>0</v>
      </c>
      <c r="J19" s="35">
        <f>IF(ISBLANK(E19),0,ROUND(E19,2)*H19)</f>
        <v>0</v>
      </c>
      <c r="K19" s="35">
        <f>J19/12</f>
        <v>0</v>
      </c>
    </row>
    <row r="20" spans="1:11" x14ac:dyDescent="0.25">
      <c r="A20" s="20"/>
      <c r="B20" s="20"/>
      <c r="C20" s="65">
        <f>dagenperjaar1</f>
        <v>255</v>
      </c>
      <c r="D20" s="66" t="s">
        <v>336</v>
      </c>
      <c r="E20" s="24"/>
      <c r="F20" s="68"/>
      <c r="G20" s="22"/>
      <c r="H20" s="33">
        <f>IF(ISBLANK(G20),0,G20*C20)+IF(ISBLANK(F20),0,F20*objecturen5_1)</f>
        <v>0</v>
      </c>
      <c r="I20" s="33">
        <f>IF(C20=0,0,H20/C20)</f>
        <v>0</v>
      </c>
      <c r="J20" s="35">
        <f>IF(ISBLANK(E20),0,ROUND(E20,2)*H20)</f>
        <v>0</v>
      </c>
      <c r="K20" s="35">
        <f>J20/12</f>
        <v>0</v>
      </c>
    </row>
    <row r="21" spans="1:11" x14ac:dyDescent="0.25">
      <c r="A21" s="25"/>
      <c r="B21" s="25"/>
      <c r="C21" s="69">
        <f>dagenperjaar1</f>
        <v>255</v>
      </c>
      <c r="D21" s="70" t="s">
        <v>336</v>
      </c>
      <c r="E21" s="29"/>
      <c r="F21" s="71"/>
      <c r="G21" s="27"/>
      <c r="H21" s="37">
        <f>IF(ISBLANK(G21),0,G21*C21)+IF(ISBLANK(F21),0,F21*objecturen5_1)</f>
        <v>0</v>
      </c>
      <c r="I21" s="37">
        <f>IF(C21=0,0,H21/C21)</f>
        <v>0</v>
      </c>
      <c r="J21" s="39">
        <f>IF(ISBLANK(E21),0,ROUND(E21,2)*H21)</f>
        <v>0</v>
      </c>
      <c r="K21" s="39">
        <f>J21/12</f>
        <v>0</v>
      </c>
    </row>
    <row r="22" spans="1:11" x14ac:dyDescent="0.25">
      <c r="A22" s="72" t="s">
        <v>339</v>
      </c>
      <c r="B22" s="41"/>
      <c r="C22" s="41"/>
      <c r="D22" s="41"/>
      <c r="E22" s="41"/>
      <c r="F22" s="41"/>
      <c r="G22" s="41"/>
      <c r="H22" s="42">
        <f>SUM(H17:H21)</f>
        <v>0</v>
      </c>
      <c r="I22" s="41"/>
      <c r="J22" s="43">
        <f>SUM(J17:J21)</f>
        <v>0</v>
      </c>
      <c r="K22" s="44">
        <f>SUM(K17:K21)</f>
        <v>0</v>
      </c>
    </row>
    <row r="23" spans="1:11" x14ac:dyDescent="0.25">
      <c r="A23" s="45"/>
      <c r="B23" s="41"/>
      <c r="C23" s="41"/>
      <c r="D23" s="41"/>
      <c r="E23" s="41"/>
      <c r="F23" s="41"/>
      <c r="G23" s="41"/>
      <c r="H23" s="41"/>
      <c r="I23" s="41"/>
      <c r="J23" s="41"/>
      <c r="K23" s="46"/>
    </row>
    <row r="24" spans="1:11" x14ac:dyDescent="0.2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5">
      <c r="A25" s="63" t="s">
        <v>340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5">
      <c r="A26" s="15" t="s">
        <v>333</v>
      </c>
      <c r="B26" s="15" t="s">
        <v>22</v>
      </c>
      <c r="C26" s="16">
        <f>IF(ISBLANK(B26),0,IF(ISERROR(VALUE(B26)),VLOOKUP(B26,dagsoorttabel1,2,FALSE)*dagenperjaar1,VALUE(B26)))</f>
        <v>26</v>
      </c>
      <c r="D26" s="15" t="s">
        <v>334</v>
      </c>
      <c r="E26" s="19"/>
      <c r="F26" s="18"/>
      <c r="G26" s="64"/>
      <c r="H26" s="30">
        <f>IF(ISBLANK(G26),0,G26*C26)+IF(ISBLANK(F26),0,F26*objecturen6_1)</f>
        <v>0</v>
      </c>
      <c r="I26" s="30">
        <f>IF(C26=0,0,H26/C26)</f>
        <v>0</v>
      </c>
      <c r="J26" s="32">
        <f>IF(ISBLANK(E26),0,ROUND(E26,2)*H26)</f>
        <v>0</v>
      </c>
      <c r="K26" s="32">
        <f>J26/12</f>
        <v>0</v>
      </c>
    </row>
    <row r="27" spans="1:11" x14ac:dyDescent="0.25">
      <c r="A27" s="20"/>
      <c r="B27" s="20"/>
      <c r="C27" s="65">
        <f>dagenperjaar1</f>
        <v>255</v>
      </c>
      <c r="D27" s="66" t="s">
        <v>335</v>
      </c>
      <c r="E27" s="24"/>
      <c r="F27" s="23"/>
      <c r="G27" s="67"/>
      <c r="H27" s="33">
        <f>IF(ISBLANK(G27),0,G27*C27)+IF(ISBLANK(F27),0,F27*objecturen6_1)</f>
        <v>0</v>
      </c>
      <c r="I27" s="33">
        <f>IF(C27=0,0,H27/C27)</f>
        <v>0</v>
      </c>
      <c r="J27" s="35">
        <f>IF(ISBLANK(E27),0,ROUND(E27,2)*H27)</f>
        <v>0</v>
      </c>
      <c r="K27" s="35">
        <f>J27/12</f>
        <v>0</v>
      </c>
    </row>
    <row r="28" spans="1:11" x14ac:dyDescent="0.25">
      <c r="A28" s="20"/>
      <c r="B28" s="20"/>
      <c r="C28" s="65">
        <f>dagenperjaar1</f>
        <v>255</v>
      </c>
      <c r="D28" s="66" t="s">
        <v>335</v>
      </c>
      <c r="E28" s="24"/>
      <c r="F28" s="23"/>
      <c r="G28" s="67"/>
      <c r="H28" s="33">
        <f>IF(ISBLANK(G28),0,G28*C28)+IF(ISBLANK(F28),0,F28*objecturen6_1)</f>
        <v>0</v>
      </c>
      <c r="I28" s="33">
        <f>IF(C28=0,0,H28/C28)</f>
        <v>0</v>
      </c>
      <c r="J28" s="35">
        <f>IF(ISBLANK(E28),0,ROUND(E28,2)*H28)</f>
        <v>0</v>
      </c>
      <c r="K28" s="35">
        <f>J28/12</f>
        <v>0</v>
      </c>
    </row>
    <row r="29" spans="1:11" x14ac:dyDescent="0.25">
      <c r="A29" s="20"/>
      <c r="B29" s="20"/>
      <c r="C29" s="65">
        <f>dagenperjaar1</f>
        <v>255</v>
      </c>
      <c r="D29" s="66" t="s">
        <v>336</v>
      </c>
      <c r="E29" s="24"/>
      <c r="F29" s="68"/>
      <c r="G29" s="22"/>
      <c r="H29" s="33">
        <f>IF(ISBLANK(G29),0,G29*C29)+IF(ISBLANK(F29),0,F29*objecturen6_1)</f>
        <v>0</v>
      </c>
      <c r="I29" s="33">
        <f>IF(C29=0,0,H29/C29)</f>
        <v>0</v>
      </c>
      <c r="J29" s="35">
        <f>IF(ISBLANK(E29),0,ROUND(E29,2)*H29)</f>
        <v>0</v>
      </c>
      <c r="K29" s="35">
        <f>J29/12</f>
        <v>0</v>
      </c>
    </row>
    <row r="30" spans="1:11" x14ac:dyDescent="0.25">
      <c r="A30" s="25"/>
      <c r="B30" s="25"/>
      <c r="C30" s="69">
        <f>dagenperjaar1</f>
        <v>255</v>
      </c>
      <c r="D30" s="70" t="s">
        <v>336</v>
      </c>
      <c r="E30" s="29"/>
      <c r="F30" s="71"/>
      <c r="G30" s="27"/>
      <c r="H30" s="37">
        <f>IF(ISBLANK(G30),0,G30*C30)+IF(ISBLANK(F30),0,F30*objecturen6_1)</f>
        <v>0</v>
      </c>
      <c r="I30" s="37">
        <f>IF(C30=0,0,H30/C30)</f>
        <v>0</v>
      </c>
      <c r="J30" s="39">
        <f>IF(ISBLANK(E30),0,ROUND(E30,2)*H30)</f>
        <v>0</v>
      </c>
      <c r="K30" s="39">
        <f>J30/12</f>
        <v>0</v>
      </c>
    </row>
    <row r="31" spans="1:11" x14ac:dyDescent="0.25">
      <c r="A31" s="72" t="s">
        <v>341</v>
      </c>
      <c r="B31" s="41"/>
      <c r="C31" s="41"/>
      <c r="D31" s="41"/>
      <c r="E31" s="41"/>
      <c r="F31" s="41"/>
      <c r="G31" s="41"/>
      <c r="H31" s="42">
        <f>SUM(H26:H30)</f>
        <v>0</v>
      </c>
      <c r="I31" s="41"/>
      <c r="J31" s="43">
        <f>SUM(J26:J30)</f>
        <v>0</v>
      </c>
      <c r="K31" s="44">
        <f>SUM(K26:K30)</f>
        <v>0</v>
      </c>
    </row>
    <row r="32" spans="1:11" x14ac:dyDescent="0.25">
      <c r="A32" s="45"/>
      <c r="B32" s="41"/>
      <c r="C32" s="41"/>
      <c r="D32" s="41"/>
      <c r="E32" s="41"/>
      <c r="F32" s="41"/>
      <c r="G32" s="41"/>
      <c r="H32" s="41"/>
      <c r="I32" s="41"/>
      <c r="J32" s="41"/>
      <c r="K32" s="46"/>
    </row>
    <row r="33" spans="1:11" x14ac:dyDescent="0.2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5">
      <c r="A34" s="63" t="s">
        <v>342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5">
      <c r="A35" s="15" t="s">
        <v>333</v>
      </c>
      <c r="B35" s="15" t="s">
        <v>22</v>
      </c>
      <c r="C35" s="16">
        <f>IF(ISBLANK(B35),0,IF(ISERROR(VALUE(B35)),VLOOKUP(B35,dagsoorttabel1,2,FALSE)*dagenperjaar1,VALUE(B35)))</f>
        <v>26</v>
      </c>
      <c r="D35" s="15" t="s">
        <v>334</v>
      </c>
      <c r="E35" s="19"/>
      <c r="F35" s="18"/>
      <c r="G35" s="64"/>
      <c r="H35" s="30">
        <f>IF(ISBLANK(G35),0,G35*C35)+IF(ISBLANK(F35),0,F35*objecturen7_1)</f>
        <v>0</v>
      </c>
      <c r="I35" s="30">
        <f>IF(C35=0,0,H35/C35)</f>
        <v>0</v>
      </c>
      <c r="J35" s="32">
        <f>IF(ISBLANK(E35),0,ROUND(E35,2)*H35)</f>
        <v>0</v>
      </c>
      <c r="K35" s="32">
        <f>J35/12</f>
        <v>0</v>
      </c>
    </row>
    <row r="36" spans="1:11" x14ac:dyDescent="0.25">
      <c r="A36" s="20"/>
      <c r="B36" s="20"/>
      <c r="C36" s="65">
        <f>dagenperjaar1</f>
        <v>255</v>
      </c>
      <c r="D36" s="66" t="s">
        <v>335</v>
      </c>
      <c r="E36" s="24"/>
      <c r="F36" s="23"/>
      <c r="G36" s="67"/>
      <c r="H36" s="33">
        <f>IF(ISBLANK(G36),0,G36*C36)+IF(ISBLANK(F36),0,F36*objecturen7_1)</f>
        <v>0</v>
      </c>
      <c r="I36" s="33">
        <f>IF(C36=0,0,H36/C36)</f>
        <v>0</v>
      </c>
      <c r="J36" s="35">
        <f>IF(ISBLANK(E36),0,ROUND(E36,2)*H36)</f>
        <v>0</v>
      </c>
      <c r="K36" s="35">
        <f>J36/12</f>
        <v>0</v>
      </c>
    </row>
    <row r="37" spans="1:11" x14ac:dyDescent="0.25">
      <c r="A37" s="20"/>
      <c r="B37" s="20"/>
      <c r="C37" s="65">
        <f>dagenperjaar1</f>
        <v>255</v>
      </c>
      <c r="D37" s="66" t="s">
        <v>335</v>
      </c>
      <c r="E37" s="24"/>
      <c r="F37" s="23"/>
      <c r="G37" s="67"/>
      <c r="H37" s="33">
        <f>IF(ISBLANK(G37),0,G37*C37)+IF(ISBLANK(F37),0,F37*objecturen7_1)</f>
        <v>0</v>
      </c>
      <c r="I37" s="33">
        <f>IF(C37=0,0,H37/C37)</f>
        <v>0</v>
      </c>
      <c r="J37" s="35">
        <f>IF(ISBLANK(E37),0,ROUND(E37,2)*H37)</f>
        <v>0</v>
      </c>
      <c r="K37" s="35">
        <f>J37/12</f>
        <v>0</v>
      </c>
    </row>
    <row r="38" spans="1:11" x14ac:dyDescent="0.25">
      <c r="A38" s="20"/>
      <c r="B38" s="20"/>
      <c r="C38" s="65">
        <f>dagenperjaar1</f>
        <v>255</v>
      </c>
      <c r="D38" s="66" t="s">
        <v>336</v>
      </c>
      <c r="E38" s="24"/>
      <c r="F38" s="68"/>
      <c r="G38" s="22"/>
      <c r="H38" s="33">
        <f>IF(ISBLANK(G38),0,G38*C38)+IF(ISBLANK(F38),0,F38*objecturen7_1)</f>
        <v>0</v>
      </c>
      <c r="I38" s="33">
        <f>IF(C38=0,0,H38/C38)</f>
        <v>0</v>
      </c>
      <c r="J38" s="35">
        <f>IF(ISBLANK(E38),0,ROUND(E38,2)*H38)</f>
        <v>0</v>
      </c>
      <c r="K38" s="35">
        <f>J38/12</f>
        <v>0</v>
      </c>
    </row>
    <row r="39" spans="1:11" x14ac:dyDescent="0.25">
      <c r="A39" s="25"/>
      <c r="B39" s="25"/>
      <c r="C39" s="69">
        <f>dagenperjaar1</f>
        <v>255</v>
      </c>
      <c r="D39" s="70" t="s">
        <v>336</v>
      </c>
      <c r="E39" s="29"/>
      <c r="F39" s="71"/>
      <c r="G39" s="27"/>
      <c r="H39" s="37">
        <f>IF(ISBLANK(G39),0,G39*C39)+IF(ISBLANK(F39),0,F39*objecturen7_1)</f>
        <v>0</v>
      </c>
      <c r="I39" s="37">
        <f>IF(C39=0,0,H39/C39)</f>
        <v>0</v>
      </c>
      <c r="J39" s="39">
        <f>IF(ISBLANK(E39),0,ROUND(E39,2)*H39)</f>
        <v>0</v>
      </c>
      <c r="K39" s="39">
        <f>J39/12</f>
        <v>0</v>
      </c>
    </row>
    <row r="40" spans="1:11" x14ac:dyDescent="0.25">
      <c r="A40" s="72" t="s">
        <v>343</v>
      </c>
      <c r="B40" s="41"/>
      <c r="C40" s="41"/>
      <c r="D40" s="41"/>
      <c r="E40" s="41"/>
      <c r="F40" s="41"/>
      <c r="G40" s="41"/>
      <c r="H40" s="42">
        <f>SUM(H35:H39)</f>
        <v>0</v>
      </c>
      <c r="I40" s="41"/>
      <c r="J40" s="43">
        <f>SUM(J35:J39)</f>
        <v>0</v>
      </c>
      <c r="K40" s="44">
        <f>SUM(K35:K39)</f>
        <v>0</v>
      </c>
    </row>
    <row r="41" spans="1:11" x14ac:dyDescent="0.25">
      <c r="A41" s="45"/>
      <c r="B41" s="41"/>
      <c r="C41" s="41"/>
      <c r="D41" s="41"/>
      <c r="E41" s="41"/>
      <c r="F41" s="41"/>
      <c r="G41" s="41"/>
      <c r="H41" s="41"/>
      <c r="I41" s="41"/>
      <c r="J41" s="41"/>
      <c r="K41" s="46"/>
    </row>
    <row r="42" spans="1:11" x14ac:dyDescent="0.25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5">
      <c r="A43" s="63" t="s">
        <v>344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5">
      <c r="A44" s="15" t="s">
        <v>333</v>
      </c>
      <c r="B44" s="15" t="s">
        <v>22</v>
      </c>
      <c r="C44" s="16">
        <f>IF(ISBLANK(B44),0,IF(ISERROR(VALUE(B44)),VLOOKUP(B44,dagsoorttabel1,2,FALSE)*dagenperjaar1,VALUE(B44)))</f>
        <v>26</v>
      </c>
      <c r="D44" s="15" t="s">
        <v>334</v>
      </c>
      <c r="E44" s="19"/>
      <c r="F44" s="18"/>
      <c r="G44" s="64"/>
      <c r="H44" s="30">
        <f>IF(ISBLANK(G44),0,G44*C44)+IF(ISBLANK(F44),0,F44*objecturen8_1)</f>
        <v>0</v>
      </c>
      <c r="I44" s="30">
        <f>IF(C44=0,0,H44/C44)</f>
        <v>0</v>
      </c>
      <c r="J44" s="32">
        <f>IF(ISBLANK(E44),0,ROUND(E44,2)*H44)</f>
        <v>0</v>
      </c>
      <c r="K44" s="32">
        <f>J44/12</f>
        <v>0</v>
      </c>
    </row>
    <row r="45" spans="1:11" x14ac:dyDescent="0.25">
      <c r="A45" s="20"/>
      <c r="B45" s="20"/>
      <c r="C45" s="65">
        <f>dagenperjaar1</f>
        <v>255</v>
      </c>
      <c r="D45" s="66" t="s">
        <v>335</v>
      </c>
      <c r="E45" s="24"/>
      <c r="F45" s="23"/>
      <c r="G45" s="67"/>
      <c r="H45" s="33">
        <f>IF(ISBLANK(G45),0,G45*C45)+IF(ISBLANK(F45),0,F45*objecturen8_1)</f>
        <v>0</v>
      </c>
      <c r="I45" s="33">
        <f>IF(C45=0,0,H45/C45)</f>
        <v>0</v>
      </c>
      <c r="J45" s="35">
        <f>IF(ISBLANK(E45),0,ROUND(E45,2)*H45)</f>
        <v>0</v>
      </c>
      <c r="K45" s="35">
        <f>J45/12</f>
        <v>0</v>
      </c>
    </row>
    <row r="46" spans="1:11" x14ac:dyDescent="0.25">
      <c r="A46" s="20"/>
      <c r="B46" s="20"/>
      <c r="C46" s="65">
        <f>dagenperjaar1</f>
        <v>255</v>
      </c>
      <c r="D46" s="66" t="s">
        <v>335</v>
      </c>
      <c r="E46" s="24"/>
      <c r="F46" s="23"/>
      <c r="G46" s="67"/>
      <c r="H46" s="33">
        <f>IF(ISBLANK(G46),0,G46*C46)+IF(ISBLANK(F46),0,F46*objecturen8_1)</f>
        <v>0</v>
      </c>
      <c r="I46" s="33">
        <f>IF(C46=0,0,H46/C46)</f>
        <v>0</v>
      </c>
      <c r="J46" s="35">
        <f>IF(ISBLANK(E46),0,ROUND(E46,2)*H46)</f>
        <v>0</v>
      </c>
      <c r="K46" s="35">
        <f>J46/12</f>
        <v>0</v>
      </c>
    </row>
    <row r="47" spans="1:11" x14ac:dyDescent="0.25">
      <c r="A47" s="20"/>
      <c r="B47" s="20"/>
      <c r="C47" s="65">
        <f>dagenperjaar1</f>
        <v>255</v>
      </c>
      <c r="D47" s="66" t="s">
        <v>336</v>
      </c>
      <c r="E47" s="24"/>
      <c r="F47" s="68"/>
      <c r="G47" s="22"/>
      <c r="H47" s="33">
        <f>IF(ISBLANK(G47),0,G47*C47)+IF(ISBLANK(F47),0,F47*objecturen8_1)</f>
        <v>0</v>
      </c>
      <c r="I47" s="33">
        <f>IF(C47=0,0,H47/C47)</f>
        <v>0</v>
      </c>
      <c r="J47" s="35">
        <f>IF(ISBLANK(E47),0,ROUND(E47,2)*H47)</f>
        <v>0</v>
      </c>
      <c r="K47" s="35">
        <f>J47/12</f>
        <v>0</v>
      </c>
    </row>
    <row r="48" spans="1:11" x14ac:dyDescent="0.25">
      <c r="A48" s="25"/>
      <c r="B48" s="25"/>
      <c r="C48" s="69">
        <f>dagenperjaar1</f>
        <v>255</v>
      </c>
      <c r="D48" s="70" t="s">
        <v>336</v>
      </c>
      <c r="E48" s="29"/>
      <c r="F48" s="71"/>
      <c r="G48" s="27"/>
      <c r="H48" s="37">
        <f>IF(ISBLANK(G48),0,G48*C48)+IF(ISBLANK(F48),0,F48*objecturen8_1)</f>
        <v>0</v>
      </c>
      <c r="I48" s="37">
        <f>IF(C48=0,0,H48/C48)</f>
        <v>0</v>
      </c>
      <c r="J48" s="39">
        <f>IF(ISBLANK(E48),0,ROUND(E48,2)*H48)</f>
        <v>0</v>
      </c>
      <c r="K48" s="39">
        <f>J48/12</f>
        <v>0</v>
      </c>
    </row>
    <row r="49" spans="1:11" x14ac:dyDescent="0.25">
      <c r="A49" s="72" t="s">
        <v>345</v>
      </c>
      <c r="B49" s="41"/>
      <c r="C49" s="41"/>
      <c r="D49" s="41"/>
      <c r="E49" s="41"/>
      <c r="F49" s="41"/>
      <c r="G49" s="41"/>
      <c r="H49" s="42">
        <f>SUM(H44:H48)</f>
        <v>0</v>
      </c>
      <c r="I49" s="41"/>
      <c r="J49" s="43">
        <f>SUM(J44:J48)</f>
        <v>0</v>
      </c>
      <c r="K49" s="44">
        <f>SUM(K44:K48)</f>
        <v>0</v>
      </c>
    </row>
    <row r="50" spans="1:11" x14ac:dyDescent="0.25">
      <c r="A50" s="45"/>
      <c r="B50" s="41"/>
      <c r="C50" s="41"/>
      <c r="D50" s="41"/>
      <c r="E50" s="41"/>
      <c r="F50" s="41"/>
      <c r="G50" s="41"/>
      <c r="H50" s="41"/>
      <c r="I50" s="41"/>
      <c r="J50" s="41"/>
      <c r="K50" s="46"/>
    </row>
    <row r="51" spans="1:11" x14ac:dyDescent="0.25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5">
      <c r="A52" s="63" t="s">
        <v>346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5">
      <c r="A53" s="15" t="s">
        <v>333</v>
      </c>
      <c r="B53" s="15" t="s">
        <v>11</v>
      </c>
      <c r="C53" s="16">
        <f>IF(ISBLANK(B53),0,IF(ISERROR(VALUE(B53)),VLOOKUP(B53,dagsoorttabel1,2,FALSE)*dagenperjaar1,VALUE(B53)))</f>
        <v>245</v>
      </c>
      <c r="D53" s="15" t="s">
        <v>334</v>
      </c>
      <c r="E53" s="19"/>
      <c r="F53" s="18"/>
      <c r="G53" s="64"/>
      <c r="H53" s="30">
        <f>IF(ISBLANK(G53),0,G53*C53)+IF(ISBLANK(F53),0,F53*objecturen9_1)</f>
        <v>0</v>
      </c>
      <c r="I53" s="30">
        <f>IF(C53=0,0,H53/C53)</f>
        <v>0</v>
      </c>
      <c r="J53" s="32">
        <f>IF(ISBLANK(E53),0,ROUND(E53,2)*H53)</f>
        <v>0</v>
      </c>
      <c r="K53" s="32">
        <f>J53/12</f>
        <v>0</v>
      </c>
    </row>
    <row r="54" spans="1:11" x14ac:dyDescent="0.25">
      <c r="A54" s="20"/>
      <c r="B54" s="20"/>
      <c r="C54" s="65">
        <f>dagenperjaar1</f>
        <v>255</v>
      </c>
      <c r="D54" s="66" t="s">
        <v>335</v>
      </c>
      <c r="E54" s="24"/>
      <c r="F54" s="23"/>
      <c r="G54" s="67"/>
      <c r="H54" s="33">
        <f>IF(ISBLANK(G54),0,G54*C54)+IF(ISBLANK(F54),0,F54*objecturen9_1)</f>
        <v>0</v>
      </c>
      <c r="I54" s="33">
        <f>IF(C54=0,0,H54/C54)</f>
        <v>0</v>
      </c>
      <c r="J54" s="35">
        <f>IF(ISBLANK(E54),0,ROUND(E54,2)*H54)</f>
        <v>0</v>
      </c>
      <c r="K54" s="35">
        <f>J54/12</f>
        <v>0</v>
      </c>
    </row>
    <row r="55" spans="1:11" x14ac:dyDescent="0.25">
      <c r="A55" s="20"/>
      <c r="B55" s="20"/>
      <c r="C55" s="65">
        <f>dagenperjaar1</f>
        <v>255</v>
      </c>
      <c r="D55" s="66" t="s">
        <v>335</v>
      </c>
      <c r="E55" s="24"/>
      <c r="F55" s="23"/>
      <c r="G55" s="67"/>
      <c r="H55" s="33">
        <f>IF(ISBLANK(G55),0,G55*C55)+IF(ISBLANK(F55),0,F55*objecturen9_1)</f>
        <v>0</v>
      </c>
      <c r="I55" s="33">
        <f>IF(C55=0,0,H55/C55)</f>
        <v>0</v>
      </c>
      <c r="J55" s="35">
        <f>IF(ISBLANK(E55),0,ROUND(E55,2)*H55)</f>
        <v>0</v>
      </c>
      <c r="K55" s="35">
        <f>J55/12</f>
        <v>0</v>
      </c>
    </row>
    <row r="56" spans="1:11" x14ac:dyDescent="0.25">
      <c r="A56" s="20"/>
      <c r="B56" s="20"/>
      <c r="C56" s="65">
        <f>dagenperjaar1</f>
        <v>255</v>
      </c>
      <c r="D56" s="66" t="s">
        <v>336</v>
      </c>
      <c r="E56" s="24"/>
      <c r="F56" s="68"/>
      <c r="G56" s="22"/>
      <c r="H56" s="33">
        <f>IF(ISBLANK(G56),0,G56*C56)+IF(ISBLANK(F56),0,F56*objecturen9_1)</f>
        <v>0</v>
      </c>
      <c r="I56" s="33">
        <f>IF(C56=0,0,H56/C56)</f>
        <v>0</v>
      </c>
      <c r="J56" s="35">
        <f>IF(ISBLANK(E56),0,ROUND(E56,2)*H56)</f>
        <v>0</v>
      </c>
      <c r="K56" s="35">
        <f>J56/12</f>
        <v>0</v>
      </c>
    </row>
    <row r="57" spans="1:11" x14ac:dyDescent="0.25">
      <c r="A57" s="25"/>
      <c r="B57" s="25"/>
      <c r="C57" s="69">
        <f>dagenperjaar1</f>
        <v>255</v>
      </c>
      <c r="D57" s="70" t="s">
        <v>336</v>
      </c>
      <c r="E57" s="29"/>
      <c r="F57" s="71"/>
      <c r="G57" s="27"/>
      <c r="H57" s="37">
        <f>IF(ISBLANK(G57),0,G57*C57)+IF(ISBLANK(F57),0,F57*objecturen9_1)</f>
        <v>0</v>
      </c>
      <c r="I57" s="37">
        <f>IF(C57=0,0,H57/C57)</f>
        <v>0</v>
      </c>
      <c r="J57" s="39">
        <f>IF(ISBLANK(E57),0,ROUND(E57,2)*H57)</f>
        <v>0</v>
      </c>
      <c r="K57" s="39">
        <f>J57/12</f>
        <v>0</v>
      </c>
    </row>
    <row r="58" spans="1:11" x14ac:dyDescent="0.25">
      <c r="A58" s="72" t="s">
        <v>347</v>
      </c>
      <c r="B58" s="41"/>
      <c r="C58" s="41"/>
      <c r="D58" s="41"/>
      <c r="E58" s="41"/>
      <c r="F58" s="41"/>
      <c r="G58" s="41"/>
      <c r="H58" s="42">
        <f>SUM(H53:H57)</f>
        <v>0</v>
      </c>
      <c r="I58" s="41"/>
      <c r="J58" s="43">
        <f>SUM(J53:J57)</f>
        <v>0</v>
      </c>
      <c r="K58" s="44">
        <f>SUM(K53:K57)</f>
        <v>0</v>
      </c>
    </row>
    <row r="59" spans="1:11" x14ac:dyDescent="0.25">
      <c r="A59" s="45"/>
      <c r="B59" s="41"/>
      <c r="C59" s="41"/>
      <c r="D59" s="41"/>
      <c r="E59" s="41"/>
      <c r="F59" s="41"/>
      <c r="G59" s="41"/>
      <c r="H59" s="41"/>
      <c r="I59" s="41"/>
      <c r="J59" s="41"/>
      <c r="K59" s="46"/>
    </row>
    <row r="60" spans="1:11" x14ac:dyDescent="0.25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5">
      <c r="A61" s="63" t="s">
        <v>348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5">
      <c r="A62" s="15"/>
      <c r="B62" s="15"/>
      <c r="C62" s="73">
        <f>dagenperjaar1</f>
        <v>255</v>
      </c>
      <c r="D62" s="74" t="s">
        <v>335</v>
      </c>
      <c r="E62" s="19"/>
      <c r="F62" s="18"/>
      <c r="G62" s="64"/>
      <c r="H62" s="30">
        <f>IF(ISBLANK(G62),0,G62*C62)+IF(ISBLANK(F62),0,F62*objecturen10_1)</f>
        <v>0</v>
      </c>
      <c r="I62" s="30">
        <f>IF(C62=0,0,H62/C62)</f>
        <v>0</v>
      </c>
      <c r="J62" s="32">
        <f>IF(ISBLANK(E62),0,ROUND(E62,2)*H62)</f>
        <v>0</v>
      </c>
      <c r="K62" s="32">
        <f>J62/12</f>
        <v>0</v>
      </c>
    </row>
    <row r="63" spans="1:11" x14ac:dyDescent="0.25">
      <c r="A63" s="20"/>
      <c r="B63" s="20"/>
      <c r="C63" s="65">
        <f>dagenperjaar1</f>
        <v>255</v>
      </c>
      <c r="D63" s="66" t="s">
        <v>335</v>
      </c>
      <c r="E63" s="24"/>
      <c r="F63" s="23"/>
      <c r="G63" s="67"/>
      <c r="H63" s="33">
        <f>IF(ISBLANK(G63),0,G63*C63)+IF(ISBLANK(F63),0,F63*objecturen10_1)</f>
        <v>0</v>
      </c>
      <c r="I63" s="33">
        <f>IF(C63=0,0,H63/C63)</f>
        <v>0</v>
      </c>
      <c r="J63" s="35">
        <f>IF(ISBLANK(E63),0,ROUND(E63,2)*H63)</f>
        <v>0</v>
      </c>
      <c r="K63" s="35">
        <f>J63/12</f>
        <v>0</v>
      </c>
    </row>
    <row r="64" spans="1:11" x14ac:dyDescent="0.25">
      <c r="A64" s="20"/>
      <c r="B64" s="20"/>
      <c r="C64" s="65">
        <f>dagenperjaar1</f>
        <v>255</v>
      </c>
      <c r="D64" s="66" t="s">
        <v>336</v>
      </c>
      <c r="E64" s="24"/>
      <c r="F64" s="68"/>
      <c r="G64" s="22"/>
      <c r="H64" s="33">
        <f>IF(ISBLANK(G64),0,G64*C64)+IF(ISBLANK(F64),0,F64*objecturen10_1)</f>
        <v>0</v>
      </c>
      <c r="I64" s="33">
        <f>IF(C64=0,0,H64/C64)</f>
        <v>0</v>
      </c>
      <c r="J64" s="35">
        <f>IF(ISBLANK(E64),0,ROUND(E64,2)*H64)</f>
        <v>0</v>
      </c>
      <c r="K64" s="35">
        <f>J64/12</f>
        <v>0</v>
      </c>
    </row>
    <row r="65" spans="1:11" x14ac:dyDescent="0.25">
      <c r="A65" s="25"/>
      <c r="B65" s="25"/>
      <c r="C65" s="69">
        <f>dagenperjaar1</f>
        <v>255</v>
      </c>
      <c r="D65" s="70" t="s">
        <v>336</v>
      </c>
      <c r="E65" s="29"/>
      <c r="F65" s="71"/>
      <c r="G65" s="27"/>
      <c r="H65" s="37">
        <f>IF(ISBLANK(G65),0,G65*C65)+IF(ISBLANK(F65),0,F65*objecturen10_1)</f>
        <v>0</v>
      </c>
      <c r="I65" s="37">
        <f>IF(C65=0,0,H65/C65)</f>
        <v>0</v>
      </c>
      <c r="J65" s="39">
        <f>IF(ISBLANK(E65),0,ROUND(E65,2)*H65)</f>
        <v>0</v>
      </c>
      <c r="K65" s="39">
        <f>J65/12</f>
        <v>0</v>
      </c>
    </row>
    <row r="66" spans="1:11" x14ac:dyDescent="0.25">
      <c r="A66" s="72" t="s">
        <v>349</v>
      </c>
      <c r="B66" s="41"/>
      <c r="C66" s="41"/>
      <c r="D66" s="41"/>
      <c r="E66" s="41"/>
      <c r="F66" s="41"/>
      <c r="G66" s="41"/>
      <c r="H66" s="42">
        <f>SUM(H62:H65)</f>
        <v>0</v>
      </c>
      <c r="I66" s="41"/>
      <c r="J66" s="43">
        <f>SUM(J62:J65)</f>
        <v>0</v>
      </c>
      <c r="K66" s="44">
        <f>SUM(K62:K65)</f>
        <v>0</v>
      </c>
    </row>
    <row r="67" spans="1:11" x14ac:dyDescent="0.25">
      <c r="A67" s="45"/>
      <c r="B67" s="41"/>
      <c r="C67" s="41"/>
      <c r="D67" s="41"/>
      <c r="E67" s="41"/>
      <c r="F67" s="41"/>
      <c r="G67" s="41"/>
      <c r="H67" s="41"/>
      <c r="I67" s="41"/>
      <c r="J67" s="41"/>
      <c r="K67" s="46"/>
    </row>
    <row r="68" spans="1:11" x14ac:dyDescent="0.25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1"/>
    </row>
    <row r="69" spans="1:11" x14ac:dyDescent="0.25">
      <c r="A69" s="63" t="s">
        <v>350</v>
      </c>
      <c r="B69" s="13"/>
      <c r="C69" s="13"/>
      <c r="D69" s="13"/>
      <c r="E69" s="13"/>
      <c r="F69" s="13"/>
      <c r="G69" s="13"/>
      <c r="H69" s="13"/>
      <c r="I69" s="13"/>
      <c r="J69" s="13"/>
      <c r="K69" s="14"/>
    </row>
    <row r="70" spans="1:11" x14ac:dyDescent="0.25">
      <c r="A70" s="15" t="s">
        <v>333</v>
      </c>
      <c r="B70" s="15" t="s">
        <v>11</v>
      </c>
      <c r="C70" s="16">
        <f>IF(ISBLANK(B70),0,IF(ISERROR(VALUE(B70)),VLOOKUP(B70,dagsoorttabel1,2,FALSE)*dagenperjaar1,VALUE(B70)))</f>
        <v>245</v>
      </c>
      <c r="D70" s="15" t="s">
        <v>334</v>
      </c>
      <c r="E70" s="19"/>
      <c r="F70" s="18"/>
      <c r="G70" s="64"/>
      <c r="H70" s="30">
        <f>IF(ISBLANK(G70),0,G70*C70)+IF(ISBLANK(F70),0,F70*objecturen11_1)</f>
        <v>0</v>
      </c>
      <c r="I70" s="30">
        <f>IF(C70=0,0,H70/C70)</f>
        <v>0</v>
      </c>
      <c r="J70" s="32">
        <f>IF(ISBLANK(E70),0,ROUND(E70,2)*H70)</f>
        <v>0</v>
      </c>
      <c r="K70" s="32">
        <f>J70/12</f>
        <v>0</v>
      </c>
    </row>
    <row r="71" spans="1:11" x14ac:dyDescent="0.25">
      <c r="A71" s="20"/>
      <c r="B71" s="20"/>
      <c r="C71" s="65">
        <f>dagenperjaar1</f>
        <v>255</v>
      </c>
      <c r="D71" s="66" t="s">
        <v>335</v>
      </c>
      <c r="E71" s="24"/>
      <c r="F71" s="23"/>
      <c r="G71" s="67"/>
      <c r="H71" s="33">
        <f>IF(ISBLANK(G71),0,G71*C71)+IF(ISBLANK(F71),0,F71*objecturen11_1)</f>
        <v>0</v>
      </c>
      <c r="I71" s="33">
        <f>IF(C71=0,0,H71/C71)</f>
        <v>0</v>
      </c>
      <c r="J71" s="35">
        <f>IF(ISBLANK(E71),0,ROUND(E71,2)*H71)</f>
        <v>0</v>
      </c>
      <c r="K71" s="35">
        <f>J71/12</f>
        <v>0</v>
      </c>
    </row>
    <row r="72" spans="1:11" x14ac:dyDescent="0.25">
      <c r="A72" s="20"/>
      <c r="B72" s="20"/>
      <c r="C72" s="65">
        <f>dagenperjaar1</f>
        <v>255</v>
      </c>
      <c r="D72" s="66" t="s">
        <v>335</v>
      </c>
      <c r="E72" s="24"/>
      <c r="F72" s="23"/>
      <c r="G72" s="67"/>
      <c r="H72" s="33">
        <f>IF(ISBLANK(G72),0,G72*C72)+IF(ISBLANK(F72),0,F72*objecturen11_1)</f>
        <v>0</v>
      </c>
      <c r="I72" s="33">
        <f>IF(C72=0,0,H72/C72)</f>
        <v>0</v>
      </c>
      <c r="J72" s="35">
        <f>IF(ISBLANK(E72),0,ROUND(E72,2)*H72)</f>
        <v>0</v>
      </c>
      <c r="K72" s="35">
        <f>J72/12</f>
        <v>0</v>
      </c>
    </row>
    <row r="73" spans="1:11" x14ac:dyDescent="0.25">
      <c r="A73" s="20"/>
      <c r="B73" s="20"/>
      <c r="C73" s="65">
        <f>dagenperjaar1</f>
        <v>255</v>
      </c>
      <c r="D73" s="66" t="s">
        <v>336</v>
      </c>
      <c r="E73" s="24"/>
      <c r="F73" s="68"/>
      <c r="G73" s="22"/>
      <c r="H73" s="33">
        <f>IF(ISBLANK(G73),0,G73*C73)+IF(ISBLANK(F73),0,F73*objecturen11_1)</f>
        <v>0</v>
      </c>
      <c r="I73" s="33">
        <f>IF(C73=0,0,H73/C73)</f>
        <v>0</v>
      </c>
      <c r="J73" s="35">
        <f>IF(ISBLANK(E73),0,ROUND(E73,2)*H73)</f>
        <v>0</v>
      </c>
      <c r="K73" s="35">
        <f>J73/12</f>
        <v>0</v>
      </c>
    </row>
    <row r="74" spans="1:11" x14ac:dyDescent="0.25">
      <c r="A74" s="25"/>
      <c r="B74" s="25"/>
      <c r="C74" s="69">
        <f>dagenperjaar1</f>
        <v>255</v>
      </c>
      <c r="D74" s="70" t="s">
        <v>336</v>
      </c>
      <c r="E74" s="29"/>
      <c r="F74" s="71"/>
      <c r="G74" s="27"/>
      <c r="H74" s="37">
        <f>IF(ISBLANK(G74),0,G74*C74)+IF(ISBLANK(F74),0,F74*objecturen11_1)</f>
        <v>0</v>
      </c>
      <c r="I74" s="37">
        <f>IF(C74=0,0,H74/C74)</f>
        <v>0</v>
      </c>
      <c r="J74" s="39">
        <f>IF(ISBLANK(E74),0,ROUND(E74,2)*H74)</f>
        <v>0</v>
      </c>
      <c r="K74" s="39">
        <f>J74/12</f>
        <v>0</v>
      </c>
    </row>
    <row r="75" spans="1:11" x14ac:dyDescent="0.25">
      <c r="A75" s="72" t="s">
        <v>351</v>
      </c>
      <c r="B75" s="41"/>
      <c r="C75" s="41"/>
      <c r="D75" s="41"/>
      <c r="E75" s="41"/>
      <c r="F75" s="41"/>
      <c r="G75" s="41"/>
      <c r="H75" s="42">
        <f>SUM(H70:H74)</f>
        <v>0</v>
      </c>
      <c r="I75" s="41"/>
      <c r="J75" s="43">
        <f>SUM(J70:J74)</f>
        <v>0</v>
      </c>
      <c r="K75" s="44">
        <f>SUM(K70:K74)</f>
        <v>0</v>
      </c>
    </row>
    <row r="76" spans="1:11" x14ac:dyDescent="0.25">
      <c r="A76" s="45"/>
      <c r="B76" s="41"/>
      <c r="C76" s="41"/>
      <c r="D76" s="41"/>
      <c r="E76" s="41"/>
      <c r="F76" s="41"/>
      <c r="G76" s="41"/>
      <c r="H76" s="41"/>
      <c r="I76" s="41"/>
      <c r="J76" s="41"/>
      <c r="K76" s="46"/>
    </row>
    <row r="77" spans="1:11" x14ac:dyDescent="0.25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1"/>
    </row>
    <row r="78" spans="1:11" x14ac:dyDescent="0.25">
      <c r="A78" s="63" t="s">
        <v>352</v>
      </c>
      <c r="B78" s="13"/>
      <c r="C78" s="13"/>
      <c r="D78" s="13"/>
      <c r="E78" s="13"/>
      <c r="F78" s="13"/>
      <c r="G78" s="13"/>
      <c r="H78" s="13"/>
      <c r="I78" s="13"/>
      <c r="J78" s="13"/>
      <c r="K78" s="14"/>
    </row>
    <row r="79" spans="1:11" x14ac:dyDescent="0.25">
      <c r="A79" s="15"/>
      <c r="B79" s="15"/>
      <c r="C79" s="73">
        <f>dagenperjaar1</f>
        <v>255</v>
      </c>
      <c r="D79" s="74" t="s">
        <v>335</v>
      </c>
      <c r="E79" s="19"/>
      <c r="F79" s="18"/>
      <c r="G79" s="64"/>
      <c r="H79" s="30">
        <f>IF(ISBLANK(G79),0,G79*C79)+IF(ISBLANK(F79),0,F79*objecturen12_1)</f>
        <v>0</v>
      </c>
      <c r="I79" s="30">
        <f>IF(C79=0,0,H79/C79)</f>
        <v>0</v>
      </c>
      <c r="J79" s="32">
        <f>IF(ISBLANK(E79),0,ROUND(E79,2)*H79)</f>
        <v>0</v>
      </c>
      <c r="K79" s="32">
        <f>J79/12</f>
        <v>0</v>
      </c>
    </row>
    <row r="80" spans="1:11" x14ac:dyDescent="0.25">
      <c r="A80" s="20"/>
      <c r="B80" s="20"/>
      <c r="C80" s="65">
        <f>dagenperjaar1</f>
        <v>255</v>
      </c>
      <c r="D80" s="66" t="s">
        <v>335</v>
      </c>
      <c r="E80" s="24"/>
      <c r="F80" s="23"/>
      <c r="G80" s="67"/>
      <c r="H80" s="33">
        <f>IF(ISBLANK(G80),0,G80*C80)+IF(ISBLANK(F80),0,F80*objecturen12_1)</f>
        <v>0</v>
      </c>
      <c r="I80" s="33">
        <f>IF(C80=0,0,H80/C80)</f>
        <v>0</v>
      </c>
      <c r="J80" s="35">
        <f>IF(ISBLANK(E80),0,ROUND(E80,2)*H80)</f>
        <v>0</v>
      </c>
      <c r="K80" s="35">
        <f>J80/12</f>
        <v>0</v>
      </c>
    </row>
    <row r="81" spans="1:11" x14ac:dyDescent="0.25">
      <c r="A81" s="20"/>
      <c r="B81" s="20"/>
      <c r="C81" s="65">
        <f>dagenperjaar1</f>
        <v>255</v>
      </c>
      <c r="D81" s="66" t="s">
        <v>336</v>
      </c>
      <c r="E81" s="24"/>
      <c r="F81" s="68"/>
      <c r="G81" s="22"/>
      <c r="H81" s="33">
        <f>IF(ISBLANK(G81),0,G81*C81)+IF(ISBLANK(F81),0,F81*objecturen12_1)</f>
        <v>0</v>
      </c>
      <c r="I81" s="33">
        <f>IF(C81=0,0,H81/C81)</f>
        <v>0</v>
      </c>
      <c r="J81" s="35">
        <f>IF(ISBLANK(E81),0,ROUND(E81,2)*H81)</f>
        <v>0</v>
      </c>
      <c r="K81" s="35">
        <f>J81/12</f>
        <v>0</v>
      </c>
    </row>
    <row r="82" spans="1:11" x14ac:dyDescent="0.25">
      <c r="A82" s="25"/>
      <c r="B82" s="25"/>
      <c r="C82" s="69">
        <f>dagenperjaar1</f>
        <v>255</v>
      </c>
      <c r="D82" s="70" t="s">
        <v>336</v>
      </c>
      <c r="E82" s="29"/>
      <c r="F82" s="71"/>
      <c r="G82" s="27"/>
      <c r="H82" s="37">
        <f>IF(ISBLANK(G82),0,G82*C82)+IF(ISBLANK(F82),0,F82*objecturen12_1)</f>
        <v>0</v>
      </c>
      <c r="I82" s="37">
        <f>IF(C82=0,0,H82/C82)</f>
        <v>0</v>
      </c>
      <c r="J82" s="39">
        <f>IF(ISBLANK(E82),0,ROUND(E82,2)*H82)</f>
        <v>0</v>
      </c>
      <c r="K82" s="39">
        <f>J82/12</f>
        <v>0</v>
      </c>
    </row>
    <row r="83" spans="1:11" x14ac:dyDescent="0.25">
      <c r="A83" s="72" t="s">
        <v>353</v>
      </c>
      <c r="B83" s="41"/>
      <c r="C83" s="41"/>
      <c r="D83" s="41"/>
      <c r="E83" s="41"/>
      <c r="F83" s="41"/>
      <c r="G83" s="41"/>
      <c r="H83" s="42">
        <f>SUM(H79:H82)</f>
        <v>0</v>
      </c>
      <c r="I83" s="41"/>
      <c r="J83" s="43">
        <f>SUM(J79:J82)</f>
        <v>0</v>
      </c>
      <c r="K83" s="44">
        <f>SUM(K79:K82)</f>
        <v>0</v>
      </c>
    </row>
    <row r="84" spans="1:11" x14ac:dyDescent="0.25">
      <c r="A84" s="45"/>
      <c r="B84" s="41"/>
      <c r="C84" s="41"/>
      <c r="D84" s="41"/>
      <c r="E84" s="41"/>
      <c r="F84" s="41"/>
      <c r="G84" s="41"/>
      <c r="H84" s="41"/>
      <c r="I84" s="41"/>
      <c r="J84" s="41"/>
      <c r="K84" s="46"/>
    </row>
    <row r="85" spans="1:11" x14ac:dyDescent="0.25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1"/>
    </row>
    <row r="86" spans="1:11" x14ac:dyDescent="0.25">
      <c r="A86" s="63" t="s">
        <v>354</v>
      </c>
      <c r="B86" s="13"/>
      <c r="C86" s="13"/>
      <c r="D86" s="13"/>
      <c r="E86" s="13"/>
      <c r="F86" s="13"/>
      <c r="G86" s="13"/>
      <c r="H86" s="13"/>
      <c r="I86" s="13"/>
      <c r="J86" s="13"/>
      <c r="K86" s="14"/>
    </row>
    <row r="87" spans="1:11" x14ac:dyDescent="0.25">
      <c r="A87" s="15" t="s">
        <v>333</v>
      </c>
      <c r="B87" s="15" t="s">
        <v>9</v>
      </c>
      <c r="C87" s="16">
        <f>IF(ISBLANK(B87),0,IF(ISERROR(VALUE(B87)),VLOOKUP(B87,dagsoorttabel1,2,FALSE)*dagenperjaar1,VALUE(B87)))</f>
        <v>255</v>
      </c>
      <c r="D87" s="15" t="s">
        <v>334</v>
      </c>
      <c r="E87" s="19"/>
      <c r="F87" s="18"/>
      <c r="G87" s="64"/>
      <c r="H87" s="30">
        <f>IF(ISBLANK(G87),0,G87*C87)+IF(ISBLANK(F87),0,F87*objecturen13_1)</f>
        <v>0</v>
      </c>
      <c r="I87" s="30">
        <f>IF(C87=0,0,H87/C87)</f>
        <v>0</v>
      </c>
      <c r="J87" s="32">
        <f>IF(ISBLANK(E87),0,ROUND(E87,2)*H87)</f>
        <v>0</v>
      </c>
      <c r="K87" s="32">
        <f>J87/12</f>
        <v>0</v>
      </c>
    </row>
    <row r="88" spans="1:11" x14ac:dyDescent="0.25">
      <c r="A88" s="20"/>
      <c r="B88" s="20"/>
      <c r="C88" s="65">
        <f>dagenperjaar1</f>
        <v>255</v>
      </c>
      <c r="D88" s="66" t="s">
        <v>335</v>
      </c>
      <c r="E88" s="24"/>
      <c r="F88" s="23"/>
      <c r="G88" s="67"/>
      <c r="H88" s="33">
        <f>IF(ISBLANK(G88),0,G88*C88)+IF(ISBLANK(F88),0,F88*objecturen13_1)</f>
        <v>0</v>
      </c>
      <c r="I88" s="33">
        <f>IF(C88=0,0,H88/C88)</f>
        <v>0</v>
      </c>
      <c r="J88" s="35">
        <f>IF(ISBLANK(E88),0,ROUND(E88,2)*H88)</f>
        <v>0</v>
      </c>
      <c r="K88" s="35">
        <f>J88/12</f>
        <v>0</v>
      </c>
    </row>
    <row r="89" spans="1:11" x14ac:dyDescent="0.25">
      <c r="A89" s="20"/>
      <c r="B89" s="20"/>
      <c r="C89" s="65">
        <f>dagenperjaar1</f>
        <v>255</v>
      </c>
      <c r="D89" s="66" t="s">
        <v>335</v>
      </c>
      <c r="E89" s="24"/>
      <c r="F89" s="23"/>
      <c r="G89" s="67"/>
      <c r="H89" s="33">
        <f>IF(ISBLANK(G89),0,G89*C89)+IF(ISBLANK(F89),0,F89*objecturen13_1)</f>
        <v>0</v>
      </c>
      <c r="I89" s="33">
        <f>IF(C89=0,0,H89/C89)</f>
        <v>0</v>
      </c>
      <c r="J89" s="35">
        <f>IF(ISBLANK(E89),0,ROUND(E89,2)*H89)</f>
        <v>0</v>
      </c>
      <c r="K89" s="35">
        <f>J89/12</f>
        <v>0</v>
      </c>
    </row>
    <row r="90" spans="1:11" x14ac:dyDescent="0.25">
      <c r="A90" s="20"/>
      <c r="B90" s="20"/>
      <c r="C90" s="65">
        <f>dagenperjaar1</f>
        <v>255</v>
      </c>
      <c r="D90" s="66" t="s">
        <v>336</v>
      </c>
      <c r="E90" s="24"/>
      <c r="F90" s="68"/>
      <c r="G90" s="22"/>
      <c r="H90" s="33">
        <f>IF(ISBLANK(G90),0,G90*C90)+IF(ISBLANK(F90),0,F90*objecturen13_1)</f>
        <v>0</v>
      </c>
      <c r="I90" s="33">
        <f>IF(C90=0,0,H90/C90)</f>
        <v>0</v>
      </c>
      <c r="J90" s="35">
        <f>IF(ISBLANK(E90),0,ROUND(E90,2)*H90)</f>
        <v>0</v>
      </c>
      <c r="K90" s="35">
        <f>J90/12</f>
        <v>0</v>
      </c>
    </row>
    <row r="91" spans="1:11" x14ac:dyDescent="0.25">
      <c r="A91" s="25"/>
      <c r="B91" s="25"/>
      <c r="C91" s="69">
        <f>dagenperjaar1</f>
        <v>255</v>
      </c>
      <c r="D91" s="70" t="s">
        <v>336</v>
      </c>
      <c r="E91" s="29"/>
      <c r="F91" s="71"/>
      <c r="G91" s="27"/>
      <c r="H91" s="37">
        <f>IF(ISBLANK(G91),0,G91*C91)+IF(ISBLANK(F91),0,F91*objecturen13_1)</f>
        <v>0</v>
      </c>
      <c r="I91" s="37">
        <f>IF(C91=0,0,H91/C91)</f>
        <v>0</v>
      </c>
      <c r="J91" s="39">
        <f>IF(ISBLANK(E91),0,ROUND(E91,2)*H91)</f>
        <v>0</v>
      </c>
      <c r="K91" s="39">
        <f>J91/12</f>
        <v>0</v>
      </c>
    </row>
    <row r="92" spans="1:11" x14ac:dyDescent="0.25">
      <c r="A92" s="72" t="s">
        <v>355</v>
      </c>
      <c r="B92" s="41"/>
      <c r="C92" s="41"/>
      <c r="D92" s="41"/>
      <c r="E92" s="41"/>
      <c r="F92" s="41"/>
      <c r="G92" s="41"/>
      <c r="H92" s="42">
        <f>SUM(H87:H91)</f>
        <v>0</v>
      </c>
      <c r="I92" s="41"/>
      <c r="J92" s="43">
        <f>SUM(J87:J91)</f>
        <v>0</v>
      </c>
      <c r="K92" s="44">
        <f>SUM(K87:K91)</f>
        <v>0</v>
      </c>
    </row>
    <row r="93" spans="1:11" x14ac:dyDescent="0.25">
      <c r="A93" s="45"/>
      <c r="B93" s="41"/>
      <c r="C93" s="41"/>
      <c r="D93" s="41"/>
      <c r="E93" s="41"/>
      <c r="F93" s="41"/>
      <c r="G93" s="41"/>
      <c r="H93" s="41"/>
      <c r="I93" s="41"/>
      <c r="J93" s="41"/>
      <c r="K93" s="46"/>
    </row>
    <row r="94" spans="1:11" x14ac:dyDescent="0.25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1"/>
    </row>
    <row r="95" spans="1:11" x14ac:dyDescent="0.25">
      <c r="A95" s="63" t="s">
        <v>356</v>
      </c>
      <c r="B95" s="13"/>
      <c r="C95" s="13"/>
      <c r="D95" s="13"/>
      <c r="E95" s="13"/>
      <c r="F95" s="13"/>
      <c r="G95" s="13"/>
      <c r="H95" s="13"/>
      <c r="I95" s="13"/>
      <c r="J95" s="13"/>
      <c r="K95" s="14"/>
    </row>
    <row r="96" spans="1:11" x14ac:dyDescent="0.25">
      <c r="A96" s="15" t="s">
        <v>333</v>
      </c>
      <c r="B96" s="15" t="s">
        <v>11</v>
      </c>
      <c r="C96" s="16">
        <f>IF(ISBLANK(B96),0,IF(ISERROR(VALUE(B96)),VLOOKUP(B96,dagsoorttabel1,2,FALSE)*dagenperjaar1,VALUE(B96)))</f>
        <v>245</v>
      </c>
      <c r="D96" s="15" t="s">
        <v>334</v>
      </c>
      <c r="E96" s="19"/>
      <c r="F96" s="18"/>
      <c r="G96" s="64"/>
      <c r="H96" s="30">
        <f>IF(ISBLANK(G96),0,G96*C96)+IF(ISBLANK(F96),0,F96*objecturen14_1)</f>
        <v>0</v>
      </c>
      <c r="I96" s="30">
        <f>IF(C96=0,0,H96/C96)</f>
        <v>0</v>
      </c>
      <c r="J96" s="32">
        <f>IF(ISBLANK(E96),0,ROUND(E96,2)*H96)</f>
        <v>0</v>
      </c>
      <c r="K96" s="32">
        <f>J96/12</f>
        <v>0</v>
      </c>
    </row>
    <row r="97" spans="1:11" x14ac:dyDescent="0.25">
      <c r="A97" s="20"/>
      <c r="B97" s="20"/>
      <c r="C97" s="65">
        <f>dagenperjaar1</f>
        <v>255</v>
      </c>
      <c r="D97" s="66" t="s">
        <v>335</v>
      </c>
      <c r="E97" s="24"/>
      <c r="F97" s="23"/>
      <c r="G97" s="67"/>
      <c r="H97" s="33">
        <f>IF(ISBLANK(G97),0,G97*C97)+IF(ISBLANK(F97),0,F97*objecturen14_1)</f>
        <v>0</v>
      </c>
      <c r="I97" s="33">
        <f>IF(C97=0,0,H97/C97)</f>
        <v>0</v>
      </c>
      <c r="J97" s="35">
        <f>IF(ISBLANK(E97),0,ROUND(E97,2)*H97)</f>
        <v>0</v>
      </c>
      <c r="K97" s="35">
        <f>J97/12</f>
        <v>0</v>
      </c>
    </row>
    <row r="98" spans="1:11" x14ac:dyDescent="0.25">
      <c r="A98" s="20"/>
      <c r="B98" s="20"/>
      <c r="C98" s="65">
        <f>dagenperjaar1</f>
        <v>255</v>
      </c>
      <c r="D98" s="66" t="s">
        <v>335</v>
      </c>
      <c r="E98" s="24"/>
      <c r="F98" s="23"/>
      <c r="G98" s="67"/>
      <c r="H98" s="33">
        <f>IF(ISBLANK(G98),0,G98*C98)+IF(ISBLANK(F98),0,F98*objecturen14_1)</f>
        <v>0</v>
      </c>
      <c r="I98" s="33">
        <f>IF(C98=0,0,H98/C98)</f>
        <v>0</v>
      </c>
      <c r="J98" s="35">
        <f>IF(ISBLANK(E98),0,ROUND(E98,2)*H98)</f>
        <v>0</v>
      </c>
      <c r="K98" s="35">
        <f>J98/12</f>
        <v>0</v>
      </c>
    </row>
    <row r="99" spans="1:11" x14ac:dyDescent="0.25">
      <c r="A99" s="20"/>
      <c r="B99" s="20"/>
      <c r="C99" s="65">
        <f>dagenperjaar1</f>
        <v>255</v>
      </c>
      <c r="D99" s="66" t="s">
        <v>336</v>
      </c>
      <c r="E99" s="24"/>
      <c r="F99" s="68"/>
      <c r="G99" s="22"/>
      <c r="H99" s="33">
        <f>IF(ISBLANK(G99),0,G99*C99)+IF(ISBLANK(F99),0,F99*objecturen14_1)</f>
        <v>0</v>
      </c>
      <c r="I99" s="33">
        <f>IF(C99=0,0,H99/C99)</f>
        <v>0</v>
      </c>
      <c r="J99" s="35">
        <f>IF(ISBLANK(E99),0,ROUND(E99,2)*H99)</f>
        <v>0</v>
      </c>
      <c r="K99" s="35">
        <f>J99/12</f>
        <v>0</v>
      </c>
    </row>
    <row r="100" spans="1:11" x14ac:dyDescent="0.25">
      <c r="A100" s="25"/>
      <c r="B100" s="25"/>
      <c r="C100" s="69">
        <f>dagenperjaar1</f>
        <v>255</v>
      </c>
      <c r="D100" s="70" t="s">
        <v>336</v>
      </c>
      <c r="E100" s="29"/>
      <c r="F100" s="71"/>
      <c r="G100" s="27"/>
      <c r="H100" s="37">
        <f>IF(ISBLANK(G100),0,G100*C100)+IF(ISBLANK(F100),0,F100*objecturen14_1)</f>
        <v>0</v>
      </c>
      <c r="I100" s="37">
        <f>IF(C100=0,0,H100/C100)</f>
        <v>0</v>
      </c>
      <c r="J100" s="39">
        <f>IF(ISBLANK(E100),0,ROUND(E100,2)*H100)</f>
        <v>0</v>
      </c>
      <c r="K100" s="39">
        <f>J100/12</f>
        <v>0</v>
      </c>
    </row>
    <row r="101" spans="1:11" x14ac:dyDescent="0.25">
      <c r="A101" s="72" t="s">
        <v>357</v>
      </c>
      <c r="B101" s="41"/>
      <c r="C101" s="41"/>
      <c r="D101" s="41"/>
      <c r="E101" s="41"/>
      <c r="F101" s="41"/>
      <c r="G101" s="41"/>
      <c r="H101" s="42">
        <f>SUM(H96:H100)</f>
        <v>0</v>
      </c>
      <c r="I101" s="41"/>
      <c r="J101" s="43">
        <f>SUM(J96:J100)</f>
        <v>0</v>
      </c>
      <c r="K101" s="44">
        <f>SUM(K96:K100)</f>
        <v>0</v>
      </c>
    </row>
    <row r="102" spans="1:11" x14ac:dyDescent="0.25">
      <c r="A102" s="45"/>
      <c r="B102" s="41"/>
      <c r="C102" s="41"/>
      <c r="D102" s="41"/>
      <c r="E102" s="41"/>
      <c r="F102" s="41"/>
      <c r="G102" s="41"/>
      <c r="H102" s="41"/>
      <c r="I102" s="41"/>
      <c r="J102" s="41"/>
      <c r="K102" s="46"/>
    </row>
    <row r="103" spans="1:11" x14ac:dyDescent="0.25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1"/>
    </row>
    <row r="104" spans="1:11" x14ac:dyDescent="0.25">
      <c r="A104" s="63" t="s">
        <v>358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4"/>
    </row>
    <row r="105" spans="1:11" x14ac:dyDescent="0.25">
      <c r="A105" s="15" t="s">
        <v>333</v>
      </c>
      <c r="B105" s="15" t="s">
        <v>11</v>
      </c>
      <c r="C105" s="16">
        <f>IF(ISBLANK(B105),0,IF(ISERROR(VALUE(B105)),VLOOKUP(B105,dagsoorttabel1,2,FALSE)*dagenperjaar1,VALUE(B105)))</f>
        <v>245</v>
      </c>
      <c r="D105" s="15" t="s">
        <v>334</v>
      </c>
      <c r="E105" s="19"/>
      <c r="F105" s="18"/>
      <c r="G105" s="64"/>
      <c r="H105" s="30">
        <f>IF(ISBLANK(G105),0,G105*C105)+IF(ISBLANK(F105),0,F105*objecturen15_1)</f>
        <v>0</v>
      </c>
      <c r="I105" s="30">
        <f>IF(C105=0,0,H105/C105)</f>
        <v>0</v>
      </c>
      <c r="J105" s="32">
        <f>IF(ISBLANK(E105),0,ROUND(E105,2)*H105)</f>
        <v>0</v>
      </c>
      <c r="K105" s="32">
        <f>J105/12</f>
        <v>0</v>
      </c>
    </row>
    <row r="106" spans="1:11" x14ac:dyDescent="0.25">
      <c r="A106" s="20"/>
      <c r="B106" s="20"/>
      <c r="C106" s="65">
        <f>dagenperjaar1</f>
        <v>255</v>
      </c>
      <c r="D106" s="66" t="s">
        <v>335</v>
      </c>
      <c r="E106" s="24"/>
      <c r="F106" s="23"/>
      <c r="G106" s="67"/>
      <c r="H106" s="33">
        <f>IF(ISBLANK(G106),0,G106*C106)+IF(ISBLANK(F106),0,F106*objecturen15_1)</f>
        <v>0</v>
      </c>
      <c r="I106" s="33">
        <f>IF(C106=0,0,H106/C106)</f>
        <v>0</v>
      </c>
      <c r="J106" s="35">
        <f>IF(ISBLANK(E106),0,ROUND(E106,2)*H106)</f>
        <v>0</v>
      </c>
      <c r="K106" s="35">
        <f>J106/12</f>
        <v>0</v>
      </c>
    </row>
    <row r="107" spans="1:11" x14ac:dyDescent="0.25">
      <c r="A107" s="20"/>
      <c r="B107" s="20"/>
      <c r="C107" s="65">
        <f>dagenperjaar1</f>
        <v>255</v>
      </c>
      <c r="D107" s="66" t="s">
        <v>335</v>
      </c>
      <c r="E107" s="24"/>
      <c r="F107" s="23"/>
      <c r="G107" s="67"/>
      <c r="H107" s="33">
        <f>IF(ISBLANK(G107),0,G107*C107)+IF(ISBLANK(F107),0,F107*objecturen15_1)</f>
        <v>0</v>
      </c>
      <c r="I107" s="33">
        <f>IF(C107=0,0,H107/C107)</f>
        <v>0</v>
      </c>
      <c r="J107" s="35">
        <f>IF(ISBLANK(E107),0,ROUND(E107,2)*H107)</f>
        <v>0</v>
      </c>
      <c r="K107" s="35">
        <f>J107/12</f>
        <v>0</v>
      </c>
    </row>
    <row r="108" spans="1:11" x14ac:dyDescent="0.25">
      <c r="A108" s="20"/>
      <c r="B108" s="20"/>
      <c r="C108" s="65">
        <f>dagenperjaar1</f>
        <v>255</v>
      </c>
      <c r="D108" s="66" t="s">
        <v>336</v>
      </c>
      <c r="E108" s="24"/>
      <c r="F108" s="68"/>
      <c r="G108" s="22"/>
      <c r="H108" s="33">
        <f>IF(ISBLANK(G108),0,G108*C108)+IF(ISBLANK(F108),0,F108*objecturen15_1)</f>
        <v>0</v>
      </c>
      <c r="I108" s="33">
        <f>IF(C108=0,0,H108/C108)</f>
        <v>0</v>
      </c>
      <c r="J108" s="35">
        <f>IF(ISBLANK(E108),0,ROUND(E108,2)*H108)</f>
        <v>0</v>
      </c>
      <c r="K108" s="35">
        <f>J108/12</f>
        <v>0</v>
      </c>
    </row>
    <row r="109" spans="1:11" x14ac:dyDescent="0.25">
      <c r="A109" s="25"/>
      <c r="B109" s="25"/>
      <c r="C109" s="69">
        <f>dagenperjaar1</f>
        <v>255</v>
      </c>
      <c r="D109" s="70" t="s">
        <v>336</v>
      </c>
      <c r="E109" s="29"/>
      <c r="F109" s="71"/>
      <c r="G109" s="27"/>
      <c r="H109" s="37">
        <f>IF(ISBLANK(G109),0,G109*C109)+IF(ISBLANK(F109),0,F109*objecturen15_1)</f>
        <v>0</v>
      </c>
      <c r="I109" s="37">
        <f>IF(C109=0,0,H109/C109)</f>
        <v>0</v>
      </c>
      <c r="J109" s="39">
        <f>IF(ISBLANK(E109),0,ROUND(E109,2)*H109)</f>
        <v>0</v>
      </c>
      <c r="K109" s="39">
        <f>J109/12</f>
        <v>0</v>
      </c>
    </row>
    <row r="110" spans="1:11" x14ac:dyDescent="0.25">
      <c r="A110" s="72" t="s">
        <v>359</v>
      </c>
      <c r="B110" s="41"/>
      <c r="C110" s="41"/>
      <c r="D110" s="41"/>
      <c r="E110" s="41"/>
      <c r="F110" s="41"/>
      <c r="G110" s="41"/>
      <c r="H110" s="42">
        <f>SUM(H105:H109)</f>
        <v>0</v>
      </c>
      <c r="I110" s="41"/>
      <c r="J110" s="43">
        <f>SUM(J105:J109)</f>
        <v>0</v>
      </c>
      <c r="K110" s="44">
        <f>SUM(K105:K109)</f>
        <v>0</v>
      </c>
    </row>
    <row r="111" spans="1:11" x14ac:dyDescent="0.25">
      <c r="A111" s="45"/>
      <c r="B111" s="41"/>
      <c r="C111" s="41"/>
      <c r="D111" s="41"/>
      <c r="E111" s="41"/>
      <c r="F111" s="41"/>
      <c r="G111" s="41"/>
      <c r="H111" s="41"/>
      <c r="I111" s="41"/>
      <c r="J111" s="41"/>
      <c r="K111" s="46"/>
    </row>
    <row r="112" spans="1:11" x14ac:dyDescent="0.2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1"/>
    </row>
    <row r="113" spans="1:11" x14ac:dyDescent="0.25">
      <c r="A113" s="63" t="s">
        <v>360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4"/>
    </row>
    <row r="114" spans="1:11" x14ac:dyDescent="0.25">
      <c r="A114" s="15" t="s">
        <v>333</v>
      </c>
      <c r="B114" s="15" t="s">
        <v>11</v>
      </c>
      <c r="C114" s="16">
        <f>IF(ISBLANK(B114),0,IF(ISERROR(VALUE(B114)),VLOOKUP(B114,dagsoorttabel1,2,FALSE)*dagenperjaar1,VALUE(B114)))</f>
        <v>245</v>
      </c>
      <c r="D114" s="15" t="s">
        <v>334</v>
      </c>
      <c r="E114" s="19"/>
      <c r="F114" s="18"/>
      <c r="G114" s="64"/>
      <c r="H114" s="30">
        <f>IF(ISBLANK(G114),0,G114*C114)+IF(ISBLANK(F114),0,F114*objecturen16_1)</f>
        <v>0</v>
      </c>
      <c r="I114" s="30">
        <f>IF(C114=0,0,H114/C114)</f>
        <v>0</v>
      </c>
      <c r="J114" s="32">
        <f>IF(ISBLANK(E114),0,ROUND(E114,2)*H114)</f>
        <v>0</v>
      </c>
      <c r="K114" s="32">
        <f>J114/12</f>
        <v>0</v>
      </c>
    </row>
    <row r="115" spans="1:11" x14ac:dyDescent="0.25">
      <c r="A115" s="20"/>
      <c r="B115" s="20"/>
      <c r="C115" s="65">
        <f>dagenperjaar1</f>
        <v>255</v>
      </c>
      <c r="D115" s="66" t="s">
        <v>335</v>
      </c>
      <c r="E115" s="24"/>
      <c r="F115" s="23"/>
      <c r="G115" s="67"/>
      <c r="H115" s="33">
        <f>IF(ISBLANK(G115),0,G115*C115)+IF(ISBLANK(F115),0,F115*objecturen16_1)</f>
        <v>0</v>
      </c>
      <c r="I115" s="33">
        <f>IF(C115=0,0,H115/C115)</f>
        <v>0</v>
      </c>
      <c r="J115" s="35">
        <f>IF(ISBLANK(E115),0,ROUND(E115,2)*H115)</f>
        <v>0</v>
      </c>
      <c r="K115" s="35">
        <f>J115/12</f>
        <v>0</v>
      </c>
    </row>
    <row r="116" spans="1:11" x14ac:dyDescent="0.25">
      <c r="A116" s="20"/>
      <c r="B116" s="20"/>
      <c r="C116" s="65">
        <f>dagenperjaar1</f>
        <v>255</v>
      </c>
      <c r="D116" s="66" t="s">
        <v>335</v>
      </c>
      <c r="E116" s="24"/>
      <c r="F116" s="23"/>
      <c r="G116" s="67"/>
      <c r="H116" s="33">
        <f>IF(ISBLANK(G116),0,G116*C116)+IF(ISBLANK(F116),0,F116*objecturen16_1)</f>
        <v>0</v>
      </c>
      <c r="I116" s="33">
        <f>IF(C116=0,0,H116/C116)</f>
        <v>0</v>
      </c>
      <c r="J116" s="35">
        <f>IF(ISBLANK(E116),0,ROUND(E116,2)*H116)</f>
        <v>0</v>
      </c>
      <c r="K116" s="35">
        <f>J116/12</f>
        <v>0</v>
      </c>
    </row>
    <row r="117" spans="1:11" x14ac:dyDescent="0.25">
      <c r="A117" s="20"/>
      <c r="B117" s="20"/>
      <c r="C117" s="65">
        <f>dagenperjaar1</f>
        <v>255</v>
      </c>
      <c r="D117" s="66" t="s">
        <v>336</v>
      </c>
      <c r="E117" s="24"/>
      <c r="F117" s="68"/>
      <c r="G117" s="22"/>
      <c r="H117" s="33">
        <f>IF(ISBLANK(G117),0,G117*C117)+IF(ISBLANK(F117),0,F117*objecturen16_1)</f>
        <v>0</v>
      </c>
      <c r="I117" s="33">
        <f>IF(C117=0,0,H117/C117)</f>
        <v>0</v>
      </c>
      <c r="J117" s="35">
        <f>IF(ISBLANK(E117),0,ROUND(E117,2)*H117)</f>
        <v>0</v>
      </c>
      <c r="K117" s="35">
        <f>J117/12</f>
        <v>0</v>
      </c>
    </row>
    <row r="118" spans="1:11" x14ac:dyDescent="0.25">
      <c r="A118" s="25"/>
      <c r="B118" s="25"/>
      <c r="C118" s="69">
        <f>dagenperjaar1</f>
        <v>255</v>
      </c>
      <c r="D118" s="70" t="s">
        <v>336</v>
      </c>
      <c r="E118" s="29"/>
      <c r="F118" s="71"/>
      <c r="G118" s="27"/>
      <c r="H118" s="37">
        <f>IF(ISBLANK(G118),0,G118*C118)+IF(ISBLANK(F118),0,F118*objecturen16_1)</f>
        <v>0</v>
      </c>
      <c r="I118" s="37">
        <f>IF(C118=0,0,H118/C118)</f>
        <v>0</v>
      </c>
      <c r="J118" s="39">
        <f>IF(ISBLANK(E118),0,ROUND(E118,2)*H118)</f>
        <v>0</v>
      </c>
      <c r="K118" s="39">
        <f>J118/12</f>
        <v>0</v>
      </c>
    </row>
    <row r="119" spans="1:11" x14ac:dyDescent="0.25">
      <c r="A119" s="72" t="s">
        <v>361</v>
      </c>
      <c r="B119" s="41"/>
      <c r="C119" s="41"/>
      <c r="D119" s="41"/>
      <c r="E119" s="41"/>
      <c r="F119" s="41"/>
      <c r="G119" s="41"/>
      <c r="H119" s="42">
        <f>SUM(H114:H118)</f>
        <v>0</v>
      </c>
      <c r="I119" s="41"/>
      <c r="J119" s="43">
        <f>SUM(J114:J118)</f>
        <v>0</v>
      </c>
      <c r="K119" s="44">
        <f>SUM(K114:K118)</f>
        <v>0</v>
      </c>
    </row>
    <row r="120" spans="1:11" x14ac:dyDescent="0.25">
      <c r="A120" s="45"/>
      <c r="B120" s="41"/>
      <c r="C120" s="41"/>
      <c r="D120" s="41"/>
      <c r="E120" s="41"/>
      <c r="F120" s="41"/>
      <c r="G120" s="41"/>
      <c r="H120" s="41"/>
      <c r="I120" s="41"/>
      <c r="J120" s="41"/>
      <c r="K120" s="46"/>
    </row>
    <row r="121" spans="1:11" x14ac:dyDescent="0.25">
      <c r="A121" s="40" t="s">
        <v>248</v>
      </c>
      <c r="B121" s="41"/>
      <c r="C121" s="41"/>
      <c r="D121" s="41"/>
      <c r="E121" s="41"/>
      <c r="F121" s="41"/>
      <c r="G121" s="41"/>
      <c r="H121" s="42">
        <f>tzujt3_1+tzujt5_1+tzujt6_1+tzujt7_1+tzujt8_1+tzujt9_1+tzujt10_1+tzujt11_1+tzujt12_1+tzujt13_1+tzujt14_1+tzujt15_1+tzujt16_1</f>
        <v>0</v>
      </c>
      <c r="I121" s="41"/>
      <c r="J121" s="43">
        <f>tzpjt3_1+tzpjt5_1+tzpjt6_1+tzpjt7_1+tzpjt8_1+tzpjt9_1+tzpjt10_1+tzpjt11_1+tzpjt12_1+tzpjt13_1+tzpjt14_1+tzpjt15_1+tzpjt16_1</f>
        <v>0</v>
      </c>
      <c r="K121" s="44">
        <f>tzpmt3_1+tzpmt5_1+tzpmt6_1+tzpmt7_1+tzpmt8_1+tzpmt9_1+tzpmt10_1+tzpmt11_1+tzpmt12_1+tzpmt13_1+tzpmt14_1+tzpmt15_1+tzpmt16_1</f>
        <v>0</v>
      </c>
    </row>
    <row r="122" spans="1:11" x14ac:dyDescent="0.25">
      <c r="A122" s="45"/>
      <c r="B122" s="41"/>
      <c r="C122" s="41"/>
      <c r="D122" s="41"/>
      <c r="E122" s="41"/>
      <c r="F122" s="41"/>
      <c r="G122" s="41"/>
      <c r="H122" s="41"/>
      <c r="I122" s="41"/>
      <c r="J122" s="41"/>
      <c r="K122" s="46"/>
    </row>
    <row r="123" spans="1:11" x14ac:dyDescent="0.25">
      <c r="A123" s="60"/>
      <c r="B123" s="61"/>
      <c r="C123" s="61"/>
      <c r="D123" s="61"/>
      <c r="E123" s="61"/>
      <c r="F123" s="61"/>
      <c r="G123" s="61"/>
      <c r="H123" s="61"/>
      <c r="I123" s="61"/>
      <c r="J123" s="61"/>
      <c r="K123" s="62"/>
    </row>
    <row r="124" spans="1:11" x14ac:dyDescent="0.25">
      <c r="A124" s="12" t="s">
        <v>141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5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1"/>
    </row>
    <row r="126" spans="1:11" x14ac:dyDescent="0.25">
      <c r="A126" s="63" t="s">
        <v>346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4"/>
    </row>
    <row r="127" spans="1:11" x14ac:dyDescent="0.25">
      <c r="A127" s="15" t="s">
        <v>362</v>
      </c>
      <c r="B127" s="15" t="s">
        <v>20</v>
      </c>
      <c r="C127" s="16">
        <f>IF(ISBLANK(B127),0,IF(ISERROR(VALUE(B127)),VLOOKUP(B127,dagsoorttabel1,2,FALSE)*dagenperjaar1,VALUE(B127)))</f>
        <v>49</v>
      </c>
      <c r="D127" s="15" t="s">
        <v>363</v>
      </c>
      <c r="E127" s="19"/>
      <c r="F127" s="18"/>
      <c r="G127" s="64"/>
      <c r="H127" s="30">
        <f>IF(ISBLANK(G127),0,G127*C127)+IF(ISBLANK(F127),0,F127*objecturen9_3)</f>
        <v>0</v>
      </c>
      <c r="I127" s="30">
        <f>IF(C127=0,0,H127/C127)</f>
        <v>0</v>
      </c>
      <c r="J127" s="32">
        <f>IF(ISBLANK(E127),0,ROUND(E127,2)*H127)</f>
        <v>0</v>
      </c>
      <c r="K127" s="32">
        <f>J127/12</f>
        <v>0</v>
      </c>
    </row>
    <row r="128" spans="1:11" x14ac:dyDescent="0.25">
      <c r="A128" s="20"/>
      <c r="B128" s="20"/>
      <c r="C128" s="65">
        <f>dagenperjaar1</f>
        <v>255</v>
      </c>
      <c r="D128" s="66" t="s">
        <v>335</v>
      </c>
      <c r="E128" s="24"/>
      <c r="F128" s="23"/>
      <c r="G128" s="67"/>
      <c r="H128" s="33">
        <f>IF(ISBLANK(G128),0,G128*C128)+IF(ISBLANK(F128),0,F128*objecturen9_3)</f>
        <v>0</v>
      </c>
      <c r="I128" s="33">
        <f>IF(C128=0,0,H128/C128)</f>
        <v>0</v>
      </c>
      <c r="J128" s="35">
        <f>IF(ISBLANK(E128),0,ROUND(E128,2)*H128)</f>
        <v>0</v>
      </c>
      <c r="K128" s="35">
        <f>J128/12</f>
        <v>0</v>
      </c>
    </row>
    <row r="129" spans="1:11" x14ac:dyDescent="0.25">
      <c r="A129" s="20"/>
      <c r="B129" s="20"/>
      <c r="C129" s="65">
        <f>dagenperjaar1</f>
        <v>255</v>
      </c>
      <c r="D129" s="66" t="s">
        <v>335</v>
      </c>
      <c r="E129" s="24"/>
      <c r="F129" s="23"/>
      <c r="G129" s="67"/>
      <c r="H129" s="33">
        <f>IF(ISBLANK(G129),0,G129*C129)+IF(ISBLANK(F129),0,F129*objecturen9_3)</f>
        <v>0</v>
      </c>
      <c r="I129" s="33">
        <f>IF(C129=0,0,H129/C129)</f>
        <v>0</v>
      </c>
      <c r="J129" s="35">
        <f>IF(ISBLANK(E129),0,ROUND(E129,2)*H129)</f>
        <v>0</v>
      </c>
      <c r="K129" s="35">
        <f>J129/12</f>
        <v>0</v>
      </c>
    </row>
    <row r="130" spans="1:11" x14ac:dyDescent="0.25">
      <c r="A130" s="20"/>
      <c r="B130" s="20"/>
      <c r="C130" s="65">
        <f>dagenperjaar1</f>
        <v>255</v>
      </c>
      <c r="D130" s="66" t="s">
        <v>336</v>
      </c>
      <c r="E130" s="24"/>
      <c r="F130" s="68"/>
      <c r="G130" s="22"/>
      <c r="H130" s="33">
        <f>IF(ISBLANK(G130),0,G130*C130)+IF(ISBLANK(F130),0,F130*objecturen9_3)</f>
        <v>0</v>
      </c>
      <c r="I130" s="33">
        <f>IF(C130=0,0,H130/C130)</f>
        <v>0</v>
      </c>
      <c r="J130" s="35">
        <f>IF(ISBLANK(E130),0,ROUND(E130,2)*H130)</f>
        <v>0</v>
      </c>
      <c r="K130" s="35">
        <f>J130/12</f>
        <v>0</v>
      </c>
    </row>
    <row r="131" spans="1:11" x14ac:dyDescent="0.25">
      <c r="A131" s="25"/>
      <c r="B131" s="25"/>
      <c r="C131" s="69">
        <f>dagenperjaar1</f>
        <v>255</v>
      </c>
      <c r="D131" s="70" t="s">
        <v>336</v>
      </c>
      <c r="E131" s="29"/>
      <c r="F131" s="71"/>
      <c r="G131" s="27"/>
      <c r="H131" s="37">
        <f>IF(ISBLANK(G131),0,G131*C131)+IF(ISBLANK(F131),0,F131*objecturen9_3)</f>
        <v>0</v>
      </c>
      <c r="I131" s="37">
        <f>IF(C131=0,0,H131/C131)</f>
        <v>0</v>
      </c>
      <c r="J131" s="39">
        <f>IF(ISBLANK(E131),0,ROUND(E131,2)*H131)</f>
        <v>0</v>
      </c>
      <c r="K131" s="39">
        <f>J131/12</f>
        <v>0</v>
      </c>
    </row>
    <row r="132" spans="1:11" x14ac:dyDescent="0.25">
      <c r="A132" s="72" t="s">
        <v>347</v>
      </c>
      <c r="B132" s="41"/>
      <c r="C132" s="41"/>
      <c r="D132" s="41"/>
      <c r="E132" s="41"/>
      <c r="F132" s="41"/>
      <c r="G132" s="41"/>
      <c r="H132" s="42">
        <f>SUM(H127:H131)</f>
        <v>0</v>
      </c>
      <c r="I132" s="41"/>
      <c r="J132" s="43">
        <f>SUM(J127:J131)</f>
        <v>0</v>
      </c>
      <c r="K132" s="44">
        <f>SUM(K127:K131)</f>
        <v>0</v>
      </c>
    </row>
    <row r="133" spans="1:11" x14ac:dyDescent="0.25">
      <c r="A133" s="45"/>
      <c r="B133" s="41"/>
      <c r="C133" s="41"/>
      <c r="D133" s="41"/>
      <c r="E133" s="41"/>
      <c r="F133" s="41"/>
      <c r="G133" s="41"/>
      <c r="H133" s="41"/>
      <c r="I133" s="41"/>
      <c r="J133" s="41"/>
      <c r="K133" s="46"/>
    </row>
    <row r="134" spans="1:11" x14ac:dyDescent="0.25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1"/>
    </row>
    <row r="135" spans="1:11" x14ac:dyDescent="0.25">
      <c r="A135" s="63" t="s">
        <v>350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4"/>
    </row>
    <row r="136" spans="1:11" x14ac:dyDescent="0.25">
      <c r="A136" s="15" t="s">
        <v>362</v>
      </c>
      <c r="B136" s="15" t="s">
        <v>20</v>
      </c>
      <c r="C136" s="16">
        <f>IF(ISBLANK(B136),0,IF(ISERROR(VALUE(B136)),VLOOKUP(B136,dagsoorttabel1,2,FALSE)*dagenperjaar1,VALUE(B136)))</f>
        <v>49</v>
      </c>
      <c r="D136" s="15" t="s">
        <v>363</v>
      </c>
      <c r="E136" s="19"/>
      <c r="F136" s="18"/>
      <c r="G136" s="64"/>
      <c r="H136" s="30">
        <f>IF(ISBLANK(G136),0,G136*C136)+IF(ISBLANK(F136),0,F136*objecturen11_3)</f>
        <v>0</v>
      </c>
      <c r="I136" s="30">
        <f>IF(C136=0,0,H136/C136)</f>
        <v>0</v>
      </c>
      <c r="J136" s="32">
        <f>IF(ISBLANK(E136),0,ROUND(E136,2)*H136)</f>
        <v>0</v>
      </c>
      <c r="K136" s="32">
        <f>J136/12</f>
        <v>0</v>
      </c>
    </row>
    <row r="137" spans="1:11" x14ac:dyDescent="0.25">
      <c r="A137" s="20"/>
      <c r="B137" s="20"/>
      <c r="C137" s="65">
        <f>dagenperjaar1</f>
        <v>255</v>
      </c>
      <c r="D137" s="66" t="s">
        <v>335</v>
      </c>
      <c r="E137" s="24"/>
      <c r="F137" s="23"/>
      <c r="G137" s="67"/>
      <c r="H137" s="33">
        <f>IF(ISBLANK(G137),0,G137*C137)+IF(ISBLANK(F137),0,F137*objecturen11_3)</f>
        <v>0</v>
      </c>
      <c r="I137" s="33">
        <f>IF(C137=0,0,H137/C137)</f>
        <v>0</v>
      </c>
      <c r="J137" s="35">
        <f>IF(ISBLANK(E137),0,ROUND(E137,2)*H137)</f>
        <v>0</v>
      </c>
      <c r="K137" s="35">
        <f>J137/12</f>
        <v>0</v>
      </c>
    </row>
    <row r="138" spans="1:11" x14ac:dyDescent="0.25">
      <c r="A138" s="20"/>
      <c r="B138" s="20"/>
      <c r="C138" s="65">
        <f>dagenperjaar1</f>
        <v>255</v>
      </c>
      <c r="D138" s="66" t="s">
        <v>335</v>
      </c>
      <c r="E138" s="24"/>
      <c r="F138" s="23"/>
      <c r="G138" s="67"/>
      <c r="H138" s="33">
        <f>IF(ISBLANK(G138),0,G138*C138)+IF(ISBLANK(F138),0,F138*objecturen11_3)</f>
        <v>0</v>
      </c>
      <c r="I138" s="33">
        <f>IF(C138=0,0,H138/C138)</f>
        <v>0</v>
      </c>
      <c r="J138" s="35">
        <f>IF(ISBLANK(E138),0,ROUND(E138,2)*H138)</f>
        <v>0</v>
      </c>
      <c r="K138" s="35">
        <f>J138/12</f>
        <v>0</v>
      </c>
    </row>
    <row r="139" spans="1:11" x14ac:dyDescent="0.25">
      <c r="A139" s="20"/>
      <c r="B139" s="20"/>
      <c r="C139" s="65">
        <f>dagenperjaar1</f>
        <v>255</v>
      </c>
      <c r="D139" s="66" t="s">
        <v>336</v>
      </c>
      <c r="E139" s="24"/>
      <c r="F139" s="68"/>
      <c r="G139" s="22"/>
      <c r="H139" s="33">
        <f>IF(ISBLANK(G139),0,G139*C139)+IF(ISBLANK(F139),0,F139*objecturen11_3)</f>
        <v>0</v>
      </c>
      <c r="I139" s="33">
        <f>IF(C139=0,0,H139/C139)</f>
        <v>0</v>
      </c>
      <c r="J139" s="35">
        <f>IF(ISBLANK(E139),0,ROUND(E139,2)*H139)</f>
        <v>0</v>
      </c>
      <c r="K139" s="35">
        <f>J139/12</f>
        <v>0</v>
      </c>
    </row>
    <row r="140" spans="1:11" x14ac:dyDescent="0.25">
      <c r="A140" s="25"/>
      <c r="B140" s="25"/>
      <c r="C140" s="69">
        <f>dagenperjaar1</f>
        <v>255</v>
      </c>
      <c r="D140" s="70" t="s">
        <v>336</v>
      </c>
      <c r="E140" s="29"/>
      <c r="F140" s="71"/>
      <c r="G140" s="27"/>
      <c r="H140" s="37">
        <f>IF(ISBLANK(G140),0,G140*C140)+IF(ISBLANK(F140),0,F140*objecturen11_3)</f>
        <v>0</v>
      </c>
      <c r="I140" s="37">
        <f>IF(C140=0,0,H140/C140)</f>
        <v>0</v>
      </c>
      <c r="J140" s="39">
        <f>IF(ISBLANK(E140),0,ROUND(E140,2)*H140)</f>
        <v>0</v>
      </c>
      <c r="K140" s="39">
        <f>J140/12</f>
        <v>0</v>
      </c>
    </row>
    <row r="141" spans="1:11" x14ac:dyDescent="0.25">
      <c r="A141" s="72" t="s">
        <v>351</v>
      </c>
      <c r="B141" s="41"/>
      <c r="C141" s="41"/>
      <c r="D141" s="41"/>
      <c r="E141" s="41"/>
      <c r="F141" s="41"/>
      <c r="G141" s="41"/>
      <c r="H141" s="42">
        <f>SUM(H136:H140)</f>
        <v>0</v>
      </c>
      <c r="I141" s="41"/>
      <c r="J141" s="43">
        <f>SUM(J136:J140)</f>
        <v>0</v>
      </c>
      <c r="K141" s="44">
        <f>SUM(K136:K140)</f>
        <v>0</v>
      </c>
    </row>
    <row r="142" spans="1:11" x14ac:dyDescent="0.25">
      <c r="A142" s="45"/>
      <c r="B142" s="41"/>
      <c r="C142" s="41"/>
      <c r="D142" s="41"/>
      <c r="E142" s="41"/>
      <c r="F142" s="41"/>
      <c r="G142" s="41"/>
      <c r="H142" s="41"/>
      <c r="I142" s="41"/>
      <c r="J142" s="41"/>
      <c r="K142" s="46"/>
    </row>
    <row r="143" spans="1:11" x14ac:dyDescent="0.25">
      <c r="A143" s="40" t="s">
        <v>266</v>
      </c>
      <c r="B143" s="41"/>
      <c r="C143" s="41"/>
      <c r="D143" s="41"/>
      <c r="E143" s="41"/>
      <c r="F143" s="41"/>
      <c r="G143" s="41"/>
      <c r="H143" s="42">
        <f>tzujt9_3+tzujt11_3</f>
        <v>0</v>
      </c>
      <c r="I143" s="41"/>
      <c r="J143" s="43">
        <f>tzpjt9_3+tzpjt11_3</f>
        <v>0</v>
      </c>
      <c r="K143" s="44">
        <f>tzpmt9_3+tzpmt11_3</f>
        <v>0</v>
      </c>
    </row>
    <row r="144" spans="1:11" x14ac:dyDescent="0.25">
      <c r="A144" s="45"/>
      <c r="B144" s="41"/>
      <c r="C144" s="41"/>
      <c r="D144" s="41"/>
      <c r="E144" s="41"/>
      <c r="F144" s="41"/>
      <c r="G144" s="41"/>
      <c r="H144" s="41"/>
      <c r="I144" s="41"/>
      <c r="J144" s="41"/>
      <c r="K144" s="46"/>
    </row>
    <row r="146" spans="1:11" x14ac:dyDescent="0.25">
      <c r="A146" s="40" t="s">
        <v>364</v>
      </c>
      <c r="B146" s="41"/>
      <c r="C146" s="41"/>
      <c r="D146" s="41"/>
      <c r="E146" s="41"/>
      <c r="F146" s="41"/>
      <c r="G146" s="41"/>
      <c r="H146" s="42">
        <f>tzujt1+tzujt3</f>
        <v>0</v>
      </c>
      <c r="I146" s="41"/>
      <c r="J146" s="43">
        <f>tzpjt1+tzpjt3</f>
        <v>0</v>
      </c>
      <c r="K146" s="43">
        <f>tzpmt1+tzpmt3</f>
        <v>0</v>
      </c>
    </row>
    <row r="148" spans="1:11" x14ac:dyDescent="0.25">
      <c r="A148" s="40" t="s">
        <v>365</v>
      </c>
      <c r="B148" s="41"/>
      <c r="C148" s="41"/>
      <c r="D148" s="41"/>
      <c r="E148" s="41"/>
      <c r="F148" s="41"/>
      <c r="G148" s="41"/>
      <c r="H148" s="41"/>
      <c r="I148" s="41"/>
      <c r="J148" s="43">
        <f>J146*1.21</f>
        <v>0</v>
      </c>
      <c r="K148" s="43">
        <f>K146*1.21</f>
        <v>0</v>
      </c>
    </row>
  </sheetData>
  <pageMargins left="0.7" right="0.7" top="0.75" bottom="0.75" header="0.3" footer="0.3"/>
  <pageSetup scale="65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B14C-555E-410B-BD7F-81E21E3F84C0}">
  <dimension ref="A1:L22"/>
  <sheetViews>
    <sheetView workbookViewId="0"/>
  </sheetViews>
  <sheetFormatPr defaultRowHeight="15" x14ac:dyDescent="0.25"/>
  <cols>
    <col min="1" max="1" width="8.7109375" customWidth="1"/>
    <col min="2" max="2" width="10.7109375" customWidth="1"/>
    <col min="3" max="3" width="32.7109375" customWidth="1"/>
    <col min="4" max="4" width="20.7109375" customWidth="1"/>
    <col min="5" max="5" width="18.7109375" customWidth="1"/>
    <col min="6" max="6" width="12.7109375" customWidth="1"/>
    <col min="7" max="12" width="13.7109375" customWidth="1"/>
  </cols>
  <sheetData>
    <row r="1" spans="1:12" x14ac:dyDescent="0.25">
      <c r="A1" s="1" t="str">
        <f>CONCATENATE("Bijlage H.5: ",tabeltype," totaalblad kostenplaatsen")</f>
        <v>Bijlage H.5: Invultabel totaalblad kostenplaatsen</v>
      </c>
    </row>
    <row r="3" spans="1:12" ht="45" x14ac:dyDescent="0.25">
      <c r="A3" s="8" t="s">
        <v>295</v>
      </c>
      <c r="B3" s="8" t="s">
        <v>366</v>
      </c>
      <c r="C3" s="8" t="s">
        <v>296</v>
      </c>
      <c r="D3" s="8" t="s">
        <v>297</v>
      </c>
      <c r="E3" s="8" t="s">
        <v>298</v>
      </c>
      <c r="F3" s="8" t="s">
        <v>172</v>
      </c>
      <c r="G3" s="8" t="s">
        <v>367</v>
      </c>
      <c r="H3" s="8" t="s">
        <v>368</v>
      </c>
      <c r="I3" s="8" t="s">
        <v>369</v>
      </c>
      <c r="J3" s="8" t="s">
        <v>370</v>
      </c>
      <c r="K3" s="8" t="s">
        <v>371</v>
      </c>
      <c r="L3" s="8" t="s">
        <v>372</v>
      </c>
    </row>
    <row r="4" spans="1:12" x14ac:dyDescent="0.25">
      <c r="A4" s="15" t="s">
        <v>276</v>
      </c>
      <c r="B4" s="15" t="s">
        <v>373</v>
      </c>
      <c r="C4" s="15" t="s">
        <v>374</v>
      </c>
      <c r="D4" s="15"/>
      <c r="E4" s="15"/>
      <c r="F4" s="30"/>
      <c r="G4" s="32"/>
      <c r="H4" s="30"/>
      <c r="I4" s="32"/>
      <c r="J4" s="32">
        <f t="shared" ref="J4:J20" si="0">G4+I4</f>
        <v>0</v>
      </c>
      <c r="K4" s="32">
        <f t="shared" ref="K4:K20" si="1">J4/12</f>
        <v>0</v>
      </c>
      <c r="L4" s="32">
        <f t="shared" ref="L4:L20" si="2">K4*1.21</f>
        <v>0</v>
      </c>
    </row>
    <row r="5" spans="1:12" x14ac:dyDescent="0.25">
      <c r="A5" s="20" t="s">
        <v>277</v>
      </c>
      <c r="B5" s="20" t="s">
        <v>373</v>
      </c>
      <c r="C5" s="20" t="s">
        <v>375</v>
      </c>
      <c r="D5" s="20"/>
      <c r="E5" s="20"/>
      <c r="F5" s="33"/>
      <c r="G5" s="35"/>
      <c r="H5" s="33"/>
      <c r="I5" s="35"/>
      <c r="J5" s="35">
        <f t="shared" si="0"/>
        <v>0</v>
      </c>
      <c r="K5" s="35">
        <f t="shared" si="1"/>
        <v>0</v>
      </c>
      <c r="L5" s="35">
        <f t="shared" si="2"/>
        <v>0</v>
      </c>
    </row>
    <row r="6" spans="1:12" x14ac:dyDescent="0.25">
      <c r="A6" s="20" t="s">
        <v>278</v>
      </c>
      <c r="B6" s="20" t="s">
        <v>373</v>
      </c>
      <c r="C6" s="20" t="s">
        <v>308</v>
      </c>
      <c r="D6" s="20"/>
      <c r="E6" s="20"/>
      <c r="F6" s="33">
        <f>objecturen3_1</f>
        <v>102</v>
      </c>
      <c r="G6" s="35">
        <f>objectprijs3_1</f>
        <v>0</v>
      </c>
      <c r="H6" s="33">
        <f>tzujt3_1</f>
        <v>0</v>
      </c>
      <c r="I6" s="35">
        <f>tzpjt3_1</f>
        <v>0</v>
      </c>
      <c r="J6" s="35">
        <f t="shared" si="0"/>
        <v>0</v>
      </c>
      <c r="K6" s="35">
        <f t="shared" si="1"/>
        <v>0</v>
      </c>
      <c r="L6" s="35">
        <f t="shared" si="2"/>
        <v>0</v>
      </c>
    </row>
    <row r="7" spans="1:12" x14ac:dyDescent="0.25">
      <c r="A7" s="20" t="s">
        <v>279</v>
      </c>
      <c r="B7" s="20" t="s">
        <v>373</v>
      </c>
      <c r="C7" s="20" t="s">
        <v>376</v>
      </c>
      <c r="D7" s="20"/>
      <c r="E7" s="20"/>
      <c r="F7" s="33"/>
      <c r="G7" s="35"/>
      <c r="H7" s="33"/>
      <c r="I7" s="35"/>
      <c r="J7" s="35">
        <f t="shared" si="0"/>
        <v>0</v>
      </c>
      <c r="K7" s="35">
        <f t="shared" si="1"/>
        <v>0</v>
      </c>
      <c r="L7" s="35">
        <f t="shared" si="2"/>
        <v>0</v>
      </c>
    </row>
    <row r="8" spans="1:12" x14ac:dyDescent="0.25">
      <c r="A8" s="20" t="s">
        <v>280</v>
      </c>
      <c r="B8" s="20" t="s">
        <v>373</v>
      </c>
      <c r="C8" s="20" t="s">
        <v>309</v>
      </c>
      <c r="D8" s="20"/>
      <c r="E8" s="20"/>
      <c r="F8" s="33">
        <f>objecturen5_1</f>
        <v>0</v>
      </c>
      <c r="G8" s="35">
        <f>objectprijs5_1</f>
        <v>0</v>
      </c>
      <c r="H8" s="33">
        <f>tzujt5_1</f>
        <v>0</v>
      </c>
      <c r="I8" s="35">
        <f>tzpjt5_1</f>
        <v>0</v>
      </c>
      <c r="J8" s="35">
        <f t="shared" si="0"/>
        <v>0</v>
      </c>
      <c r="K8" s="35">
        <f t="shared" si="1"/>
        <v>0</v>
      </c>
      <c r="L8" s="35">
        <f t="shared" si="2"/>
        <v>0</v>
      </c>
    </row>
    <row r="9" spans="1:12" x14ac:dyDescent="0.25">
      <c r="A9" s="20" t="s">
        <v>281</v>
      </c>
      <c r="B9" s="20" t="s">
        <v>373</v>
      </c>
      <c r="C9" s="20" t="s">
        <v>310</v>
      </c>
      <c r="D9" s="20"/>
      <c r="E9" s="20"/>
      <c r="F9" s="33">
        <f>objecturen6_1</f>
        <v>0</v>
      </c>
      <c r="G9" s="35">
        <f>objectprijs6_1</f>
        <v>0</v>
      </c>
      <c r="H9" s="33">
        <f>tzujt6_1</f>
        <v>0</v>
      </c>
      <c r="I9" s="35">
        <f>tzpjt6_1</f>
        <v>0</v>
      </c>
      <c r="J9" s="35">
        <f t="shared" si="0"/>
        <v>0</v>
      </c>
      <c r="K9" s="35">
        <f t="shared" si="1"/>
        <v>0</v>
      </c>
      <c r="L9" s="35">
        <f t="shared" si="2"/>
        <v>0</v>
      </c>
    </row>
    <row r="10" spans="1:12" x14ac:dyDescent="0.25">
      <c r="A10" s="20" t="s">
        <v>282</v>
      </c>
      <c r="B10" s="20" t="s">
        <v>373</v>
      </c>
      <c r="C10" s="20" t="s">
        <v>311</v>
      </c>
      <c r="D10" s="20"/>
      <c r="E10" s="20"/>
      <c r="F10" s="33">
        <f>objecturen7_1</f>
        <v>0</v>
      </c>
      <c r="G10" s="35">
        <f>objectprijs7_1</f>
        <v>0</v>
      </c>
      <c r="H10" s="33">
        <f>tzujt7_1</f>
        <v>0</v>
      </c>
      <c r="I10" s="35">
        <f>tzpjt7_1</f>
        <v>0</v>
      </c>
      <c r="J10" s="35">
        <f t="shared" si="0"/>
        <v>0</v>
      </c>
      <c r="K10" s="35">
        <f t="shared" si="1"/>
        <v>0</v>
      </c>
      <c r="L10" s="35">
        <f t="shared" si="2"/>
        <v>0</v>
      </c>
    </row>
    <row r="11" spans="1:12" x14ac:dyDescent="0.25">
      <c r="A11" s="20" t="s">
        <v>283</v>
      </c>
      <c r="B11" s="20" t="s">
        <v>373</v>
      </c>
      <c r="C11" s="20" t="s">
        <v>312</v>
      </c>
      <c r="D11" s="20"/>
      <c r="E11" s="20"/>
      <c r="F11" s="33">
        <f>objecturen8_1</f>
        <v>0</v>
      </c>
      <c r="G11" s="35">
        <f>objectprijs8_1</f>
        <v>0</v>
      </c>
      <c r="H11" s="33">
        <f>tzujt8_1</f>
        <v>0</v>
      </c>
      <c r="I11" s="35">
        <f>tzpjt8_1</f>
        <v>0</v>
      </c>
      <c r="J11" s="35">
        <f t="shared" si="0"/>
        <v>0</v>
      </c>
      <c r="K11" s="35">
        <f t="shared" si="1"/>
        <v>0</v>
      </c>
      <c r="L11" s="35">
        <f t="shared" si="2"/>
        <v>0</v>
      </c>
    </row>
    <row r="12" spans="1:12" x14ac:dyDescent="0.25">
      <c r="A12" s="20" t="s">
        <v>284</v>
      </c>
      <c r="B12" s="20" t="s">
        <v>373</v>
      </c>
      <c r="C12" s="20" t="s">
        <v>313</v>
      </c>
      <c r="D12" s="20"/>
      <c r="E12" s="20"/>
      <c r="F12" s="33">
        <f>objecturen9_1+objecturen9_3</f>
        <v>0</v>
      </c>
      <c r="G12" s="35">
        <f>objectprijs9_1+objectprijs9_3</f>
        <v>0</v>
      </c>
      <c r="H12" s="33">
        <f>tzujt9_1+tzujt9_3</f>
        <v>0</v>
      </c>
      <c r="I12" s="35">
        <f>tzpjt9_1+tzpjt9_3</f>
        <v>0</v>
      </c>
      <c r="J12" s="35">
        <f t="shared" si="0"/>
        <v>0</v>
      </c>
      <c r="K12" s="35">
        <f t="shared" si="1"/>
        <v>0</v>
      </c>
      <c r="L12" s="35">
        <f t="shared" si="2"/>
        <v>0</v>
      </c>
    </row>
    <row r="13" spans="1:12" x14ac:dyDescent="0.25">
      <c r="A13" s="20" t="s">
        <v>285</v>
      </c>
      <c r="B13" s="20" t="s">
        <v>373</v>
      </c>
      <c r="C13" s="20" t="s">
        <v>314</v>
      </c>
      <c r="D13" s="20"/>
      <c r="E13" s="20"/>
      <c r="F13" s="33">
        <f>objecturen10_1</f>
        <v>0</v>
      </c>
      <c r="G13" s="35">
        <f>objectprijs10_1</f>
        <v>0</v>
      </c>
      <c r="H13" s="33">
        <f>tzujt10_1</f>
        <v>0</v>
      </c>
      <c r="I13" s="35">
        <f>tzpjt10_1</f>
        <v>0</v>
      </c>
      <c r="J13" s="35">
        <f t="shared" si="0"/>
        <v>0</v>
      </c>
      <c r="K13" s="35">
        <f t="shared" si="1"/>
        <v>0</v>
      </c>
      <c r="L13" s="35">
        <f t="shared" si="2"/>
        <v>0</v>
      </c>
    </row>
    <row r="14" spans="1:12" x14ac:dyDescent="0.25">
      <c r="A14" s="20" t="s">
        <v>286</v>
      </c>
      <c r="B14" s="20" t="s">
        <v>373</v>
      </c>
      <c r="C14" s="20" t="s">
        <v>315</v>
      </c>
      <c r="D14" s="20"/>
      <c r="E14" s="20"/>
      <c r="F14" s="33">
        <f>objecturen11_1+objecturen11_3</f>
        <v>0</v>
      </c>
      <c r="G14" s="35">
        <f>objectprijs11_1+objectprijs11_3</f>
        <v>0</v>
      </c>
      <c r="H14" s="33">
        <f>tzujt11_1+tzujt11_3</f>
        <v>0</v>
      </c>
      <c r="I14" s="35">
        <f>tzpjt11_1+tzpjt11_3</f>
        <v>0</v>
      </c>
      <c r="J14" s="35">
        <f t="shared" si="0"/>
        <v>0</v>
      </c>
      <c r="K14" s="35">
        <f t="shared" si="1"/>
        <v>0</v>
      </c>
      <c r="L14" s="35">
        <f t="shared" si="2"/>
        <v>0</v>
      </c>
    </row>
    <row r="15" spans="1:12" x14ac:dyDescent="0.25">
      <c r="A15" s="20" t="s">
        <v>287</v>
      </c>
      <c r="B15" s="20" t="s">
        <v>373</v>
      </c>
      <c r="C15" s="20" t="s">
        <v>316</v>
      </c>
      <c r="D15" s="20"/>
      <c r="E15" s="20"/>
      <c r="F15" s="33">
        <f>objecturen12_1</f>
        <v>0</v>
      </c>
      <c r="G15" s="35">
        <f>objectprijs12_1</f>
        <v>0</v>
      </c>
      <c r="H15" s="33">
        <f>tzujt12_1</f>
        <v>0</v>
      </c>
      <c r="I15" s="35">
        <f>tzpjt12_1</f>
        <v>0</v>
      </c>
      <c r="J15" s="35">
        <f t="shared" si="0"/>
        <v>0</v>
      </c>
      <c r="K15" s="35">
        <f t="shared" si="1"/>
        <v>0</v>
      </c>
      <c r="L15" s="35">
        <f t="shared" si="2"/>
        <v>0</v>
      </c>
    </row>
    <row r="16" spans="1:12" x14ac:dyDescent="0.25">
      <c r="A16" s="20" t="s">
        <v>288</v>
      </c>
      <c r="B16" s="20" t="s">
        <v>373</v>
      </c>
      <c r="C16" s="20" t="s">
        <v>317</v>
      </c>
      <c r="D16" s="20"/>
      <c r="E16" s="20"/>
      <c r="F16" s="33">
        <f>objecturen13_1</f>
        <v>0</v>
      </c>
      <c r="G16" s="35">
        <f>objectprijs13_1</f>
        <v>0</v>
      </c>
      <c r="H16" s="33">
        <f>tzujt13_1</f>
        <v>0</v>
      </c>
      <c r="I16" s="35">
        <f>tzpjt13_1</f>
        <v>0</v>
      </c>
      <c r="J16" s="35">
        <f t="shared" si="0"/>
        <v>0</v>
      </c>
      <c r="K16" s="35">
        <f t="shared" si="1"/>
        <v>0</v>
      </c>
      <c r="L16" s="35">
        <f t="shared" si="2"/>
        <v>0</v>
      </c>
    </row>
    <row r="17" spans="1:12" x14ac:dyDescent="0.25">
      <c r="A17" s="20" t="s">
        <v>289</v>
      </c>
      <c r="B17" s="20" t="s">
        <v>373</v>
      </c>
      <c r="C17" s="20" t="s">
        <v>318</v>
      </c>
      <c r="D17" s="20"/>
      <c r="E17" s="20"/>
      <c r="F17" s="33">
        <f>objecturen14_1</f>
        <v>0</v>
      </c>
      <c r="G17" s="35">
        <f>objectprijs14_1</f>
        <v>0</v>
      </c>
      <c r="H17" s="33">
        <f>tzujt14_1</f>
        <v>0</v>
      </c>
      <c r="I17" s="35">
        <f>tzpjt14_1</f>
        <v>0</v>
      </c>
      <c r="J17" s="35">
        <f t="shared" si="0"/>
        <v>0</v>
      </c>
      <c r="K17" s="35">
        <f t="shared" si="1"/>
        <v>0</v>
      </c>
      <c r="L17" s="35">
        <f t="shared" si="2"/>
        <v>0</v>
      </c>
    </row>
    <row r="18" spans="1:12" x14ac:dyDescent="0.25">
      <c r="A18" s="20" t="s">
        <v>290</v>
      </c>
      <c r="B18" s="20" t="s">
        <v>373</v>
      </c>
      <c r="C18" s="20" t="s">
        <v>319</v>
      </c>
      <c r="D18" s="20"/>
      <c r="E18" s="20"/>
      <c r="F18" s="33">
        <f>objecturen15_1</f>
        <v>0</v>
      </c>
      <c r="G18" s="35">
        <f>objectprijs15_1</f>
        <v>0</v>
      </c>
      <c r="H18" s="33">
        <f>tzujt15_1</f>
        <v>0</v>
      </c>
      <c r="I18" s="35">
        <f>tzpjt15_1</f>
        <v>0</v>
      </c>
      <c r="J18" s="35">
        <f t="shared" si="0"/>
        <v>0</v>
      </c>
      <c r="K18" s="35">
        <f t="shared" si="1"/>
        <v>0</v>
      </c>
      <c r="L18" s="35">
        <f t="shared" si="2"/>
        <v>0</v>
      </c>
    </row>
    <row r="19" spans="1:12" x14ac:dyDescent="0.25">
      <c r="A19" s="20" t="s">
        <v>291</v>
      </c>
      <c r="B19" s="20" t="s">
        <v>373</v>
      </c>
      <c r="C19" s="20" t="s">
        <v>320</v>
      </c>
      <c r="D19" s="20"/>
      <c r="E19" s="20"/>
      <c r="F19" s="33">
        <f>objecturen16_1</f>
        <v>0</v>
      </c>
      <c r="G19" s="35">
        <f>objectprijs16_1</f>
        <v>0</v>
      </c>
      <c r="H19" s="33">
        <f>tzujt16_1</f>
        <v>0</v>
      </c>
      <c r="I19" s="35">
        <f>tzpjt16_1</f>
        <v>0</v>
      </c>
      <c r="J19" s="35">
        <f t="shared" si="0"/>
        <v>0</v>
      </c>
      <c r="K19" s="35">
        <f t="shared" si="1"/>
        <v>0</v>
      </c>
      <c r="L19" s="35">
        <f t="shared" si="2"/>
        <v>0</v>
      </c>
    </row>
    <row r="20" spans="1:12" x14ac:dyDescent="0.25">
      <c r="A20" s="25" t="s">
        <v>377</v>
      </c>
      <c r="B20" s="25" t="s">
        <v>373</v>
      </c>
      <c r="C20" s="25" t="s">
        <v>378</v>
      </c>
      <c r="D20" s="25"/>
      <c r="E20" s="25"/>
      <c r="F20" s="37"/>
      <c r="G20" s="39"/>
      <c r="H20" s="37"/>
      <c r="I20" s="39"/>
      <c r="J20" s="39">
        <f t="shared" si="0"/>
        <v>0</v>
      </c>
      <c r="K20" s="39">
        <f t="shared" si="1"/>
        <v>0</v>
      </c>
      <c r="L20" s="39">
        <f t="shared" si="2"/>
        <v>0</v>
      </c>
    </row>
    <row r="22" spans="1:12" x14ac:dyDescent="0.25">
      <c r="A22" s="40" t="s">
        <v>379</v>
      </c>
      <c r="B22" s="41"/>
      <c r="C22" s="41"/>
      <c r="D22" s="41"/>
      <c r="E22" s="41"/>
      <c r="F22" s="42">
        <f t="shared" ref="F22:L22" si="3">SUM(F4:F20)</f>
        <v>102</v>
      </c>
      <c r="G22" s="43">
        <f t="shared" si="3"/>
        <v>0</v>
      </c>
      <c r="H22" s="42">
        <f t="shared" si="3"/>
        <v>0</v>
      </c>
      <c r="I22" s="43">
        <f t="shared" si="3"/>
        <v>0</v>
      </c>
      <c r="J22" s="43">
        <f t="shared" si="3"/>
        <v>0</v>
      </c>
      <c r="K22" s="43">
        <f t="shared" si="3"/>
        <v>0</v>
      </c>
      <c r="L22" s="43">
        <f t="shared" si="3"/>
        <v>0</v>
      </c>
    </row>
  </sheetData>
  <pageMargins left="0.7" right="0.7" top="0.75" bottom="0.75" header="0.3" footer="0.3"/>
  <pageSetup scale="65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01B3-3FAB-4B09-A0A5-84F1F7E1BF95}">
  <dimension ref="A1:L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H.6: ",tabeltype," additioneel werk")</f>
        <v>Bijlage H.6: Invultabel additioneel werk</v>
      </c>
    </row>
    <row r="3" spans="1:12" ht="45" x14ac:dyDescent="0.25">
      <c r="A3" s="8" t="s">
        <v>380</v>
      </c>
      <c r="B3" s="8" t="s">
        <v>7</v>
      </c>
      <c r="C3" s="8" t="s">
        <v>381</v>
      </c>
      <c r="D3" s="8" t="s">
        <v>32</v>
      </c>
      <c r="E3" s="8" t="s">
        <v>35</v>
      </c>
      <c r="F3" s="8" t="s">
        <v>382</v>
      </c>
      <c r="G3" s="8" t="s">
        <v>383</v>
      </c>
      <c r="H3" s="8" t="s">
        <v>384</v>
      </c>
      <c r="I3" s="8" t="s">
        <v>385</v>
      </c>
      <c r="J3" s="8" t="s">
        <v>386</v>
      </c>
      <c r="K3" s="8" t="s">
        <v>173</v>
      </c>
      <c r="L3" s="8" t="s">
        <v>307</v>
      </c>
    </row>
    <row r="4" spans="1:12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5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5">
      <c r="A6" s="75" t="s">
        <v>387</v>
      </c>
      <c r="B6" s="75" t="s">
        <v>28</v>
      </c>
      <c r="C6" s="76">
        <f>IF(ISBLANK(B6),0,IF(ISERROR(VALUE(B6)),VLOOKUP(B6,dagsoorttabel1,2,FALSE)*dagenperjaar1,VALUE(B6)))</f>
        <v>1</v>
      </c>
      <c r="D6" s="75" t="s">
        <v>388</v>
      </c>
      <c r="E6" s="75" t="s">
        <v>389</v>
      </c>
      <c r="F6" s="77">
        <v>477.19999999999993</v>
      </c>
      <c r="G6" s="78"/>
      <c r="H6" s="79"/>
      <c r="I6" s="80"/>
      <c r="J6" s="81">
        <f>IF(ISBLANK(H6),0,F6 / H6 * G6)</f>
        <v>0</v>
      </c>
      <c r="K6" s="81">
        <f>C6*J6</f>
        <v>0</v>
      </c>
      <c r="L6" s="81">
        <f>K6/12</f>
        <v>0</v>
      </c>
    </row>
    <row r="7" spans="1:12" x14ac:dyDescent="0.25">
      <c r="A7" s="40" t="s">
        <v>248</v>
      </c>
      <c r="B7" s="41"/>
      <c r="C7" s="41"/>
      <c r="D7" s="41"/>
      <c r="E7" s="41"/>
      <c r="F7" s="41"/>
      <c r="G7" s="41"/>
      <c r="H7" s="41"/>
      <c r="I7" s="41"/>
      <c r="J7" s="41"/>
      <c r="K7" s="43">
        <f>SUM(K6:K6)</f>
        <v>0</v>
      </c>
      <c r="L7" s="82">
        <f>K7/12</f>
        <v>0</v>
      </c>
    </row>
    <row r="9" spans="1:12" x14ac:dyDescent="0.25">
      <c r="A9" s="40" t="s">
        <v>390</v>
      </c>
      <c r="B9" s="41"/>
      <c r="C9" s="41"/>
      <c r="D9" s="41"/>
      <c r="E9" s="41"/>
      <c r="F9" s="41"/>
      <c r="G9" s="41"/>
      <c r="H9" s="41"/>
      <c r="I9" s="41"/>
      <c r="J9" s="41"/>
      <c r="K9" s="43">
        <f>prijsjaaradditioneel1</f>
        <v>0</v>
      </c>
      <c r="L9" s="82">
        <f>K9/12</f>
        <v>0</v>
      </c>
    </row>
  </sheetData>
  <pageMargins left="0.7" right="0.7" top="0.75" bottom="0.75" header="0.3" footer="0.3"/>
  <pageSetup scale="65" orientation="landscape" r:id="rId1"/>
  <headerFooter>
    <oddFooter>&amp;LGemeente Heusden EA 2023                                    &amp;ROpmaakdatum: 21-06-2023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D2E8-20F7-4010-BEF9-AD9438C67AEE}">
  <dimension ref="A1:M27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H.7: ",tabeltype," additioneel werk per kp/loc")</f>
        <v>Bijlage H.7: Invultabel additioneel werk per kp/loc</v>
      </c>
    </row>
    <row r="3" spans="1:13" ht="45" x14ac:dyDescent="0.25">
      <c r="A3" s="8" t="s">
        <v>380</v>
      </c>
      <c r="B3" s="8" t="s">
        <v>7</v>
      </c>
      <c r="C3" s="8" t="s">
        <v>381</v>
      </c>
      <c r="D3" s="8" t="s">
        <v>270</v>
      </c>
      <c r="E3" s="8" t="s">
        <v>32</v>
      </c>
      <c r="F3" s="8" t="s">
        <v>35</v>
      </c>
      <c r="G3" s="8" t="s">
        <v>382</v>
      </c>
      <c r="H3" s="8" t="s">
        <v>383</v>
      </c>
      <c r="I3" s="8" t="s">
        <v>384</v>
      </c>
      <c r="J3" s="8" t="s">
        <v>385</v>
      </c>
      <c r="K3" s="8" t="s">
        <v>386</v>
      </c>
      <c r="L3" s="8" t="s">
        <v>173</v>
      </c>
      <c r="M3" s="8" t="s">
        <v>307</v>
      </c>
    </row>
    <row r="5" spans="1:13" x14ac:dyDescent="0.25">
      <c r="A5" s="83" t="s">
        <v>391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84"/>
    </row>
    <row r="6" spans="1:13" x14ac:dyDescent="0.25">
      <c r="A6" s="75" t="s">
        <v>387</v>
      </c>
      <c r="B6" s="75" t="s">
        <v>28</v>
      </c>
      <c r="C6" s="76">
        <f>IF(ISBLANK(B6),0,IF(ISERROR(VALUE(B6)),VLOOKUP(B6,dagsoorttabel1,2,FALSE)*dagenperjaar1,VALUE(B6)))</f>
        <v>1</v>
      </c>
      <c r="D6" s="75" t="s">
        <v>293</v>
      </c>
      <c r="E6" s="75" t="s">
        <v>388</v>
      </c>
      <c r="F6" s="75" t="s">
        <v>389</v>
      </c>
      <c r="G6" s="77">
        <v>61.400000000000006</v>
      </c>
      <c r="H6" s="85">
        <f>'Additioneel werk'!G6</f>
        <v>0</v>
      </c>
      <c r="I6" s="86">
        <f>'Additioneel werk'!H6</f>
        <v>0</v>
      </c>
      <c r="J6" s="80"/>
      <c r="K6" s="81" t="e">
        <f>IF(ISBLANK(I6),0,G6 / I6 * H6)</f>
        <v>#DIV/0!</v>
      </c>
      <c r="L6" s="81" t="e">
        <f>C6*K6</f>
        <v>#DIV/0!</v>
      </c>
      <c r="M6" s="81" t="e">
        <f>L6/12</f>
        <v>#DIV/0!</v>
      </c>
    </row>
    <row r="7" spans="1:13" x14ac:dyDescent="0.25">
      <c r="A7" s="72" t="s">
        <v>337</v>
      </c>
      <c r="B7" s="41"/>
      <c r="C7" s="41"/>
      <c r="D7" s="41"/>
      <c r="E7" s="41"/>
      <c r="F7" s="41"/>
      <c r="G7" s="41"/>
      <c r="H7" s="41"/>
      <c r="I7" s="41"/>
      <c r="J7" s="41"/>
      <c r="K7" s="43" t="e">
        <f>SUM(K6:K6)</f>
        <v>#DIV/0!</v>
      </c>
      <c r="L7" s="43" t="e">
        <f>SUM(L6:L6)</f>
        <v>#DIV/0!</v>
      </c>
      <c r="M7" s="82" t="e">
        <f>L7/12</f>
        <v>#DIV/0!</v>
      </c>
    </row>
    <row r="9" spans="1:13" x14ac:dyDescent="0.25">
      <c r="A9" s="83" t="s">
        <v>392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84"/>
    </row>
    <row r="10" spans="1:13" x14ac:dyDescent="0.25">
      <c r="A10" s="75" t="s">
        <v>387</v>
      </c>
      <c r="B10" s="75" t="s">
        <v>28</v>
      </c>
      <c r="C10" s="76">
        <f>IF(ISBLANK(B10),0,IF(ISERROR(VALUE(B10)),VLOOKUP(B10,dagsoorttabel1,2,FALSE)*dagenperjaar1,VALUE(B10)))</f>
        <v>1</v>
      </c>
      <c r="D10" s="75" t="s">
        <v>293</v>
      </c>
      <c r="E10" s="75" t="s">
        <v>388</v>
      </c>
      <c r="F10" s="75" t="s">
        <v>389</v>
      </c>
      <c r="G10" s="77">
        <v>75.5</v>
      </c>
      <c r="H10" s="85">
        <f>'Additioneel werk'!G6</f>
        <v>0</v>
      </c>
      <c r="I10" s="86">
        <f>'Additioneel werk'!H6</f>
        <v>0</v>
      </c>
      <c r="J10" s="80"/>
      <c r="K10" s="81" t="e">
        <f>IF(ISBLANK(I10),0,G10 / I10 * H10)</f>
        <v>#DIV/0!</v>
      </c>
      <c r="L10" s="81" t="e">
        <f>C10*K10</f>
        <v>#DIV/0!</v>
      </c>
      <c r="M10" s="81" t="e">
        <f>L10/12</f>
        <v>#DIV/0!</v>
      </c>
    </row>
    <row r="11" spans="1:13" x14ac:dyDescent="0.25">
      <c r="A11" s="72" t="s">
        <v>347</v>
      </c>
      <c r="B11" s="41"/>
      <c r="C11" s="41"/>
      <c r="D11" s="41"/>
      <c r="E11" s="41"/>
      <c r="F11" s="41"/>
      <c r="G11" s="41"/>
      <c r="H11" s="41"/>
      <c r="I11" s="41"/>
      <c r="J11" s="41"/>
      <c r="K11" s="43" t="e">
        <f>SUM(K10:K10)</f>
        <v>#DIV/0!</v>
      </c>
      <c r="L11" s="43" t="e">
        <f>SUM(L10:L10)</f>
        <v>#DIV/0!</v>
      </c>
      <c r="M11" s="82" t="e">
        <f>L11/12</f>
        <v>#DIV/0!</v>
      </c>
    </row>
    <row r="13" spans="1:13" x14ac:dyDescent="0.25">
      <c r="A13" s="83" t="s">
        <v>393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84"/>
    </row>
    <row r="14" spans="1:13" x14ac:dyDescent="0.25">
      <c r="A14" s="75" t="s">
        <v>387</v>
      </c>
      <c r="B14" s="75" t="s">
        <v>28</v>
      </c>
      <c r="C14" s="76">
        <f>IF(ISBLANK(B14),0,IF(ISERROR(VALUE(B14)),VLOOKUP(B14,dagsoorttabel1,2,FALSE)*dagenperjaar1,VALUE(B14)))</f>
        <v>1</v>
      </c>
      <c r="D14" s="75" t="s">
        <v>293</v>
      </c>
      <c r="E14" s="75" t="s">
        <v>388</v>
      </c>
      <c r="F14" s="75" t="s">
        <v>389</v>
      </c>
      <c r="G14" s="77">
        <v>120.4</v>
      </c>
      <c r="H14" s="85">
        <f>'Additioneel werk'!G6</f>
        <v>0</v>
      </c>
      <c r="I14" s="86">
        <f>'Additioneel werk'!H6</f>
        <v>0</v>
      </c>
      <c r="J14" s="80"/>
      <c r="K14" s="81" t="e">
        <f>IF(ISBLANK(I14),0,G14 / I14 * H14)</f>
        <v>#DIV/0!</v>
      </c>
      <c r="L14" s="81" t="e">
        <f>C14*K14</f>
        <v>#DIV/0!</v>
      </c>
      <c r="M14" s="81" t="e">
        <f>L14/12</f>
        <v>#DIV/0!</v>
      </c>
    </row>
    <row r="15" spans="1:13" x14ac:dyDescent="0.25">
      <c r="A15" s="72" t="s">
        <v>351</v>
      </c>
      <c r="B15" s="41"/>
      <c r="C15" s="41"/>
      <c r="D15" s="41"/>
      <c r="E15" s="41"/>
      <c r="F15" s="41"/>
      <c r="G15" s="41"/>
      <c r="H15" s="41"/>
      <c r="I15" s="41"/>
      <c r="J15" s="41"/>
      <c r="K15" s="43" t="e">
        <f>SUM(K14:K14)</f>
        <v>#DIV/0!</v>
      </c>
      <c r="L15" s="43" t="e">
        <f>SUM(L14:L14)</f>
        <v>#DIV/0!</v>
      </c>
      <c r="M15" s="82" t="e">
        <f>L15/12</f>
        <v>#DIV/0!</v>
      </c>
    </row>
    <row r="17" spans="1:13" x14ac:dyDescent="0.25">
      <c r="A17" s="83" t="s">
        <v>394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84"/>
    </row>
    <row r="18" spans="1:13" x14ac:dyDescent="0.25">
      <c r="A18" s="75" t="s">
        <v>387</v>
      </c>
      <c r="B18" s="75" t="s">
        <v>28</v>
      </c>
      <c r="C18" s="76">
        <f>IF(ISBLANK(B18),0,IF(ISERROR(VALUE(B18)),VLOOKUP(B18,dagsoorttabel1,2,FALSE)*dagenperjaar1,VALUE(B18)))</f>
        <v>1</v>
      </c>
      <c r="D18" s="75" t="s">
        <v>293</v>
      </c>
      <c r="E18" s="75" t="s">
        <v>388</v>
      </c>
      <c r="F18" s="75" t="s">
        <v>389</v>
      </c>
      <c r="G18" s="77">
        <v>35.200000000000003</v>
      </c>
      <c r="H18" s="85">
        <f>'Additioneel werk'!G6</f>
        <v>0</v>
      </c>
      <c r="I18" s="86">
        <f>'Additioneel werk'!H6</f>
        <v>0</v>
      </c>
      <c r="J18" s="80"/>
      <c r="K18" s="81" t="e">
        <f>IF(ISBLANK(I18),0,G18 / I18 * H18)</f>
        <v>#DIV/0!</v>
      </c>
      <c r="L18" s="81" t="e">
        <f>C18*K18</f>
        <v>#DIV/0!</v>
      </c>
      <c r="M18" s="81" t="e">
        <f>L18/12</f>
        <v>#DIV/0!</v>
      </c>
    </row>
    <row r="19" spans="1:13" x14ac:dyDescent="0.25">
      <c r="A19" s="72" t="s">
        <v>357</v>
      </c>
      <c r="B19" s="41"/>
      <c r="C19" s="41"/>
      <c r="D19" s="41"/>
      <c r="E19" s="41"/>
      <c r="F19" s="41"/>
      <c r="G19" s="41"/>
      <c r="H19" s="41"/>
      <c r="I19" s="41"/>
      <c r="J19" s="41"/>
      <c r="K19" s="43" t="e">
        <f>SUM(K18:K18)</f>
        <v>#DIV/0!</v>
      </c>
      <c r="L19" s="43" t="e">
        <f>SUM(L18:L18)</f>
        <v>#DIV/0!</v>
      </c>
      <c r="M19" s="82" t="e">
        <f>L19/12</f>
        <v>#DIV/0!</v>
      </c>
    </row>
    <row r="21" spans="1:13" x14ac:dyDescent="0.25">
      <c r="A21" s="83" t="s">
        <v>395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84"/>
    </row>
    <row r="22" spans="1:13" x14ac:dyDescent="0.25">
      <c r="A22" s="75" t="s">
        <v>387</v>
      </c>
      <c r="B22" s="75" t="s">
        <v>28</v>
      </c>
      <c r="C22" s="76">
        <f>IF(ISBLANK(B22),0,IF(ISERROR(VALUE(B22)),VLOOKUP(B22,dagsoorttabel1,2,FALSE)*dagenperjaar1,VALUE(B22)))</f>
        <v>1</v>
      </c>
      <c r="D22" s="75" t="s">
        <v>293</v>
      </c>
      <c r="E22" s="75" t="s">
        <v>388</v>
      </c>
      <c r="F22" s="75" t="s">
        <v>389</v>
      </c>
      <c r="G22" s="77">
        <v>67.7</v>
      </c>
      <c r="H22" s="85">
        <f>'Additioneel werk'!G6</f>
        <v>0</v>
      </c>
      <c r="I22" s="86">
        <f>'Additioneel werk'!H6</f>
        <v>0</v>
      </c>
      <c r="J22" s="80"/>
      <c r="K22" s="81" t="e">
        <f>IF(ISBLANK(I22),0,G22 / I22 * H22)</f>
        <v>#DIV/0!</v>
      </c>
      <c r="L22" s="81" t="e">
        <f>C22*K22</f>
        <v>#DIV/0!</v>
      </c>
      <c r="M22" s="81" t="e">
        <f>L22/12</f>
        <v>#DIV/0!</v>
      </c>
    </row>
    <row r="23" spans="1:13" x14ac:dyDescent="0.25">
      <c r="A23" s="72" t="s">
        <v>359</v>
      </c>
      <c r="B23" s="41"/>
      <c r="C23" s="41"/>
      <c r="D23" s="41"/>
      <c r="E23" s="41"/>
      <c r="F23" s="41"/>
      <c r="G23" s="41"/>
      <c r="H23" s="41"/>
      <c r="I23" s="41"/>
      <c r="J23" s="41"/>
      <c r="K23" s="43" t="e">
        <f>SUM(K22:K22)</f>
        <v>#DIV/0!</v>
      </c>
      <c r="L23" s="43" t="e">
        <f>SUM(L22:L22)</f>
        <v>#DIV/0!</v>
      </c>
      <c r="M23" s="82" t="e">
        <f>L23/12</f>
        <v>#DIV/0!</v>
      </c>
    </row>
    <row r="25" spans="1:13" x14ac:dyDescent="0.25">
      <c r="A25" s="83" t="s">
        <v>396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84"/>
    </row>
    <row r="26" spans="1:13" x14ac:dyDescent="0.25">
      <c r="A26" s="75" t="s">
        <v>387</v>
      </c>
      <c r="B26" s="75" t="s">
        <v>28</v>
      </c>
      <c r="C26" s="76">
        <f>IF(ISBLANK(B26),0,IF(ISERROR(VALUE(B26)),VLOOKUP(B26,dagsoorttabel1,2,FALSE)*dagenperjaar1,VALUE(B26)))</f>
        <v>1</v>
      </c>
      <c r="D26" s="75" t="s">
        <v>293</v>
      </c>
      <c r="E26" s="75" t="s">
        <v>388</v>
      </c>
      <c r="F26" s="75" t="s">
        <v>389</v>
      </c>
      <c r="G26" s="77">
        <v>117</v>
      </c>
      <c r="H26" s="85">
        <f>'Additioneel werk'!G6</f>
        <v>0</v>
      </c>
      <c r="I26" s="86">
        <f>'Additioneel werk'!H6</f>
        <v>0</v>
      </c>
      <c r="J26" s="80"/>
      <c r="K26" s="81" t="e">
        <f>IF(ISBLANK(I26),0,G26 / I26 * H26)</f>
        <v>#DIV/0!</v>
      </c>
      <c r="L26" s="81" t="e">
        <f>C26*K26</f>
        <v>#DIV/0!</v>
      </c>
      <c r="M26" s="81" t="e">
        <f>L26/12</f>
        <v>#DIV/0!</v>
      </c>
    </row>
    <row r="27" spans="1:13" x14ac:dyDescent="0.25">
      <c r="A27" s="72" t="s">
        <v>361</v>
      </c>
      <c r="B27" s="41"/>
      <c r="C27" s="41"/>
      <c r="D27" s="41"/>
      <c r="E27" s="41"/>
      <c r="F27" s="41"/>
      <c r="G27" s="41"/>
      <c r="H27" s="41"/>
      <c r="I27" s="41"/>
      <c r="J27" s="41"/>
      <c r="K27" s="43" t="e">
        <f>SUM(K26:K26)</f>
        <v>#DIV/0!</v>
      </c>
      <c r="L27" s="43" t="e">
        <f>SUM(L26:L26)</f>
        <v>#DIV/0!</v>
      </c>
      <c r="M27" s="82" t="e">
        <f>L27/12</f>
        <v>#DIV/0!</v>
      </c>
    </row>
  </sheetData>
  <pageMargins left="0.7" right="0.7" top="0.75" bottom="0.75" header="0.3" footer="0.3"/>
  <pageSetup scale="65" orientation="landscape" r:id="rId1"/>
  <headerFooter>
    <oddFooter>&amp;LGemeente Heusden EA 2023                                    &amp;ROpmaakdatum: 21-06-2023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642</vt:i4>
      </vt:variant>
    </vt:vector>
  </HeadingPairs>
  <TitlesOfParts>
    <vt:vector size="656" baseType="lpstr">
      <vt:lpstr>Omreken</vt:lpstr>
      <vt:lpstr>Categorienormen</vt:lpstr>
      <vt:lpstr>Regulier werk</vt:lpstr>
      <vt:lpstr>Kostenplaatsinfo</vt:lpstr>
      <vt:lpstr>Kostenplaatsen</vt:lpstr>
      <vt:lpstr>LeidingPerKp</vt:lpstr>
      <vt:lpstr>Totaalblad Kostenplaatsen</vt:lpstr>
      <vt:lpstr>Additioneel werk</vt:lpstr>
      <vt:lpstr>Additioneel werk per kp-loc</vt:lpstr>
      <vt:lpstr>Afroep</vt:lpstr>
      <vt:lpstr>Afroep incidenteel</vt:lpstr>
      <vt:lpstr>Glas</vt:lpstr>
      <vt:lpstr>Glas per kostenplaats-locatie</vt:lpstr>
      <vt:lpstr>Totaal</vt:lpstr>
      <vt:lpstr>'Additioneel werk'!Afdruktitels</vt:lpstr>
      <vt:lpstr>'Additioneel werk per kp-loc'!Afdruktitels</vt:lpstr>
      <vt:lpstr>Afroep!Afdruktitels</vt:lpstr>
      <vt:lpstr>'Afroep incidenteel'!Afdruktitels</vt:lpstr>
      <vt:lpstr>Categorienormen!Afdruktitels</vt:lpstr>
      <vt:lpstr>Glas!Afdruktitels</vt:lpstr>
      <vt:lpstr>'Glas per kostenplaats-locatie'!Afdruktitels</vt:lpstr>
      <vt:lpstr>Kostenplaatsen!Afdruktitels</vt:lpstr>
      <vt:lpstr>Kostenplaatsinfo!Afdruktitels</vt:lpstr>
      <vt:lpstr>LeidingPerKp!Afdruktitels</vt:lpstr>
      <vt:lpstr>'Regulier werk'!Afdruktitels</vt:lpstr>
      <vt:lpstr>Totaal!Afdruktitels</vt:lpstr>
      <vt:lpstr>'Totaalblad Kostenplaatsen'!Afdruktitels</vt:lpstr>
      <vt:lpstr>catdw_1_AHV_51</vt:lpstr>
      <vt:lpstr>catdw_1_AZV_51</vt:lpstr>
      <vt:lpstr>catdw_1_BHB_1</vt:lpstr>
      <vt:lpstr>catdw_1_BHV_1</vt:lpstr>
      <vt:lpstr>catdw_1_BHV_26</vt:lpstr>
      <vt:lpstr>catdw_1_BHV_49</vt:lpstr>
      <vt:lpstr>catdw_1_BHV_51</vt:lpstr>
      <vt:lpstr>catdw_1_BZB_1</vt:lpstr>
      <vt:lpstr>catdw_1_BZV_49</vt:lpstr>
      <vt:lpstr>catdw_1_BZV_51</vt:lpstr>
      <vt:lpstr>catdw_1_DHB_1</vt:lpstr>
      <vt:lpstr>catdw_1_DHV_26</vt:lpstr>
      <vt:lpstr>catdw_1_DHV_49</vt:lpstr>
      <vt:lpstr>catdw_1_EHB_1</vt:lpstr>
      <vt:lpstr>catdw_1_EHV_49</vt:lpstr>
      <vt:lpstr>catdw_1_EHV_51</vt:lpstr>
      <vt:lpstr>catdw_1_EZB_1</vt:lpstr>
      <vt:lpstr>catdw_1_EZV_49</vt:lpstr>
      <vt:lpstr>catdw_1_EZV_51</vt:lpstr>
      <vt:lpstr>catdw_1_GHB_1</vt:lpstr>
      <vt:lpstr>catdw_1_GHV_49</vt:lpstr>
      <vt:lpstr>catdw_1_HHB_1</vt:lpstr>
      <vt:lpstr>catdw_1_HHV_51</vt:lpstr>
      <vt:lpstr>catdw_1_IHB_1</vt:lpstr>
      <vt:lpstr>catdw_1_IHV_51</vt:lpstr>
      <vt:lpstr>catdw_1_KHB_1</vt:lpstr>
      <vt:lpstr>catdw_1_KHV_49</vt:lpstr>
      <vt:lpstr>catdw_1_LZB_1</vt:lpstr>
      <vt:lpstr>catdw_1_LZV_51</vt:lpstr>
      <vt:lpstr>catdw_1_OHB_1</vt:lpstr>
      <vt:lpstr>catdw_1_OHV_26</vt:lpstr>
      <vt:lpstr>catdw_1_OHV_49</vt:lpstr>
      <vt:lpstr>catdw_1_OHV_51</vt:lpstr>
      <vt:lpstr>catdw_1_OZB_1</vt:lpstr>
      <vt:lpstr>catdw_1_OZV_49</vt:lpstr>
      <vt:lpstr>catdw_1_OZV_51</vt:lpstr>
      <vt:lpstr>catdw_1_PHB_1</vt:lpstr>
      <vt:lpstr>catdw_1_PHV_26</vt:lpstr>
      <vt:lpstr>catdw_1_PHV_49</vt:lpstr>
      <vt:lpstr>catdw_1_PHV_51</vt:lpstr>
      <vt:lpstr>catdw_1_RHB_1</vt:lpstr>
      <vt:lpstr>catdw_1_RHV_49</vt:lpstr>
      <vt:lpstr>catdw_1_RHV_51</vt:lpstr>
      <vt:lpstr>catdw_1_SHB_1</vt:lpstr>
      <vt:lpstr>catdw_1_SHV_26</vt:lpstr>
      <vt:lpstr>catdw_1_SHV_49</vt:lpstr>
      <vt:lpstr>catdw_1_SHV_51</vt:lpstr>
      <vt:lpstr>catdw_1_THB_1</vt:lpstr>
      <vt:lpstr>catdw_1_THV_49</vt:lpstr>
      <vt:lpstr>catdw_1_THV_51</vt:lpstr>
      <vt:lpstr>catdw_1_VHB_1</vt:lpstr>
      <vt:lpstr>catdw_1_VHV_12</vt:lpstr>
      <vt:lpstr>catdw_1_VHV_26</vt:lpstr>
      <vt:lpstr>catdw_1_VHV_49</vt:lpstr>
      <vt:lpstr>catdw_1_VHV_51</vt:lpstr>
      <vt:lpstr>catdw_1_VZB_1</vt:lpstr>
      <vt:lpstr>catdw_1_VZV_49</vt:lpstr>
      <vt:lpstr>catdw_1_VZV_51</vt:lpstr>
      <vt:lpstr>catdw_1_WZB_1</vt:lpstr>
      <vt:lpstr>catdw_1_WZV_51</vt:lpstr>
      <vt:lpstr>catdw_1_ZDHB_1</vt:lpstr>
      <vt:lpstr>catdw_1_ZDHV_49</vt:lpstr>
      <vt:lpstr>catdw_1_ZKHB_1</vt:lpstr>
      <vt:lpstr>catdw_1_ZKHV_49</vt:lpstr>
      <vt:lpstr>catdw_1_ZSHB_1</vt:lpstr>
      <vt:lpstr>catdw_1_ZSHV_49</vt:lpstr>
      <vt:lpstr>catdw_1_ZVHB_1</vt:lpstr>
      <vt:lpstr>catdw_1_ZVHV_49</vt:lpstr>
      <vt:lpstr>catdw_3_WDHWB_1</vt:lpstr>
      <vt:lpstr>catdw_3_WEHWB_1</vt:lpstr>
      <vt:lpstr>catdw_3_WEZWB_1</vt:lpstr>
      <vt:lpstr>catdw_3_WGHWB_1</vt:lpstr>
      <vt:lpstr>catdw_3_WKHWB_1</vt:lpstr>
      <vt:lpstr>catdw_3_WPHWB_1</vt:lpstr>
      <vt:lpstr>catdw_3_WSHWB_1</vt:lpstr>
      <vt:lpstr>catdw_3_WVHWB_1</vt:lpstr>
      <vt:lpstr>catdw_3_WZDHW_1</vt:lpstr>
      <vt:lpstr>catdw_3_WZKHW_1</vt:lpstr>
      <vt:lpstr>catdw_3_WZSHW_1</vt:lpstr>
      <vt:lpstr>catdw_3_WZVHW_1</vt:lpstr>
      <vt:lpstr>catfd_1_AHV_51</vt:lpstr>
      <vt:lpstr>catfd_1_AZV_51</vt:lpstr>
      <vt:lpstr>catfd_1_BHB_1</vt:lpstr>
      <vt:lpstr>catfd_1_BHV_1</vt:lpstr>
      <vt:lpstr>catfd_1_BHV_26</vt:lpstr>
      <vt:lpstr>catfd_1_BHV_49</vt:lpstr>
      <vt:lpstr>catfd_1_BHV_51</vt:lpstr>
      <vt:lpstr>catfd_1_BZB_1</vt:lpstr>
      <vt:lpstr>catfd_1_BZV_49</vt:lpstr>
      <vt:lpstr>catfd_1_BZV_51</vt:lpstr>
      <vt:lpstr>catfd_1_DHB_1</vt:lpstr>
      <vt:lpstr>catfd_1_DHV_26</vt:lpstr>
      <vt:lpstr>catfd_1_DHV_49</vt:lpstr>
      <vt:lpstr>catfd_1_EHB_1</vt:lpstr>
      <vt:lpstr>catfd_1_EHV_49</vt:lpstr>
      <vt:lpstr>catfd_1_EHV_51</vt:lpstr>
      <vt:lpstr>catfd_1_EZB_1</vt:lpstr>
      <vt:lpstr>catfd_1_EZV_49</vt:lpstr>
      <vt:lpstr>catfd_1_EZV_51</vt:lpstr>
      <vt:lpstr>catfd_1_GHB_1</vt:lpstr>
      <vt:lpstr>catfd_1_GHV_49</vt:lpstr>
      <vt:lpstr>catfd_1_HHB_1</vt:lpstr>
      <vt:lpstr>catfd_1_HHV_51</vt:lpstr>
      <vt:lpstr>catfd_1_IHB_1</vt:lpstr>
      <vt:lpstr>catfd_1_IHV_51</vt:lpstr>
      <vt:lpstr>catfd_1_KHB_1</vt:lpstr>
      <vt:lpstr>catfd_1_KHV_49</vt:lpstr>
      <vt:lpstr>catfd_1_LZB_1</vt:lpstr>
      <vt:lpstr>catfd_1_LZV_51</vt:lpstr>
      <vt:lpstr>catfd_1_OHB_1</vt:lpstr>
      <vt:lpstr>catfd_1_OHV_26</vt:lpstr>
      <vt:lpstr>catfd_1_OHV_49</vt:lpstr>
      <vt:lpstr>catfd_1_OHV_51</vt:lpstr>
      <vt:lpstr>catfd_1_OZB_1</vt:lpstr>
      <vt:lpstr>catfd_1_OZV_49</vt:lpstr>
      <vt:lpstr>catfd_1_OZV_51</vt:lpstr>
      <vt:lpstr>catfd_1_PHB_1</vt:lpstr>
      <vt:lpstr>catfd_1_PHV_26</vt:lpstr>
      <vt:lpstr>catfd_1_PHV_49</vt:lpstr>
      <vt:lpstr>catfd_1_PHV_51</vt:lpstr>
      <vt:lpstr>catfd_1_RHB_1</vt:lpstr>
      <vt:lpstr>catfd_1_RHV_49</vt:lpstr>
      <vt:lpstr>catfd_1_RHV_51</vt:lpstr>
      <vt:lpstr>catfd_1_SHB_1</vt:lpstr>
      <vt:lpstr>catfd_1_SHV_26</vt:lpstr>
      <vt:lpstr>catfd_1_SHV_49</vt:lpstr>
      <vt:lpstr>catfd_1_SHV_51</vt:lpstr>
      <vt:lpstr>catfd_1_THB_1</vt:lpstr>
      <vt:lpstr>catfd_1_THV_49</vt:lpstr>
      <vt:lpstr>catfd_1_THV_51</vt:lpstr>
      <vt:lpstr>catfd_1_VHB_1</vt:lpstr>
      <vt:lpstr>catfd_1_VHV_12</vt:lpstr>
      <vt:lpstr>catfd_1_VHV_26</vt:lpstr>
      <vt:lpstr>catfd_1_VHV_49</vt:lpstr>
      <vt:lpstr>catfd_1_VHV_51</vt:lpstr>
      <vt:lpstr>catfd_1_VZB_1</vt:lpstr>
      <vt:lpstr>catfd_1_VZV_49</vt:lpstr>
      <vt:lpstr>catfd_1_VZV_51</vt:lpstr>
      <vt:lpstr>catfd_1_WZB_1</vt:lpstr>
      <vt:lpstr>catfd_1_WZV_51</vt:lpstr>
      <vt:lpstr>catfd_1_ZDHB_1</vt:lpstr>
      <vt:lpstr>catfd_1_ZDHV_49</vt:lpstr>
      <vt:lpstr>catfd_1_ZKHB_1</vt:lpstr>
      <vt:lpstr>catfd_1_ZKHV_49</vt:lpstr>
      <vt:lpstr>catfd_1_ZSHB_1</vt:lpstr>
      <vt:lpstr>catfd_1_ZSHV_49</vt:lpstr>
      <vt:lpstr>catfd_1_ZVHB_1</vt:lpstr>
      <vt:lpstr>catfd_1_ZVHV_49</vt:lpstr>
      <vt:lpstr>catfd_3_WDHWB_1</vt:lpstr>
      <vt:lpstr>catfd_3_WEHWB_1</vt:lpstr>
      <vt:lpstr>catfd_3_WEZWB_1</vt:lpstr>
      <vt:lpstr>catfd_3_WGHWB_1</vt:lpstr>
      <vt:lpstr>catfd_3_WKHWB_1</vt:lpstr>
      <vt:lpstr>catfd_3_WPHWB_1</vt:lpstr>
      <vt:lpstr>catfd_3_WSHWB_1</vt:lpstr>
      <vt:lpstr>catfd_3_WVHWB_1</vt:lpstr>
      <vt:lpstr>catfd_3_WZDHW_1</vt:lpstr>
      <vt:lpstr>catfd_3_WZKHW_1</vt:lpstr>
      <vt:lpstr>catfd_3_WZSHW_1</vt:lpstr>
      <vt:lpstr>catfd_3_WZVHW_1</vt:lpstr>
      <vt:lpstr>catpn_1_AHV_51</vt:lpstr>
      <vt:lpstr>catpn_1_AZV_51</vt:lpstr>
      <vt:lpstr>catpn_1_BHB_1</vt:lpstr>
      <vt:lpstr>catpn_1_BHV_1</vt:lpstr>
      <vt:lpstr>catpn_1_BHV_26</vt:lpstr>
      <vt:lpstr>catpn_1_BHV_49</vt:lpstr>
      <vt:lpstr>catpn_1_BHV_51</vt:lpstr>
      <vt:lpstr>catpn_1_BZB_1</vt:lpstr>
      <vt:lpstr>catpn_1_BZV_49</vt:lpstr>
      <vt:lpstr>catpn_1_BZV_51</vt:lpstr>
      <vt:lpstr>catpn_1_DHB_1</vt:lpstr>
      <vt:lpstr>catpn_1_DHV_26</vt:lpstr>
      <vt:lpstr>catpn_1_DHV_49</vt:lpstr>
      <vt:lpstr>catpn_1_EHB_1</vt:lpstr>
      <vt:lpstr>catpn_1_EHV_49</vt:lpstr>
      <vt:lpstr>catpn_1_EHV_51</vt:lpstr>
      <vt:lpstr>catpn_1_EZB_1</vt:lpstr>
      <vt:lpstr>catpn_1_EZV_49</vt:lpstr>
      <vt:lpstr>catpn_1_EZV_51</vt:lpstr>
      <vt:lpstr>catpn_1_GHB_1</vt:lpstr>
      <vt:lpstr>catpn_1_GHV_49</vt:lpstr>
      <vt:lpstr>catpn_1_HHB_1</vt:lpstr>
      <vt:lpstr>catpn_1_HHV_51</vt:lpstr>
      <vt:lpstr>catpn_1_IHB_1</vt:lpstr>
      <vt:lpstr>catpn_1_IHV_51</vt:lpstr>
      <vt:lpstr>catpn_1_KHB_1</vt:lpstr>
      <vt:lpstr>catpn_1_KHV_49</vt:lpstr>
      <vt:lpstr>catpn_1_LZB_1</vt:lpstr>
      <vt:lpstr>catpn_1_LZV_51</vt:lpstr>
      <vt:lpstr>catpn_1_OHB_1</vt:lpstr>
      <vt:lpstr>catpn_1_OHV_26</vt:lpstr>
      <vt:lpstr>catpn_1_OHV_49</vt:lpstr>
      <vt:lpstr>catpn_1_OHV_51</vt:lpstr>
      <vt:lpstr>catpn_1_OZB_1</vt:lpstr>
      <vt:lpstr>catpn_1_OZV_49</vt:lpstr>
      <vt:lpstr>catpn_1_OZV_51</vt:lpstr>
      <vt:lpstr>catpn_1_PHB_1</vt:lpstr>
      <vt:lpstr>catpn_1_PHV_26</vt:lpstr>
      <vt:lpstr>catpn_1_PHV_49</vt:lpstr>
      <vt:lpstr>catpn_1_PHV_51</vt:lpstr>
      <vt:lpstr>catpn_1_RHB_1</vt:lpstr>
      <vt:lpstr>catpn_1_RHV_49</vt:lpstr>
      <vt:lpstr>catpn_1_RHV_51</vt:lpstr>
      <vt:lpstr>catpn_1_SHB_1</vt:lpstr>
      <vt:lpstr>catpn_1_SHV_26</vt:lpstr>
      <vt:lpstr>catpn_1_SHV_49</vt:lpstr>
      <vt:lpstr>catpn_1_SHV_51</vt:lpstr>
      <vt:lpstr>catpn_1_THB_1</vt:lpstr>
      <vt:lpstr>catpn_1_THV_49</vt:lpstr>
      <vt:lpstr>catpn_1_THV_51</vt:lpstr>
      <vt:lpstr>catpn_1_VHB_1</vt:lpstr>
      <vt:lpstr>catpn_1_VHV_12</vt:lpstr>
      <vt:lpstr>catpn_1_VHV_26</vt:lpstr>
      <vt:lpstr>catpn_1_VHV_49</vt:lpstr>
      <vt:lpstr>catpn_1_VHV_51</vt:lpstr>
      <vt:lpstr>catpn_1_VZB_1</vt:lpstr>
      <vt:lpstr>catpn_1_VZV_49</vt:lpstr>
      <vt:lpstr>catpn_1_VZV_51</vt:lpstr>
      <vt:lpstr>catpn_1_WZB_1</vt:lpstr>
      <vt:lpstr>catpn_1_WZV_51</vt:lpstr>
      <vt:lpstr>catpn_1_ZDHB_1</vt:lpstr>
      <vt:lpstr>catpn_1_ZDHV_49</vt:lpstr>
      <vt:lpstr>catpn_1_ZKHB_1</vt:lpstr>
      <vt:lpstr>catpn_1_ZKHV_49</vt:lpstr>
      <vt:lpstr>catpn_1_ZSHB_1</vt:lpstr>
      <vt:lpstr>catpn_1_ZSHV_49</vt:lpstr>
      <vt:lpstr>catpn_1_ZVHB_1</vt:lpstr>
      <vt:lpstr>catpn_1_ZVHV_49</vt:lpstr>
      <vt:lpstr>catpn_3_WDHWB_1</vt:lpstr>
      <vt:lpstr>catpn_3_WEHWB_1</vt:lpstr>
      <vt:lpstr>catpn_3_WEZWB_1</vt:lpstr>
      <vt:lpstr>catpn_3_WGHWB_1</vt:lpstr>
      <vt:lpstr>catpn_3_WKHWB_1</vt:lpstr>
      <vt:lpstr>catpn_3_WPHWB_1</vt:lpstr>
      <vt:lpstr>catpn_3_WSHWB_1</vt:lpstr>
      <vt:lpstr>catpn_3_WVHWB_1</vt:lpstr>
      <vt:lpstr>catpn_3_WZDHW_1</vt:lpstr>
      <vt:lpstr>catpn_3_WZKHW_1</vt:lpstr>
      <vt:lpstr>catpn_3_WZSHW_1</vt:lpstr>
      <vt:lpstr>catpn_3_WZVHW_1</vt:lpstr>
      <vt:lpstr>cattf_1_AHV_51</vt:lpstr>
      <vt:lpstr>cattf_1_AZV_51</vt:lpstr>
      <vt:lpstr>cattf_1_BHB_1</vt:lpstr>
      <vt:lpstr>cattf_1_BHV_1</vt:lpstr>
      <vt:lpstr>cattf_1_BHV_26</vt:lpstr>
      <vt:lpstr>cattf_1_BHV_49</vt:lpstr>
      <vt:lpstr>cattf_1_BHV_51</vt:lpstr>
      <vt:lpstr>cattf_1_BZB_1</vt:lpstr>
      <vt:lpstr>cattf_1_BZV_49</vt:lpstr>
      <vt:lpstr>cattf_1_BZV_51</vt:lpstr>
      <vt:lpstr>cattf_1_DHB_1</vt:lpstr>
      <vt:lpstr>cattf_1_DHV_26</vt:lpstr>
      <vt:lpstr>cattf_1_DHV_49</vt:lpstr>
      <vt:lpstr>cattf_1_EHB_1</vt:lpstr>
      <vt:lpstr>cattf_1_EHV_49</vt:lpstr>
      <vt:lpstr>cattf_1_EHV_51</vt:lpstr>
      <vt:lpstr>cattf_1_EZB_1</vt:lpstr>
      <vt:lpstr>cattf_1_EZV_49</vt:lpstr>
      <vt:lpstr>cattf_1_EZV_51</vt:lpstr>
      <vt:lpstr>cattf_1_GHB_1</vt:lpstr>
      <vt:lpstr>cattf_1_GHV_49</vt:lpstr>
      <vt:lpstr>cattf_1_HHB_1</vt:lpstr>
      <vt:lpstr>cattf_1_HHV_51</vt:lpstr>
      <vt:lpstr>cattf_1_IHB_1</vt:lpstr>
      <vt:lpstr>cattf_1_IHV_51</vt:lpstr>
      <vt:lpstr>cattf_1_KHB_1</vt:lpstr>
      <vt:lpstr>cattf_1_KHV_49</vt:lpstr>
      <vt:lpstr>cattf_1_LZB_1</vt:lpstr>
      <vt:lpstr>cattf_1_LZV_51</vt:lpstr>
      <vt:lpstr>cattf_1_OHB_1</vt:lpstr>
      <vt:lpstr>cattf_1_OHV_26</vt:lpstr>
      <vt:lpstr>cattf_1_OHV_49</vt:lpstr>
      <vt:lpstr>cattf_1_OHV_51</vt:lpstr>
      <vt:lpstr>cattf_1_OZB_1</vt:lpstr>
      <vt:lpstr>cattf_1_OZV_49</vt:lpstr>
      <vt:lpstr>cattf_1_OZV_51</vt:lpstr>
      <vt:lpstr>cattf_1_PHB_1</vt:lpstr>
      <vt:lpstr>cattf_1_PHV_26</vt:lpstr>
      <vt:lpstr>cattf_1_PHV_49</vt:lpstr>
      <vt:lpstr>cattf_1_PHV_51</vt:lpstr>
      <vt:lpstr>cattf_1_RHB_1</vt:lpstr>
      <vt:lpstr>cattf_1_RHV_49</vt:lpstr>
      <vt:lpstr>cattf_1_RHV_51</vt:lpstr>
      <vt:lpstr>cattf_1_SHB_1</vt:lpstr>
      <vt:lpstr>cattf_1_SHV_26</vt:lpstr>
      <vt:lpstr>cattf_1_SHV_49</vt:lpstr>
      <vt:lpstr>cattf_1_SHV_51</vt:lpstr>
      <vt:lpstr>cattf_1_THB_1</vt:lpstr>
      <vt:lpstr>cattf_1_THV_49</vt:lpstr>
      <vt:lpstr>cattf_1_THV_51</vt:lpstr>
      <vt:lpstr>cattf_1_VHB_1</vt:lpstr>
      <vt:lpstr>cattf_1_VHV_12</vt:lpstr>
      <vt:lpstr>cattf_1_VHV_26</vt:lpstr>
      <vt:lpstr>cattf_1_VHV_49</vt:lpstr>
      <vt:lpstr>cattf_1_VHV_51</vt:lpstr>
      <vt:lpstr>cattf_1_VZB_1</vt:lpstr>
      <vt:lpstr>cattf_1_VZV_49</vt:lpstr>
      <vt:lpstr>cattf_1_VZV_51</vt:lpstr>
      <vt:lpstr>cattf_1_WZB_1</vt:lpstr>
      <vt:lpstr>cattf_1_WZV_51</vt:lpstr>
      <vt:lpstr>cattf_1_ZDHB_1</vt:lpstr>
      <vt:lpstr>cattf_1_ZDHV_49</vt:lpstr>
      <vt:lpstr>cattf_1_ZKHB_1</vt:lpstr>
      <vt:lpstr>cattf_1_ZKHV_49</vt:lpstr>
      <vt:lpstr>cattf_1_ZSHB_1</vt:lpstr>
      <vt:lpstr>cattf_1_ZSHV_49</vt:lpstr>
      <vt:lpstr>cattf_1_ZVHB_1</vt:lpstr>
      <vt:lpstr>cattf_1_ZVHV_49</vt:lpstr>
      <vt:lpstr>cattf_3_WDHWB_1</vt:lpstr>
      <vt:lpstr>cattf_3_WEHWB_1</vt:lpstr>
      <vt:lpstr>cattf_3_WEZWB_1</vt:lpstr>
      <vt:lpstr>cattf_3_WGHWB_1</vt:lpstr>
      <vt:lpstr>cattf_3_WKHWB_1</vt:lpstr>
      <vt:lpstr>cattf_3_WPHWB_1</vt:lpstr>
      <vt:lpstr>cattf_3_WSHWB_1</vt:lpstr>
      <vt:lpstr>cattf_3_WVHWB_1</vt:lpstr>
      <vt:lpstr>cattf_3_WZDHW_1</vt:lpstr>
      <vt:lpstr>cattf_3_WZKHW_1</vt:lpstr>
      <vt:lpstr>cattf_3_WZSHW_1</vt:lpstr>
      <vt:lpstr>cattf_3_WZVHW_1</vt:lpstr>
      <vt:lpstr>dagenperjaar1</vt:lpstr>
      <vt:lpstr>dagenperweek1</vt:lpstr>
      <vt:lpstr>dagsoorttabel1</vt:lpstr>
      <vt:lpstr>gemuurtarief1</vt:lpstr>
      <vt:lpstr>gemuurtarief3</vt:lpstr>
      <vt:lpstr>kengetaltabel1</vt:lpstr>
      <vt:lpstr>kengetaltabel3</vt:lpstr>
      <vt:lpstr>object1_opptabel1</vt:lpstr>
      <vt:lpstr>object1_opptabel3</vt:lpstr>
      <vt:lpstr>object10_opptabel1</vt:lpstr>
      <vt:lpstr>object10_opptabel3</vt:lpstr>
      <vt:lpstr>object11_opptabel1</vt:lpstr>
      <vt:lpstr>object11_opptabel3</vt:lpstr>
      <vt:lpstr>object12_opptabel1</vt:lpstr>
      <vt:lpstr>object12_opptabel3</vt:lpstr>
      <vt:lpstr>object13_opptabel1</vt:lpstr>
      <vt:lpstr>object13_opptabel3</vt:lpstr>
      <vt:lpstr>object14_opptabel1</vt:lpstr>
      <vt:lpstr>object14_opptabel3</vt:lpstr>
      <vt:lpstr>object15_opptabel1</vt:lpstr>
      <vt:lpstr>object15_opptabel3</vt:lpstr>
      <vt:lpstr>object16_opptabel1</vt:lpstr>
      <vt:lpstr>object16_opptabel3</vt:lpstr>
      <vt:lpstr>object17_opptabel1</vt:lpstr>
      <vt:lpstr>object17_opptabel3</vt:lpstr>
      <vt:lpstr>object2_opptabel1</vt:lpstr>
      <vt:lpstr>object2_opptabel3</vt:lpstr>
      <vt:lpstr>object3_opptabel1</vt:lpstr>
      <vt:lpstr>object3_opptabel3</vt:lpstr>
      <vt:lpstr>object4_opptabel1</vt:lpstr>
      <vt:lpstr>object4_opptabel3</vt:lpstr>
      <vt:lpstr>object5_opptabel1</vt:lpstr>
      <vt:lpstr>object5_opptabel3</vt:lpstr>
      <vt:lpstr>object6_opptabel1</vt:lpstr>
      <vt:lpstr>object6_opptabel3</vt:lpstr>
      <vt:lpstr>object7_opptabel1</vt:lpstr>
      <vt:lpstr>object7_opptabel3</vt:lpstr>
      <vt:lpstr>object8_opptabel1</vt:lpstr>
      <vt:lpstr>object8_opptabel3</vt:lpstr>
      <vt:lpstr>object9_opptabel1</vt:lpstr>
      <vt:lpstr>object9_opptabel3</vt:lpstr>
      <vt:lpstr>objectprijs10_1</vt:lpstr>
      <vt:lpstr>objectprijs11_1</vt:lpstr>
      <vt:lpstr>objectprijs11_3</vt:lpstr>
      <vt:lpstr>objectprijs12_1</vt:lpstr>
      <vt:lpstr>objectprijs13_1</vt:lpstr>
      <vt:lpstr>objectprijs14_1</vt:lpstr>
      <vt:lpstr>objectprijs15_1</vt:lpstr>
      <vt:lpstr>objectprijs16_1</vt:lpstr>
      <vt:lpstr>objectprijs3_1</vt:lpstr>
      <vt:lpstr>objectprijs5_1</vt:lpstr>
      <vt:lpstr>objectprijs6_1</vt:lpstr>
      <vt:lpstr>objectprijs7_1</vt:lpstr>
      <vt:lpstr>objectprijs8_1</vt:lpstr>
      <vt:lpstr>objectprijs9_1</vt:lpstr>
      <vt:lpstr>objectprijs9_3</vt:lpstr>
      <vt:lpstr>objecturen10_1</vt:lpstr>
      <vt:lpstr>objecturen11_1</vt:lpstr>
      <vt:lpstr>objecturen11_3</vt:lpstr>
      <vt:lpstr>objecturen12_1</vt:lpstr>
      <vt:lpstr>objecturen13_1</vt:lpstr>
      <vt:lpstr>objecturen14_1</vt:lpstr>
      <vt:lpstr>objecturen15_1</vt:lpstr>
      <vt:lpstr>objecturen16_1</vt:lpstr>
      <vt:lpstr>objecturen3_1</vt:lpstr>
      <vt:lpstr>objecturen5_1</vt:lpstr>
      <vt:lpstr>objecturen6_1</vt:lpstr>
      <vt:lpstr>objecturen7_1</vt:lpstr>
      <vt:lpstr>objecturen8_1</vt:lpstr>
      <vt:lpstr>objecturen9_1</vt:lpstr>
      <vt:lpstr>objecturen9_3</vt:lpstr>
      <vt:lpstr>prijsdag1</vt:lpstr>
      <vt:lpstr>prijsdag3</vt:lpstr>
      <vt:lpstr>prijsjaar</vt:lpstr>
      <vt:lpstr>prijsjaar1</vt:lpstr>
      <vt:lpstr>prijsjaar3</vt:lpstr>
      <vt:lpstr>prijsjaaradditioneel</vt:lpstr>
      <vt:lpstr>prijsjaaradditioneel1</vt:lpstr>
      <vt:lpstr>prijsjaarafroep</vt:lpstr>
      <vt:lpstr>prijsjaarafroep1</vt:lpstr>
      <vt:lpstr>prijsjaarglas</vt:lpstr>
      <vt:lpstr>prijsjaarglas1</vt:lpstr>
      <vt:lpstr>prijsjaarnietmeewerkend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prodnorm80</vt:lpstr>
      <vt:lpstr>prodnorm81</vt:lpstr>
      <vt:lpstr>prodnorm82</vt:lpstr>
      <vt:lpstr>prodnorm83</vt:lpstr>
      <vt:lpstr>prodnorm84</vt:lpstr>
      <vt:lpstr>prodnorm86</vt:lpstr>
      <vt:lpstr>prodnorm87</vt:lpstr>
      <vt:lpstr>prodnorm88</vt:lpstr>
      <vt:lpstr>prodnorm89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taakfreqtabel1</vt:lpstr>
      <vt:lpstr>taakfreqtabel3</vt:lpstr>
      <vt:lpstr>tabeltype</vt:lpstr>
      <vt:lpstr>tarieftabel1</vt:lpstr>
      <vt:lpstr>tarieftabel3</vt:lpstr>
      <vt:lpstr>tzpjt1</vt:lpstr>
      <vt:lpstr>tzpjt10_1</vt:lpstr>
      <vt:lpstr>tzpjt11_1</vt:lpstr>
      <vt:lpstr>tzpjt11_3</vt:lpstr>
      <vt:lpstr>tzpjt12_1</vt:lpstr>
      <vt:lpstr>tzpjt13_1</vt:lpstr>
      <vt:lpstr>tzpjt14_1</vt:lpstr>
      <vt:lpstr>tzpjt15_1</vt:lpstr>
      <vt:lpstr>tzpjt16_1</vt:lpstr>
      <vt:lpstr>tzpjt3</vt:lpstr>
      <vt:lpstr>tzpjt3_1</vt:lpstr>
      <vt:lpstr>tzpjt5_1</vt:lpstr>
      <vt:lpstr>tzpjt6_1</vt:lpstr>
      <vt:lpstr>tzpjt7_1</vt:lpstr>
      <vt:lpstr>tzpjt8_1</vt:lpstr>
      <vt:lpstr>tzpjt9_1</vt:lpstr>
      <vt:lpstr>tzpjt9_3</vt:lpstr>
      <vt:lpstr>tzpmt1</vt:lpstr>
      <vt:lpstr>tzpmt10_1</vt:lpstr>
      <vt:lpstr>tzpmt11_1</vt:lpstr>
      <vt:lpstr>tzpmt11_3</vt:lpstr>
      <vt:lpstr>tzpmt12_1</vt:lpstr>
      <vt:lpstr>tzpmt13_1</vt:lpstr>
      <vt:lpstr>tzpmt14_1</vt:lpstr>
      <vt:lpstr>tzpmt15_1</vt:lpstr>
      <vt:lpstr>tzpmt16_1</vt:lpstr>
      <vt:lpstr>tzpmt3</vt:lpstr>
      <vt:lpstr>tzpmt3_1</vt:lpstr>
      <vt:lpstr>tzpmt5_1</vt:lpstr>
      <vt:lpstr>tzpmt6_1</vt:lpstr>
      <vt:lpstr>tzpmt7_1</vt:lpstr>
      <vt:lpstr>tzpmt8_1</vt:lpstr>
      <vt:lpstr>tzpmt9_1</vt:lpstr>
      <vt:lpstr>tzpmt9_3</vt:lpstr>
      <vt:lpstr>tzujt1</vt:lpstr>
      <vt:lpstr>tzujt10_1</vt:lpstr>
      <vt:lpstr>tzujt11_1</vt:lpstr>
      <vt:lpstr>tzujt11_3</vt:lpstr>
      <vt:lpstr>tzujt12_1</vt:lpstr>
      <vt:lpstr>tzujt13_1</vt:lpstr>
      <vt:lpstr>tzujt14_1</vt:lpstr>
      <vt:lpstr>tzujt15_1</vt:lpstr>
      <vt:lpstr>tzujt16_1</vt:lpstr>
      <vt:lpstr>tzujt3</vt:lpstr>
      <vt:lpstr>tzujt3_1</vt:lpstr>
      <vt:lpstr>tzujt5_1</vt:lpstr>
      <vt:lpstr>tzujt6_1</vt:lpstr>
      <vt:lpstr>tzujt7_1</vt:lpstr>
      <vt:lpstr>tzujt8_1</vt:lpstr>
      <vt:lpstr>tzujt9_1</vt:lpstr>
      <vt:lpstr>tzujt9_3</vt:lpstr>
      <vt:lpstr>urendag1</vt:lpstr>
      <vt:lpstr>urendag3</vt:lpstr>
      <vt:lpstr>urenjaar</vt:lpstr>
      <vt:lpstr>urenjaar1</vt:lpstr>
      <vt:lpstr>urenjaar3</vt:lpstr>
      <vt:lpstr>urenjaarnietmeewerkend</vt:lpstr>
      <vt:lpstr>urenjaartotaal</vt:lpstr>
      <vt:lpstr>urenjaartotaal1</vt:lpstr>
      <vt:lpstr>urenjaartotaal3</vt:lpstr>
      <vt:lpstr>urenjaartotaaloverzicht</vt:lpstr>
      <vt:lpstr>uurfactortabel1</vt:lpstr>
      <vt:lpstr>uurfactortabel3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uurtarief80</vt:lpstr>
      <vt:lpstr>uurtarief81</vt:lpstr>
      <vt:lpstr>uurtarief82</vt:lpstr>
      <vt:lpstr>uurtarief83</vt:lpstr>
      <vt:lpstr>uurtarief84</vt:lpstr>
      <vt:lpstr>uurtarief86</vt:lpstr>
      <vt:lpstr>uurtarief87</vt:lpstr>
      <vt:lpstr>uurtarief88</vt:lpstr>
      <vt:lpstr>uurtarief89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Jarne van Schaik</dc:creator>
  <cp:lastModifiedBy>Jarne van Schaik</cp:lastModifiedBy>
  <dcterms:created xsi:type="dcterms:W3CDTF">2023-06-21T12:44:47Z</dcterms:created>
  <dcterms:modified xsi:type="dcterms:W3CDTF">2023-06-21T13:04:36Z</dcterms:modified>
</cp:coreProperties>
</file>