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Aurora Onderwijsgroep/Schoonmaakonderhoud 2023/Nota van Inlichtingen/NVI 1/"/>
    </mc:Choice>
  </mc:AlternateContent>
  <xr:revisionPtr revIDLastSave="999" documentId="8_{3D944083-F465-4B9D-8A59-2FEF54C981CA}" xr6:coauthVersionLast="47" xr6:coauthVersionMax="47" xr10:uidLastSave="{449994D2-73BB-4CA1-8854-6A6A9015781F}"/>
  <bookViews>
    <workbookView xWindow="28680" yWindow="-120" windowWidth="29040" windowHeight="15840" tabRatio="786" xr2:uid="{00000000-000D-0000-FFFF-FFFF00000000}"/>
  </bookViews>
  <sheets>
    <sheet name="Overnamegegevens" sheetId="30" r:id="rId1"/>
    <sheet name="Opleverstaat dagelijks" sheetId="21" r:id="rId2"/>
    <sheet name="Werkprogramma periodiek" sheetId="27" r:id="rId3"/>
    <sheet name="Werkprogramma dieptereinigen" sheetId="28" r:id="rId4"/>
    <sheet name="Tariefsopbouw" sheetId="2" r:id="rId5"/>
    <sheet name="Prestatiefactoren" sheetId="11" r:id="rId6"/>
    <sheet name="Ruimtestaat" sheetId="13" r:id="rId7"/>
    <sheet name="Vloeronderhoud" sheetId="25" r:id="rId8"/>
    <sheet name="Glasbewassing" sheetId="29" r:id="rId9"/>
    <sheet name="Extra werkzaamheden" sheetId="26" r:id="rId10"/>
    <sheet name="Regie en afroep" sheetId="24" r:id="rId11"/>
    <sheet name="Totalisatie" sheetId="19" r:id="rId12"/>
  </sheets>
  <externalReferences>
    <externalReference r:id="rId13"/>
    <externalReference r:id="rId14"/>
  </externalReferences>
  <definedNames>
    <definedName name="_1F" localSheetId="9" hidden="1">[1]Psychiatrie!#REF!</definedName>
    <definedName name="_1F" localSheetId="7" hidden="1">[1]Psychiatrie!#REF!</definedName>
    <definedName name="_1F" hidden="1">[1]Psychiatrie!#REF!</definedName>
    <definedName name="_2_0_F" localSheetId="9" hidden="1">[1]Psychiatrie!#REF!</definedName>
    <definedName name="_2_0_F" localSheetId="7" hidden="1">[1]Psychiatrie!#REF!</definedName>
    <definedName name="_2_0_F" hidden="1">[1]Psychiatrie!#REF!</definedName>
    <definedName name="_Dist_Bin" localSheetId="9" hidden="1">#REF!</definedName>
    <definedName name="_Dist_Bin" localSheetId="7" hidden="1">#REF!</definedName>
    <definedName name="_Dist_Bin" hidden="1">#REF!</definedName>
    <definedName name="_Dist_Values" localSheetId="9" hidden="1">#REF!</definedName>
    <definedName name="_Dist_Values" localSheetId="7" hidden="1">#REF!</definedName>
    <definedName name="_Dist_Values" hidden="1">#REF!</definedName>
    <definedName name="_Fill" localSheetId="9" hidden="1">'[2]#REF'!#REF!</definedName>
    <definedName name="_Fill" localSheetId="7" hidden="1">'[2]#REF'!#REF!</definedName>
    <definedName name="_Fill" hidden="1">'[2]#REF'!#REF!</definedName>
    <definedName name="_xlnm._FilterDatabase" localSheetId="6" hidden="1">'Ruimtestaat'!$B$4:$T$575</definedName>
    <definedName name="_xlnm._FilterDatabase" localSheetId="11" hidden="1">Totalisatie!#REF!</definedName>
    <definedName name="_Key1" localSheetId="9" hidden="1">'[2]#REF'!#REF!</definedName>
    <definedName name="_Key1" localSheetId="7" hidden="1">'[2]#REF'!#REF!</definedName>
    <definedName name="_Key1" hidden="1">'[2]#REF'!#REF!</definedName>
    <definedName name="_Order1" hidden="1">255</definedName>
    <definedName name="_Sort" localSheetId="9" hidden="1">#REF!</definedName>
    <definedName name="_Sort" localSheetId="7" hidden="1">#REF!</definedName>
    <definedName name="_Sort" hidden="1">#REF!</definedName>
    <definedName name="_Table1_In1" localSheetId="9" hidden="1">#REF!</definedName>
    <definedName name="_Table1_In1" localSheetId="7" hidden="1">#REF!</definedName>
    <definedName name="_Table1_In1" hidden="1">#REF!</definedName>
    <definedName name="_Table1_Out" localSheetId="9" hidden="1">#REF!</definedName>
    <definedName name="_Table1_Out" localSheetId="7" hidden="1">#REF!</definedName>
    <definedName name="_Table1_Out" hidden="1">#REF!</definedName>
    <definedName name="_Toc233614100" localSheetId="10">'Regie en afroep'!#REF!</definedName>
    <definedName name="_Toc256089721" localSheetId="10">'Regie en afroep'!#REF!</definedName>
    <definedName name="AccessDatabase" hidden="1">"C:\data\excel\BASISWP.mdb"</definedName>
    <definedName name="_xlnm.Print_Area" localSheetId="9">'Extra werkzaamheden'!$A$1:$H$18</definedName>
    <definedName name="_xlnm.Print_Area" localSheetId="1">'Opleverstaat dagelijks'!#REF!</definedName>
    <definedName name="_xlnm.Print_Area" localSheetId="5">Prestatiefactoren!$A$1:$F$55</definedName>
    <definedName name="_xlnm.Print_Area" localSheetId="10">'Regie en afroep'!$A$1:$D$41</definedName>
    <definedName name="_xlnm.Print_Area" localSheetId="6">'Ruimtestaat'!$A$1:$AH$575</definedName>
    <definedName name="_xlnm.Print_Area" localSheetId="4">Tariefsopbouw!$A$1:$Q$42</definedName>
    <definedName name="_xlnm.Print_Area" localSheetId="11">Totalisatie!$A$1:$H$26</definedName>
    <definedName name="_xlnm.Print_Area" localSheetId="7">Vloeronderhoud!$A$1:$H$33</definedName>
    <definedName name="_xlnm.Print_Area" localSheetId="3">'Werkprogramma dieptereinigen'!$A$1:$A$14</definedName>
    <definedName name="_xlnm.Print_Titles" localSheetId="6">'Ruimtestaat'!$A:$I,'Ruimtestaat'!$2:$4</definedName>
    <definedName name="arbeidsprestatie" localSheetId="9">Prestatiefactoren!#REF!</definedName>
    <definedName name="arbeidsprestatie" localSheetId="7">Prestatiefactoren!#REF!</definedName>
    <definedName name="arbeidsprestatie">Prestatiefactoren!#REF!</definedName>
    <definedName name="freq" localSheetId="9">'Opleverstaat dagelijks'!#REF!</definedName>
    <definedName name="freq" localSheetId="7">'Opleverstaat dagelijks'!#REF!</definedName>
    <definedName name="freq">'Opleverstaat dagelijks'!#REF!</definedName>
    <definedName name="OLE_LINK9" localSheetId="10">'Regie en afroep'!#REF!</definedName>
    <definedName name="programma">#REF!</definedName>
    <definedName name="R_Code" localSheetId="9">Prestatiefactoren!#REF!</definedName>
    <definedName name="R_Code" localSheetId="7">Prestatiefactoren!#REF!</definedName>
    <definedName name="R_Code">Prestatiefactoren!#REF!</definedName>
    <definedName name="Vl_Code" localSheetId="9">Prestatiefactoren!#REF!</definedName>
    <definedName name="Vl_Code" localSheetId="7">Prestatiefactoren!#REF!</definedName>
    <definedName name="Vl_Code">Prestatiefactoren!#REF!</definedName>
    <definedName name="vloer" localSheetId="9">'Opleverstaat dagelijks'!#REF!</definedName>
    <definedName name="vloer" localSheetId="7">'Opleverstaat dagelijks'!#REF!</definedName>
    <definedName name="vloer">'Opleverstaat dagelijks'!#REF!</definedName>
    <definedName name="wk" localSheetId="9">'Opleverstaat dagelijks'!#REF!</definedName>
    <definedName name="wk" localSheetId="7">'Opleverstaat dagelijks'!#REF!</definedName>
    <definedName name="wk">'Opleverstaat dagelijks'!#REF!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29" l="1"/>
  <c r="F18" i="29" s="1"/>
  <c r="G18" i="29" s="1"/>
  <c r="H18" i="29" s="1"/>
  <c r="I18" i="29" s="1"/>
  <c r="E15" i="26"/>
  <c r="B15" i="26"/>
  <c r="D15" i="26"/>
  <c r="H15" i="26"/>
  <c r="E10" i="26"/>
  <c r="F10" i="26" s="1"/>
  <c r="G10" i="26" s="1"/>
  <c r="H10" i="26" s="1"/>
  <c r="I10" i="26" s="1"/>
  <c r="J10" i="26" s="1"/>
  <c r="B16" i="26"/>
  <c r="D16" i="26"/>
  <c r="E16" i="26"/>
  <c r="H16" i="26"/>
  <c r="B17" i="26"/>
  <c r="D17" i="26"/>
  <c r="E17" i="26"/>
  <c r="H17" i="26"/>
  <c r="G41" i="29" l="1"/>
  <c r="G40" i="29"/>
  <c r="G39" i="29"/>
  <c r="G38" i="29"/>
  <c r="G37" i="29"/>
  <c r="G36" i="29"/>
  <c r="D41" i="29" l="1"/>
  <c r="D40" i="29"/>
  <c r="D39" i="29"/>
  <c r="D38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H39" i="29" l="1"/>
  <c r="H38" i="29"/>
  <c r="G34" i="29"/>
  <c r="H34" i="29" s="1"/>
  <c r="G33" i="29"/>
  <c r="H33" i="29" s="1"/>
  <c r="G32" i="29"/>
  <c r="H32" i="29" s="1"/>
  <c r="G31" i="29"/>
  <c r="H31" i="29" s="1"/>
  <c r="G30" i="29"/>
  <c r="H30" i="29" s="1"/>
  <c r="F28" i="25"/>
  <c r="H28" i="25" s="1"/>
  <c r="D28" i="25"/>
  <c r="B28" i="25"/>
  <c r="F27" i="25"/>
  <c r="H27" i="25" s="1"/>
  <c r="D27" i="25"/>
  <c r="B27" i="25"/>
  <c r="F26" i="25"/>
  <c r="H26" i="25" s="1"/>
  <c r="D26" i="25"/>
  <c r="B26" i="25"/>
  <c r="F25" i="25"/>
  <c r="H25" i="25" s="1"/>
  <c r="D25" i="25"/>
  <c r="B25" i="25"/>
  <c r="B16" i="19"/>
  <c r="C9" i="19"/>
  <c r="B9" i="19"/>
  <c r="B39" i="29" s="1"/>
  <c r="E9" i="26"/>
  <c r="F16" i="19" s="1"/>
  <c r="B38" i="29" l="1"/>
  <c r="B15" i="19"/>
  <c r="C8" i="19"/>
  <c r="B8" i="19"/>
  <c r="G29" i="29"/>
  <c r="H29" i="29" s="1"/>
  <c r="G28" i="29"/>
  <c r="H28" i="29" s="1"/>
  <c r="G27" i="29"/>
  <c r="H27" i="29" s="1"/>
  <c r="G26" i="29"/>
  <c r="H26" i="29" s="1"/>
  <c r="G25" i="29"/>
  <c r="H25" i="29" s="1"/>
  <c r="F24" i="25"/>
  <c r="H24" i="25" s="1"/>
  <c r="D24" i="25"/>
  <c r="B24" i="25"/>
  <c r="F23" i="25"/>
  <c r="H23" i="25" s="1"/>
  <c r="D23" i="25"/>
  <c r="B23" i="25"/>
  <c r="F22" i="25"/>
  <c r="H22" i="25" s="1"/>
  <c r="D22" i="25"/>
  <c r="B22" i="25"/>
  <c r="F21" i="25"/>
  <c r="H21" i="25" s="1"/>
  <c r="D21" i="25"/>
  <c r="B21" i="25"/>
  <c r="Q142" i="13"/>
  <c r="Q143" i="13"/>
  <c r="Q144" i="13"/>
  <c r="Q145" i="13"/>
  <c r="Q146" i="13"/>
  <c r="Q147" i="13"/>
  <c r="Q148" i="13"/>
  <c r="Q149" i="13"/>
  <c r="Q150" i="13"/>
  <c r="Q151" i="13"/>
  <c r="Q152" i="13"/>
  <c r="Q153" i="13"/>
  <c r="Q154" i="13"/>
  <c r="Q155" i="13"/>
  <c r="Q156" i="13"/>
  <c r="Q157" i="13"/>
  <c r="Q158" i="13"/>
  <c r="Q159" i="13"/>
  <c r="Q160" i="13"/>
  <c r="Q161" i="13"/>
  <c r="Q162" i="13"/>
  <c r="Q163" i="13"/>
  <c r="Q164" i="13"/>
  <c r="Q165" i="13"/>
  <c r="Q166" i="13"/>
  <c r="Q167" i="13"/>
  <c r="Q168" i="13"/>
  <c r="Q169" i="13"/>
  <c r="Q170" i="13"/>
  <c r="Q171" i="13"/>
  <c r="Q172" i="13"/>
  <c r="Q173" i="13"/>
  <c r="Q174" i="13"/>
  <c r="Q175" i="13"/>
  <c r="Q176" i="13"/>
  <c r="Q177" i="13"/>
  <c r="Q178" i="13"/>
  <c r="Q179" i="13"/>
  <c r="Q180" i="13"/>
  <c r="Q181" i="13"/>
  <c r="Q182" i="13"/>
  <c r="Q183" i="13"/>
  <c r="Q184" i="13"/>
  <c r="Q185" i="13"/>
  <c r="Q186" i="13"/>
  <c r="Q187" i="13"/>
  <c r="Q188" i="13"/>
  <c r="Q189" i="13"/>
  <c r="Q190" i="13"/>
  <c r="Q191" i="13"/>
  <c r="Q192" i="13"/>
  <c r="Q193" i="13"/>
  <c r="Q194" i="13"/>
  <c r="Q195" i="13"/>
  <c r="Q196" i="13"/>
  <c r="Q197" i="13"/>
  <c r="Q198" i="13"/>
  <c r="Q199" i="13"/>
  <c r="Q200" i="13"/>
  <c r="Q201" i="13"/>
  <c r="Q202" i="13"/>
  <c r="Q203" i="13"/>
  <c r="Q204" i="13"/>
  <c r="Q205" i="13"/>
  <c r="Q206" i="13"/>
  <c r="Q207" i="13"/>
  <c r="Q208" i="13"/>
  <c r="Q209" i="13"/>
  <c r="Q210" i="13"/>
  <c r="Q211" i="13"/>
  <c r="Q212" i="13"/>
  <c r="Q213" i="13"/>
  <c r="Q214" i="13"/>
  <c r="Q215" i="13"/>
  <c r="Q216" i="13"/>
  <c r="Q217" i="13"/>
  <c r="Q218" i="13"/>
  <c r="Q219" i="13"/>
  <c r="Q220" i="13"/>
  <c r="Q221" i="13"/>
  <c r="Q222" i="13"/>
  <c r="Q223" i="13"/>
  <c r="Q224" i="13"/>
  <c r="Q225" i="13"/>
  <c r="Q226" i="13"/>
  <c r="Q227" i="13"/>
  <c r="Q228" i="13"/>
  <c r="Q229" i="13"/>
  <c r="Q230" i="13"/>
  <c r="Q231" i="13"/>
  <c r="Q232" i="13"/>
  <c r="Q233" i="13"/>
  <c r="Q234" i="13"/>
  <c r="Q235" i="13"/>
  <c r="Q236" i="13"/>
  <c r="Q237" i="13"/>
  <c r="Q238" i="13"/>
  <c r="Q239" i="13"/>
  <c r="Q240" i="13"/>
  <c r="Q241" i="13"/>
  <c r="Q242" i="13"/>
  <c r="Q243" i="13"/>
  <c r="Q244" i="13"/>
  <c r="Q245" i="13"/>
  <c r="Q246" i="13"/>
  <c r="Q247" i="13"/>
  <c r="Q248" i="13"/>
  <c r="Q249" i="13"/>
  <c r="Q250" i="13"/>
  <c r="Q251" i="13"/>
  <c r="Q252" i="13"/>
  <c r="Q253" i="13"/>
  <c r="Q254" i="13"/>
  <c r="Q255" i="13"/>
  <c r="Q256" i="13"/>
  <c r="Q257" i="13"/>
  <c r="Q258" i="13"/>
  <c r="Q259" i="13"/>
  <c r="Q260" i="13"/>
  <c r="Q261" i="13"/>
  <c r="Q262" i="13"/>
  <c r="Q263" i="13"/>
  <c r="Q264" i="13"/>
  <c r="Q265" i="13"/>
  <c r="Q266" i="13"/>
  <c r="Q267" i="13"/>
  <c r="Q268" i="13"/>
  <c r="Q269" i="13"/>
  <c r="Q270" i="13"/>
  <c r="Q271" i="13"/>
  <c r="Q272" i="13"/>
  <c r="Q273" i="13"/>
  <c r="Q274" i="13"/>
  <c r="Q275" i="13"/>
  <c r="Q276" i="13"/>
  <c r="Q277" i="13"/>
  <c r="Q278" i="13"/>
  <c r="Q279" i="13"/>
  <c r="Q280" i="13"/>
  <c r="Q281" i="13"/>
  <c r="Q282" i="13"/>
  <c r="Q283" i="13"/>
  <c r="Q284" i="13"/>
  <c r="Q285" i="13"/>
  <c r="Q286" i="13"/>
  <c r="Q287" i="13"/>
  <c r="Q288" i="13"/>
  <c r="Q289" i="13"/>
  <c r="Q290" i="13"/>
  <c r="Q291" i="13"/>
  <c r="Q292" i="13"/>
  <c r="Q293" i="13"/>
  <c r="Q294" i="13"/>
  <c r="Q295" i="13"/>
  <c r="Q296" i="13"/>
  <c r="Q297" i="13"/>
  <c r="Q298" i="13"/>
  <c r="Q299" i="13"/>
  <c r="Q300" i="13"/>
  <c r="Q301" i="13"/>
  <c r="Q302" i="13"/>
  <c r="Q303" i="13"/>
  <c r="Q304" i="13"/>
  <c r="Q305" i="13"/>
  <c r="Q306" i="13"/>
  <c r="Q307" i="13"/>
  <c r="Q308" i="13"/>
  <c r="Q309" i="13"/>
  <c r="Q310" i="13"/>
  <c r="Q311" i="13"/>
  <c r="Q312" i="13"/>
  <c r="Q313" i="13"/>
  <c r="Q314" i="13"/>
  <c r="Q315" i="13"/>
  <c r="Q316" i="13"/>
  <c r="Q317" i="13"/>
  <c r="Q318" i="13"/>
  <c r="Q319" i="13"/>
  <c r="Q320" i="13"/>
  <c r="Q321" i="13"/>
  <c r="Q322" i="13"/>
  <c r="Q323" i="13"/>
  <c r="Q324" i="13"/>
  <c r="Q325" i="13"/>
  <c r="Q326" i="13"/>
  <c r="Q327" i="13"/>
  <c r="Q328" i="13"/>
  <c r="Q329" i="13"/>
  <c r="Q330" i="13"/>
  <c r="Q331" i="13"/>
  <c r="Q332" i="13"/>
  <c r="Q333" i="13"/>
  <c r="Q334" i="13"/>
  <c r="Q335" i="13"/>
  <c r="Q336" i="13"/>
  <c r="Q337" i="13"/>
  <c r="Q338" i="13"/>
  <c r="Q339" i="13"/>
  <c r="Q340" i="13"/>
  <c r="Q341" i="13"/>
  <c r="Q342" i="13"/>
  <c r="Q343" i="13"/>
  <c r="Q344" i="13"/>
  <c r="Q345" i="13"/>
  <c r="Q346" i="13"/>
  <c r="Q347" i="13"/>
  <c r="Q348" i="13"/>
  <c r="Q349" i="13"/>
  <c r="Q350" i="13"/>
  <c r="Q351" i="13"/>
  <c r="Q352" i="13"/>
  <c r="Q353" i="13"/>
  <c r="Q354" i="13"/>
  <c r="Q355" i="13"/>
  <c r="Q356" i="13"/>
  <c r="Q357" i="13"/>
  <c r="Q358" i="13"/>
  <c r="Q359" i="13"/>
  <c r="Q360" i="13"/>
  <c r="Q361" i="13"/>
  <c r="Q362" i="13"/>
  <c r="Q363" i="13"/>
  <c r="Q364" i="13"/>
  <c r="Q365" i="13"/>
  <c r="Q366" i="13"/>
  <c r="Q367" i="13"/>
  <c r="Q368" i="13"/>
  <c r="AA575" i="13"/>
  <c r="U575" i="13"/>
  <c r="V575" i="13" s="1"/>
  <c r="X575" i="13" s="1"/>
  <c r="Y575" i="13" s="1"/>
  <c r="Q575" i="13"/>
  <c r="L575" i="13"/>
  <c r="E575" i="13"/>
  <c r="D575" i="13"/>
  <c r="C575" i="13"/>
  <c r="B575" i="13"/>
  <c r="AA574" i="13"/>
  <c r="AC574" i="13" s="1"/>
  <c r="U574" i="13"/>
  <c r="Q574" i="13"/>
  <c r="L574" i="13"/>
  <c r="E574" i="13"/>
  <c r="D574" i="13"/>
  <c r="C574" i="13"/>
  <c r="B574" i="13"/>
  <c r="AA573" i="13"/>
  <c r="U573" i="13"/>
  <c r="W573" i="13" s="1"/>
  <c r="Q573" i="13"/>
  <c r="L573" i="13"/>
  <c r="E573" i="13"/>
  <c r="D573" i="13"/>
  <c r="C573" i="13"/>
  <c r="B573" i="13"/>
  <c r="AA572" i="13"/>
  <c r="AC572" i="13" s="1"/>
  <c r="AD572" i="13" s="1"/>
  <c r="AE572" i="13" s="1"/>
  <c r="U572" i="13"/>
  <c r="V572" i="13" s="1"/>
  <c r="X572" i="13" s="1"/>
  <c r="Y572" i="13" s="1"/>
  <c r="Q572" i="13"/>
  <c r="L572" i="13"/>
  <c r="E572" i="13"/>
  <c r="D572" i="13"/>
  <c r="C572" i="13"/>
  <c r="B572" i="13"/>
  <c r="AA571" i="13"/>
  <c r="U571" i="13"/>
  <c r="W571" i="13" s="1"/>
  <c r="Q571" i="13"/>
  <c r="L571" i="13"/>
  <c r="E571" i="13"/>
  <c r="D571" i="13"/>
  <c r="C571" i="13"/>
  <c r="B571" i="13"/>
  <c r="AA570" i="13"/>
  <c r="AB570" i="13" s="1"/>
  <c r="U570" i="13"/>
  <c r="W570" i="13" s="1"/>
  <c r="Q570" i="13"/>
  <c r="L570" i="13"/>
  <c r="E570" i="13"/>
  <c r="D570" i="13"/>
  <c r="C570" i="13"/>
  <c r="B570" i="13"/>
  <c r="AA569" i="13"/>
  <c r="AB569" i="13" s="1"/>
  <c r="U569" i="13"/>
  <c r="W569" i="13" s="1"/>
  <c r="Q569" i="13"/>
  <c r="L569" i="13"/>
  <c r="E569" i="13"/>
  <c r="D569" i="13"/>
  <c r="C569" i="13"/>
  <c r="B569" i="13"/>
  <c r="AA568" i="13"/>
  <c r="AB568" i="13" s="1"/>
  <c r="U568" i="13"/>
  <c r="V568" i="13" s="1"/>
  <c r="X568" i="13" s="1"/>
  <c r="Y568" i="13" s="1"/>
  <c r="Q568" i="13"/>
  <c r="L568" i="13"/>
  <c r="E568" i="13"/>
  <c r="D568" i="13"/>
  <c r="C568" i="13"/>
  <c r="B568" i="13"/>
  <c r="AA567" i="13"/>
  <c r="U567" i="13"/>
  <c r="Q567" i="13"/>
  <c r="L567" i="13"/>
  <c r="E567" i="13"/>
  <c r="D567" i="13"/>
  <c r="C567" i="13"/>
  <c r="B567" i="13"/>
  <c r="AA566" i="13"/>
  <c r="U566" i="13"/>
  <c r="Q566" i="13"/>
  <c r="L566" i="13"/>
  <c r="E566" i="13"/>
  <c r="D566" i="13"/>
  <c r="C566" i="13"/>
  <c r="B566" i="13"/>
  <c r="AA565" i="13"/>
  <c r="AB565" i="13" s="1"/>
  <c r="U565" i="13"/>
  <c r="W565" i="13" s="1"/>
  <c r="Q565" i="13"/>
  <c r="L565" i="13"/>
  <c r="E565" i="13"/>
  <c r="D565" i="13"/>
  <c r="C565" i="13"/>
  <c r="B565" i="13"/>
  <c r="AA564" i="13"/>
  <c r="AC564" i="13" s="1"/>
  <c r="AD564" i="13" s="1"/>
  <c r="AE564" i="13" s="1"/>
  <c r="U564" i="13"/>
  <c r="V564" i="13" s="1"/>
  <c r="X564" i="13" s="1"/>
  <c r="Q564" i="13"/>
  <c r="L564" i="13"/>
  <c r="E564" i="13"/>
  <c r="D564" i="13"/>
  <c r="C564" i="13"/>
  <c r="B564" i="13"/>
  <c r="AA563" i="13"/>
  <c r="AC563" i="13" s="1"/>
  <c r="U563" i="13"/>
  <c r="W563" i="13" s="1"/>
  <c r="Q563" i="13"/>
  <c r="L563" i="13"/>
  <c r="E563" i="13"/>
  <c r="D563" i="13"/>
  <c r="C563" i="13"/>
  <c r="B563" i="13"/>
  <c r="AA562" i="13"/>
  <c r="AC562" i="13" s="1"/>
  <c r="AD562" i="13" s="1"/>
  <c r="AE562" i="13" s="1"/>
  <c r="U562" i="13"/>
  <c r="W562" i="13" s="1"/>
  <c r="Q562" i="13"/>
  <c r="L562" i="13"/>
  <c r="E562" i="13"/>
  <c r="D562" i="13"/>
  <c r="C562" i="13"/>
  <c r="B562" i="13"/>
  <c r="AA561" i="13"/>
  <c r="AB561" i="13" s="1"/>
  <c r="U561" i="13"/>
  <c r="V561" i="13" s="1"/>
  <c r="X561" i="13" s="1"/>
  <c r="Y561" i="13" s="1"/>
  <c r="Q561" i="13"/>
  <c r="L561" i="13"/>
  <c r="E561" i="13"/>
  <c r="D561" i="13"/>
  <c r="C561" i="13"/>
  <c r="B561" i="13"/>
  <c r="AA560" i="13"/>
  <c r="U560" i="13"/>
  <c r="V560" i="13" s="1"/>
  <c r="X560" i="13" s="1"/>
  <c r="Y560" i="13" s="1"/>
  <c r="Q560" i="13"/>
  <c r="L560" i="13"/>
  <c r="E560" i="13"/>
  <c r="D560" i="13"/>
  <c r="C560" i="13"/>
  <c r="B560" i="13"/>
  <c r="AA559" i="13"/>
  <c r="U559" i="13"/>
  <c r="W559" i="13" s="1"/>
  <c r="Q559" i="13"/>
  <c r="L559" i="13"/>
  <c r="E559" i="13"/>
  <c r="D559" i="13"/>
  <c r="C559" i="13"/>
  <c r="B559" i="13"/>
  <c r="AA558" i="13"/>
  <c r="AC558" i="13" s="1"/>
  <c r="U558" i="13"/>
  <c r="Q558" i="13"/>
  <c r="L558" i="13"/>
  <c r="E558" i="13"/>
  <c r="D558" i="13"/>
  <c r="C558" i="13"/>
  <c r="B558" i="13"/>
  <c r="AA557" i="13"/>
  <c r="AC557" i="13" s="1"/>
  <c r="U557" i="13"/>
  <c r="W557" i="13" s="1"/>
  <c r="Q557" i="13"/>
  <c r="L557" i="13"/>
  <c r="E557" i="13"/>
  <c r="D557" i="13"/>
  <c r="C557" i="13"/>
  <c r="B557" i="13"/>
  <c r="AA556" i="13"/>
  <c r="AC556" i="13" s="1"/>
  <c r="AD556" i="13" s="1"/>
  <c r="U556" i="13"/>
  <c r="V556" i="13" s="1"/>
  <c r="X556" i="13" s="1"/>
  <c r="Y556" i="13" s="1"/>
  <c r="Q556" i="13"/>
  <c r="L556" i="13"/>
  <c r="E556" i="13"/>
  <c r="D556" i="13"/>
  <c r="C556" i="13"/>
  <c r="B556" i="13"/>
  <c r="AA555" i="13"/>
  <c r="AC555" i="13" s="1"/>
  <c r="U555" i="13"/>
  <c r="W555" i="13" s="1"/>
  <c r="Q555" i="13"/>
  <c r="L555" i="13"/>
  <c r="E555" i="13"/>
  <c r="D555" i="13"/>
  <c r="C555" i="13"/>
  <c r="B555" i="13"/>
  <c r="AA554" i="13"/>
  <c r="AB554" i="13" s="1"/>
  <c r="U554" i="13"/>
  <c r="W554" i="13" s="1"/>
  <c r="Q554" i="13"/>
  <c r="L554" i="13"/>
  <c r="E554" i="13"/>
  <c r="D554" i="13"/>
  <c r="C554" i="13"/>
  <c r="B554" i="13"/>
  <c r="AA553" i="13"/>
  <c r="AB553" i="13" s="1"/>
  <c r="U553" i="13"/>
  <c r="V553" i="13" s="1"/>
  <c r="X553" i="13" s="1"/>
  <c r="Y553" i="13" s="1"/>
  <c r="Q553" i="13"/>
  <c r="L553" i="13"/>
  <c r="E553" i="13"/>
  <c r="D553" i="13"/>
  <c r="C553" i="13"/>
  <c r="B553" i="13"/>
  <c r="AA552" i="13"/>
  <c r="AB552" i="13" s="1"/>
  <c r="U552" i="13"/>
  <c r="Q552" i="13"/>
  <c r="L552" i="13"/>
  <c r="E552" i="13"/>
  <c r="D552" i="13"/>
  <c r="C552" i="13"/>
  <c r="B552" i="13"/>
  <c r="AA551" i="13"/>
  <c r="U551" i="13"/>
  <c r="W551" i="13" s="1"/>
  <c r="Q551" i="13"/>
  <c r="L551" i="13"/>
  <c r="E551" i="13"/>
  <c r="D551" i="13"/>
  <c r="C551" i="13"/>
  <c r="B551" i="13"/>
  <c r="AA550" i="13"/>
  <c r="U550" i="13"/>
  <c r="Q550" i="13"/>
  <c r="L550" i="13"/>
  <c r="E550" i="13"/>
  <c r="D550" i="13"/>
  <c r="C550" i="13"/>
  <c r="B550" i="13"/>
  <c r="AA549" i="13"/>
  <c r="AC549" i="13" s="1"/>
  <c r="U549" i="13"/>
  <c r="W549" i="13" s="1"/>
  <c r="Q549" i="13"/>
  <c r="L549" i="13"/>
  <c r="E549" i="13"/>
  <c r="D549" i="13"/>
  <c r="C549" i="13"/>
  <c r="B549" i="13"/>
  <c r="AA548" i="13"/>
  <c r="AC548" i="13" s="1"/>
  <c r="U548" i="13"/>
  <c r="V548" i="13" s="1"/>
  <c r="X548" i="13" s="1"/>
  <c r="Y548" i="13" s="1"/>
  <c r="Q548" i="13"/>
  <c r="L548" i="13"/>
  <c r="E548" i="13"/>
  <c r="D548" i="13"/>
  <c r="C548" i="13"/>
  <c r="B548" i="13"/>
  <c r="AA547" i="13"/>
  <c r="U547" i="13"/>
  <c r="Q547" i="13"/>
  <c r="L547" i="13"/>
  <c r="E547" i="13"/>
  <c r="D547" i="13"/>
  <c r="C547" i="13"/>
  <c r="B547" i="13"/>
  <c r="AA546" i="13"/>
  <c r="AC546" i="13" s="1"/>
  <c r="AD546" i="13" s="1"/>
  <c r="AE546" i="13" s="1"/>
  <c r="U546" i="13"/>
  <c r="W546" i="13" s="1"/>
  <c r="Q546" i="13"/>
  <c r="L546" i="13"/>
  <c r="E546" i="13"/>
  <c r="D546" i="13"/>
  <c r="C546" i="13"/>
  <c r="B546" i="13"/>
  <c r="AA545" i="13"/>
  <c r="U545" i="13"/>
  <c r="Q545" i="13"/>
  <c r="L545" i="13"/>
  <c r="E545" i="13"/>
  <c r="D545" i="13"/>
  <c r="C545" i="13"/>
  <c r="B545" i="13"/>
  <c r="AA544" i="13"/>
  <c r="AC544" i="13" s="1"/>
  <c r="U544" i="13"/>
  <c r="W544" i="13" s="1"/>
  <c r="Q544" i="13"/>
  <c r="L544" i="13"/>
  <c r="E544" i="13"/>
  <c r="D544" i="13"/>
  <c r="C544" i="13"/>
  <c r="B544" i="13"/>
  <c r="AA543" i="13"/>
  <c r="AB543" i="13" s="1"/>
  <c r="U543" i="13"/>
  <c r="V543" i="13" s="1"/>
  <c r="X543" i="13" s="1"/>
  <c r="Y543" i="13" s="1"/>
  <c r="Q543" i="13"/>
  <c r="L543" i="13"/>
  <c r="E543" i="13"/>
  <c r="D543" i="13"/>
  <c r="C543" i="13"/>
  <c r="B543" i="13"/>
  <c r="AA542" i="13"/>
  <c r="AC542" i="13" s="1"/>
  <c r="U542" i="13"/>
  <c r="V542" i="13" s="1"/>
  <c r="X542" i="13" s="1"/>
  <c r="Y542" i="13" s="1"/>
  <c r="Q542" i="13"/>
  <c r="L542" i="13"/>
  <c r="E542" i="13"/>
  <c r="D542" i="13"/>
  <c r="C542" i="13"/>
  <c r="B542" i="13"/>
  <c r="AA541" i="13"/>
  <c r="AB541" i="13" s="1"/>
  <c r="U541" i="13"/>
  <c r="Q541" i="13"/>
  <c r="L541" i="13"/>
  <c r="E541" i="13"/>
  <c r="D541" i="13"/>
  <c r="C541" i="13"/>
  <c r="B541" i="13"/>
  <c r="AA540" i="13"/>
  <c r="U540" i="13"/>
  <c r="V540" i="13" s="1"/>
  <c r="X540" i="13" s="1"/>
  <c r="Y540" i="13" s="1"/>
  <c r="Q540" i="13"/>
  <c r="L540" i="13"/>
  <c r="E540" i="13"/>
  <c r="D540" i="13"/>
  <c r="C540" i="13"/>
  <c r="B540" i="13"/>
  <c r="AA539" i="13"/>
  <c r="U539" i="13"/>
  <c r="Q539" i="13"/>
  <c r="L539" i="13"/>
  <c r="E539" i="13"/>
  <c r="D539" i="13"/>
  <c r="C539" i="13"/>
  <c r="B539" i="13"/>
  <c r="AA538" i="13"/>
  <c r="AC538" i="13" s="1"/>
  <c r="AD538" i="13" s="1"/>
  <c r="AE538" i="13" s="1"/>
  <c r="U538" i="13"/>
  <c r="Q538" i="13"/>
  <c r="L538" i="13"/>
  <c r="E538" i="13"/>
  <c r="D538" i="13"/>
  <c r="C538" i="13"/>
  <c r="B538" i="13"/>
  <c r="AA537" i="13"/>
  <c r="U537" i="13"/>
  <c r="Q537" i="13"/>
  <c r="L537" i="13"/>
  <c r="E537" i="13"/>
  <c r="D537" i="13"/>
  <c r="C537" i="13"/>
  <c r="B537" i="13"/>
  <c r="AA536" i="13"/>
  <c r="AC536" i="13" s="1"/>
  <c r="U536" i="13"/>
  <c r="W536" i="13" s="1"/>
  <c r="Q536" i="13"/>
  <c r="L536" i="13"/>
  <c r="E536" i="13"/>
  <c r="D536" i="13"/>
  <c r="C536" i="13"/>
  <c r="B536" i="13"/>
  <c r="AA535" i="13"/>
  <c r="AB535" i="13" s="1"/>
  <c r="U535" i="13"/>
  <c r="V535" i="13" s="1"/>
  <c r="X535" i="13" s="1"/>
  <c r="Y535" i="13" s="1"/>
  <c r="Q535" i="13"/>
  <c r="L535" i="13"/>
  <c r="E535" i="13"/>
  <c r="D535" i="13"/>
  <c r="C535" i="13"/>
  <c r="B535" i="13"/>
  <c r="AA534" i="13"/>
  <c r="AC534" i="13" s="1"/>
  <c r="U534" i="13"/>
  <c r="V534" i="13" s="1"/>
  <c r="X534" i="13" s="1"/>
  <c r="Y534" i="13" s="1"/>
  <c r="Q534" i="13"/>
  <c r="L534" i="13"/>
  <c r="E534" i="13"/>
  <c r="D534" i="13"/>
  <c r="C534" i="13"/>
  <c r="B534" i="13"/>
  <c r="AA533" i="13"/>
  <c r="U533" i="13"/>
  <c r="Q533" i="13"/>
  <c r="L533" i="13"/>
  <c r="E533" i="13"/>
  <c r="D533" i="13"/>
  <c r="C533" i="13"/>
  <c r="B533" i="13"/>
  <c r="AA532" i="13"/>
  <c r="U532" i="13"/>
  <c r="Q532" i="13"/>
  <c r="L532" i="13"/>
  <c r="E532" i="13"/>
  <c r="D532" i="13"/>
  <c r="C532" i="13"/>
  <c r="B532" i="13"/>
  <c r="AA531" i="13"/>
  <c r="U531" i="13"/>
  <c r="Q531" i="13"/>
  <c r="L531" i="13"/>
  <c r="E531" i="13"/>
  <c r="D531" i="13"/>
  <c r="C531" i="13"/>
  <c r="B531" i="13"/>
  <c r="AA530" i="13"/>
  <c r="AC530" i="13" s="1"/>
  <c r="AD530" i="13" s="1"/>
  <c r="AE530" i="13" s="1"/>
  <c r="U530" i="13"/>
  <c r="Q530" i="13"/>
  <c r="L530" i="13"/>
  <c r="E530" i="13"/>
  <c r="D530" i="13"/>
  <c r="C530" i="13"/>
  <c r="B530" i="13"/>
  <c r="AA529" i="13"/>
  <c r="U529" i="13"/>
  <c r="Q529" i="13"/>
  <c r="L529" i="13"/>
  <c r="E529" i="13"/>
  <c r="D529" i="13"/>
  <c r="C529" i="13"/>
  <c r="B529" i="13"/>
  <c r="AA528" i="13"/>
  <c r="AC528" i="13" s="1"/>
  <c r="U528" i="13"/>
  <c r="W528" i="13" s="1"/>
  <c r="Q528" i="13"/>
  <c r="L528" i="13"/>
  <c r="E528" i="13"/>
  <c r="D528" i="13"/>
  <c r="C528" i="13"/>
  <c r="B528" i="13"/>
  <c r="AA527" i="13"/>
  <c r="AB527" i="13" s="1"/>
  <c r="U527" i="13"/>
  <c r="W527" i="13" s="1"/>
  <c r="Q527" i="13"/>
  <c r="L527" i="13"/>
  <c r="E527" i="13"/>
  <c r="D527" i="13"/>
  <c r="C527" i="13"/>
  <c r="B527" i="13"/>
  <c r="AA526" i="13"/>
  <c r="AC526" i="13" s="1"/>
  <c r="U526" i="13"/>
  <c r="V526" i="13" s="1"/>
  <c r="X526" i="13" s="1"/>
  <c r="Y526" i="13" s="1"/>
  <c r="Q526" i="13"/>
  <c r="L526" i="13"/>
  <c r="E526" i="13"/>
  <c r="D526" i="13"/>
  <c r="C526" i="13"/>
  <c r="B526" i="13"/>
  <c r="AA525" i="13"/>
  <c r="AB525" i="13" s="1"/>
  <c r="U525" i="13"/>
  <c r="Q525" i="13"/>
  <c r="L525" i="13"/>
  <c r="E525" i="13"/>
  <c r="D525" i="13"/>
  <c r="C525" i="13"/>
  <c r="B525" i="13"/>
  <c r="AA524" i="13"/>
  <c r="U524" i="13"/>
  <c r="V524" i="13" s="1"/>
  <c r="X524" i="13" s="1"/>
  <c r="Y524" i="13" s="1"/>
  <c r="Q524" i="13"/>
  <c r="L524" i="13"/>
  <c r="E524" i="13"/>
  <c r="D524" i="13"/>
  <c r="C524" i="13"/>
  <c r="B524" i="13"/>
  <c r="AA523" i="13"/>
  <c r="AB523" i="13" s="1"/>
  <c r="U523" i="13"/>
  <c r="W523" i="13" s="1"/>
  <c r="Q523" i="13"/>
  <c r="L523" i="13"/>
  <c r="E523" i="13"/>
  <c r="D523" i="13"/>
  <c r="C523" i="13"/>
  <c r="B523" i="13"/>
  <c r="AA522" i="13"/>
  <c r="U522" i="13"/>
  <c r="Q522" i="13"/>
  <c r="L522" i="13"/>
  <c r="E522" i="13"/>
  <c r="D522" i="13"/>
  <c r="C522" i="13"/>
  <c r="B522" i="13"/>
  <c r="AA521" i="13"/>
  <c r="U521" i="13"/>
  <c r="Q521" i="13"/>
  <c r="L521" i="13"/>
  <c r="E521" i="13"/>
  <c r="D521" i="13"/>
  <c r="C521" i="13"/>
  <c r="B521" i="13"/>
  <c r="AA520" i="13"/>
  <c r="AB520" i="13" s="1"/>
  <c r="U520" i="13"/>
  <c r="W520" i="13" s="1"/>
  <c r="Q520" i="13"/>
  <c r="L520" i="13"/>
  <c r="E520" i="13"/>
  <c r="D520" i="13"/>
  <c r="C520" i="13"/>
  <c r="B520" i="13"/>
  <c r="AA519" i="13"/>
  <c r="AC519" i="13" s="1"/>
  <c r="U519" i="13"/>
  <c r="V519" i="13" s="1"/>
  <c r="X519" i="13" s="1"/>
  <c r="Y519" i="13" s="1"/>
  <c r="Q519" i="13"/>
  <c r="L519" i="13"/>
  <c r="E519" i="13"/>
  <c r="D519" i="13"/>
  <c r="C519" i="13"/>
  <c r="B519" i="13"/>
  <c r="AA518" i="13"/>
  <c r="AC518" i="13" s="1"/>
  <c r="U518" i="13"/>
  <c r="Q518" i="13"/>
  <c r="L518" i="13"/>
  <c r="E518" i="13"/>
  <c r="D518" i="13"/>
  <c r="C518" i="13"/>
  <c r="B518" i="13"/>
  <c r="AA517" i="13"/>
  <c r="U517" i="13"/>
  <c r="W517" i="13" s="1"/>
  <c r="Q517" i="13"/>
  <c r="L517" i="13"/>
  <c r="E517" i="13"/>
  <c r="D517" i="13"/>
  <c r="C517" i="13"/>
  <c r="B517" i="13"/>
  <c r="AA516" i="13"/>
  <c r="AB516" i="13" s="1"/>
  <c r="U516" i="13"/>
  <c r="Q516" i="13"/>
  <c r="L516" i="13"/>
  <c r="E516" i="13"/>
  <c r="D516" i="13"/>
  <c r="C516" i="13"/>
  <c r="B516" i="13"/>
  <c r="AA515" i="13"/>
  <c r="AB515" i="13" s="1"/>
  <c r="U515" i="13"/>
  <c r="W515" i="13" s="1"/>
  <c r="Q515" i="13"/>
  <c r="L515" i="13"/>
  <c r="E515" i="13"/>
  <c r="D515" i="13"/>
  <c r="C515" i="13"/>
  <c r="B515" i="13"/>
  <c r="AA514" i="13"/>
  <c r="U514" i="13"/>
  <c r="V514" i="13" s="1"/>
  <c r="X514" i="13" s="1"/>
  <c r="Y514" i="13" s="1"/>
  <c r="Q514" i="13"/>
  <c r="L514" i="13"/>
  <c r="E514" i="13"/>
  <c r="D514" i="13"/>
  <c r="C514" i="13"/>
  <c r="B514" i="13"/>
  <c r="AA513" i="13"/>
  <c r="AB513" i="13" s="1"/>
  <c r="U513" i="13"/>
  <c r="Q513" i="13"/>
  <c r="L513" i="13"/>
  <c r="E513" i="13"/>
  <c r="D513" i="13"/>
  <c r="C513" i="13"/>
  <c r="B513" i="13"/>
  <c r="AA512" i="13"/>
  <c r="U512" i="13"/>
  <c r="V512" i="13" s="1"/>
  <c r="X512" i="13" s="1"/>
  <c r="Q512" i="13"/>
  <c r="L512" i="13"/>
  <c r="E512" i="13"/>
  <c r="D512" i="13"/>
  <c r="C512" i="13"/>
  <c r="B512" i="13"/>
  <c r="AA511" i="13"/>
  <c r="AC511" i="13" s="1"/>
  <c r="U511" i="13"/>
  <c r="V511" i="13" s="1"/>
  <c r="X511" i="13" s="1"/>
  <c r="Y511" i="13" s="1"/>
  <c r="Q511" i="13"/>
  <c r="L511" i="13"/>
  <c r="E511" i="13"/>
  <c r="D511" i="13"/>
  <c r="C511" i="13"/>
  <c r="B511" i="13"/>
  <c r="AA510" i="13"/>
  <c r="AB510" i="13" s="1"/>
  <c r="U510" i="13"/>
  <c r="W510" i="13" s="1"/>
  <c r="Q510" i="13"/>
  <c r="L510" i="13"/>
  <c r="E510" i="13"/>
  <c r="D510" i="13"/>
  <c r="C510" i="13"/>
  <c r="B510" i="13"/>
  <c r="AA509" i="13"/>
  <c r="AC509" i="13" s="1"/>
  <c r="AD509" i="13" s="1"/>
  <c r="AE509" i="13" s="1"/>
  <c r="U509" i="13"/>
  <c r="Q509" i="13"/>
  <c r="L509" i="13"/>
  <c r="E509" i="13"/>
  <c r="D509" i="13"/>
  <c r="C509" i="13"/>
  <c r="B509" i="13"/>
  <c r="AA508" i="13"/>
  <c r="U508" i="13"/>
  <c r="W508" i="13" s="1"/>
  <c r="Q508" i="13"/>
  <c r="L508" i="13"/>
  <c r="E508" i="13"/>
  <c r="D508" i="13"/>
  <c r="C508" i="13"/>
  <c r="B508" i="13"/>
  <c r="AA507" i="13"/>
  <c r="AB507" i="13" s="1"/>
  <c r="U507" i="13"/>
  <c r="Q507" i="13"/>
  <c r="L507" i="13"/>
  <c r="E507" i="13"/>
  <c r="D507" i="13"/>
  <c r="C507" i="13"/>
  <c r="B507" i="13"/>
  <c r="AA506" i="13"/>
  <c r="U506" i="13"/>
  <c r="W506" i="13" s="1"/>
  <c r="Q506" i="13"/>
  <c r="L506" i="13"/>
  <c r="E506" i="13"/>
  <c r="D506" i="13"/>
  <c r="C506" i="13"/>
  <c r="B506" i="13"/>
  <c r="AA505" i="13"/>
  <c r="AC505" i="13" s="1"/>
  <c r="AD505" i="13" s="1"/>
  <c r="U505" i="13"/>
  <c r="Q505" i="13"/>
  <c r="L505" i="13"/>
  <c r="E505" i="13"/>
  <c r="D505" i="13"/>
  <c r="C505" i="13"/>
  <c r="B505" i="13"/>
  <c r="AA504" i="13"/>
  <c r="AB504" i="13" s="1"/>
  <c r="U504" i="13"/>
  <c r="W504" i="13" s="1"/>
  <c r="Q504" i="13"/>
  <c r="L504" i="13"/>
  <c r="E504" i="13"/>
  <c r="D504" i="13"/>
  <c r="C504" i="13"/>
  <c r="B504" i="13"/>
  <c r="AA503" i="13"/>
  <c r="AC503" i="13" s="1"/>
  <c r="U503" i="13"/>
  <c r="V503" i="13" s="1"/>
  <c r="X503" i="13" s="1"/>
  <c r="Y503" i="13" s="1"/>
  <c r="Q503" i="13"/>
  <c r="L503" i="13"/>
  <c r="E503" i="13"/>
  <c r="D503" i="13"/>
  <c r="C503" i="13"/>
  <c r="B503" i="13"/>
  <c r="AA502" i="13"/>
  <c r="AC502" i="13" s="1"/>
  <c r="U502" i="13"/>
  <c r="W502" i="13" s="1"/>
  <c r="Q502" i="13"/>
  <c r="L502" i="13"/>
  <c r="E502" i="13"/>
  <c r="D502" i="13"/>
  <c r="C502" i="13"/>
  <c r="B502" i="13"/>
  <c r="AA501" i="13"/>
  <c r="AC501" i="13" s="1"/>
  <c r="AD501" i="13" s="1"/>
  <c r="U501" i="13"/>
  <c r="V501" i="13" s="1"/>
  <c r="X501" i="13" s="1"/>
  <c r="Y501" i="13" s="1"/>
  <c r="Q501" i="13"/>
  <c r="L501" i="13"/>
  <c r="E501" i="13"/>
  <c r="D501" i="13"/>
  <c r="C501" i="13"/>
  <c r="B501" i="13"/>
  <c r="AA500" i="13"/>
  <c r="AB500" i="13" s="1"/>
  <c r="U500" i="13"/>
  <c r="W500" i="13" s="1"/>
  <c r="Q500" i="13"/>
  <c r="L500" i="13"/>
  <c r="E500" i="13"/>
  <c r="D500" i="13"/>
  <c r="C500" i="13"/>
  <c r="B500" i="13"/>
  <c r="AA499" i="13"/>
  <c r="AC499" i="13" s="1"/>
  <c r="AD499" i="13" s="1"/>
  <c r="U499" i="13"/>
  <c r="V499" i="13" s="1"/>
  <c r="X499" i="13" s="1"/>
  <c r="Y499" i="13" s="1"/>
  <c r="Q499" i="13"/>
  <c r="L499" i="13"/>
  <c r="E499" i="13"/>
  <c r="D499" i="13"/>
  <c r="C499" i="13"/>
  <c r="B499" i="13"/>
  <c r="AA498" i="13"/>
  <c r="U498" i="13"/>
  <c r="W498" i="13" s="1"/>
  <c r="Q498" i="13"/>
  <c r="L498" i="13"/>
  <c r="E498" i="13"/>
  <c r="D498" i="13"/>
  <c r="C498" i="13"/>
  <c r="B498" i="13"/>
  <c r="AA497" i="13"/>
  <c r="AC497" i="13" s="1"/>
  <c r="U497" i="13"/>
  <c r="W497" i="13" s="1"/>
  <c r="Q497" i="13"/>
  <c r="L497" i="13"/>
  <c r="E497" i="13"/>
  <c r="D497" i="13"/>
  <c r="C497" i="13"/>
  <c r="B497" i="13"/>
  <c r="AA496" i="13"/>
  <c r="U496" i="13"/>
  <c r="V496" i="13" s="1"/>
  <c r="X496" i="13" s="1"/>
  <c r="Y496" i="13" s="1"/>
  <c r="Q496" i="13"/>
  <c r="L496" i="13"/>
  <c r="E496" i="13"/>
  <c r="D496" i="13"/>
  <c r="C496" i="13"/>
  <c r="B496" i="13"/>
  <c r="AA495" i="13"/>
  <c r="AC495" i="13" s="1"/>
  <c r="U495" i="13"/>
  <c r="V495" i="13" s="1"/>
  <c r="X495" i="13" s="1"/>
  <c r="Y495" i="13" s="1"/>
  <c r="Q495" i="13"/>
  <c r="L495" i="13"/>
  <c r="E495" i="13"/>
  <c r="D495" i="13"/>
  <c r="C495" i="13"/>
  <c r="B495" i="13"/>
  <c r="AA494" i="13"/>
  <c r="AC494" i="13" s="1"/>
  <c r="AD494" i="13" s="1"/>
  <c r="U494" i="13"/>
  <c r="Q494" i="13"/>
  <c r="L494" i="13"/>
  <c r="E494" i="13"/>
  <c r="D494" i="13"/>
  <c r="C494" i="13"/>
  <c r="B494" i="13"/>
  <c r="AA493" i="13"/>
  <c r="U493" i="13"/>
  <c r="W493" i="13" s="1"/>
  <c r="Q493" i="13"/>
  <c r="L493" i="13"/>
  <c r="E493" i="13"/>
  <c r="D493" i="13"/>
  <c r="C493" i="13"/>
  <c r="B493" i="13"/>
  <c r="AA492" i="13"/>
  <c r="AC492" i="13" s="1"/>
  <c r="U492" i="13"/>
  <c r="Q492" i="13"/>
  <c r="L492" i="13"/>
  <c r="E492" i="13"/>
  <c r="D492" i="13"/>
  <c r="C492" i="13"/>
  <c r="B492" i="13"/>
  <c r="AA491" i="13"/>
  <c r="AB491" i="13" s="1"/>
  <c r="U491" i="13"/>
  <c r="V491" i="13" s="1"/>
  <c r="X491" i="13" s="1"/>
  <c r="Q491" i="13"/>
  <c r="L491" i="13"/>
  <c r="E491" i="13"/>
  <c r="D491" i="13"/>
  <c r="C491" i="13"/>
  <c r="B491" i="13"/>
  <c r="AA490" i="13"/>
  <c r="AC490" i="13" s="1"/>
  <c r="AD490" i="13" s="1"/>
  <c r="AE490" i="13" s="1"/>
  <c r="U490" i="13"/>
  <c r="Q490" i="13"/>
  <c r="L490" i="13"/>
  <c r="E490" i="13"/>
  <c r="D490" i="13"/>
  <c r="C490" i="13"/>
  <c r="B490" i="13"/>
  <c r="AA489" i="13"/>
  <c r="AC489" i="13" s="1"/>
  <c r="U489" i="13"/>
  <c r="Q489" i="13"/>
  <c r="L489" i="13"/>
  <c r="E489" i="13"/>
  <c r="D489" i="13"/>
  <c r="C489" i="13"/>
  <c r="B489" i="13"/>
  <c r="AA488" i="13"/>
  <c r="AC488" i="13" s="1"/>
  <c r="U488" i="13"/>
  <c r="W488" i="13" s="1"/>
  <c r="Q488" i="13"/>
  <c r="L488" i="13"/>
  <c r="E488" i="13"/>
  <c r="D488" i="13"/>
  <c r="C488" i="13"/>
  <c r="B488" i="13"/>
  <c r="AA487" i="13"/>
  <c r="AB487" i="13" s="1"/>
  <c r="U487" i="13"/>
  <c r="V487" i="13" s="1"/>
  <c r="X487" i="13" s="1"/>
  <c r="Y487" i="13" s="1"/>
  <c r="Q487" i="13"/>
  <c r="L487" i="13"/>
  <c r="E487" i="13"/>
  <c r="D487" i="13"/>
  <c r="C487" i="13"/>
  <c r="B487" i="13"/>
  <c r="AA486" i="13"/>
  <c r="AC486" i="13" s="1"/>
  <c r="U486" i="13"/>
  <c r="V486" i="13" s="1"/>
  <c r="X486" i="13" s="1"/>
  <c r="Y486" i="13" s="1"/>
  <c r="Q486" i="13"/>
  <c r="L486" i="13"/>
  <c r="E486" i="13"/>
  <c r="D486" i="13"/>
  <c r="C486" i="13"/>
  <c r="B486" i="13"/>
  <c r="AA485" i="13"/>
  <c r="U485" i="13"/>
  <c r="V485" i="13" s="1"/>
  <c r="X485" i="13" s="1"/>
  <c r="Y485" i="13" s="1"/>
  <c r="Q485" i="13"/>
  <c r="L485" i="13"/>
  <c r="E485" i="13"/>
  <c r="D485" i="13"/>
  <c r="C485" i="13"/>
  <c r="B485" i="13"/>
  <c r="AA484" i="13"/>
  <c r="AC484" i="13" s="1"/>
  <c r="U484" i="13"/>
  <c r="Q484" i="13"/>
  <c r="L484" i="13"/>
  <c r="E484" i="13"/>
  <c r="D484" i="13"/>
  <c r="C484" i="13"/>
  <c r="B484" i="13"/>
  <c r="AA483" i="13"/>
  <c r="U483" i="13"/>
  <c r="V483" i="13" s="1"/>
  <c r="X483" i="13" s="1"/>
  <c r="Y483" i="13" s="1"/>
  <c r="Q483" i="13"/>
  <c r="L483" i="13"/>
  <c r="E483" i="13"/>
  <c r="D483" i="13"/>
  <c r="C483" i="13"/>
  <c r="B483" i="13"/>
  <c r="AA482" i="13"/>
  <c r="U482" i="13"/>
  <c r="V482" i="13" s="1"/>
  <c r="X482" i="13" s="1"/>
  <c r="Y482" i="13" s="1"/>
  <c r="Q482" i="13"/>
  <c r="L482" i="13"/>
  <c r="E482" i="13"/>
  <c r="D482" i="13"/>
  <c r="C482" i="13"/>
  <c r="B482" i="13"/>
  <c r="AA481" i="13"/>
  <c r="U481" i="13"/>
  <c r="W481" i="13" s="1"/>
  <c r="Q481" i="13"/>
  <c r="L481" i="13"/>
  <c r="E481" i="13"/>
  <c r="D481" i="13"/>
  <c r="C481" i="13"/>
  <c r="B481" i="13"/>
  <c r="AA480" i="13"/>
  <c r="U480" i="13"/>
  <c r="V480" i="13" s="1"/>
  <c r="X480" i="13" s="1"/>
  <c r="Y480" i="13" s="1"/>
  <c r="Q480" i="13"/>
  <c r="L480" i="13"/>
  <c r="E480" i="13"/>
  <c r="D480" i="13"/>
  <c r="C480" i="13"/>
  <c r="B480" i="13"/>
  <c r="AA479" i="13"/>
  <c r="AC479" i="13" s="1"/>
  <c r="U479" i="13"/>
  <c r="V479" i="13" s="1"/>
  <c r="X479" i="13" s="1"/>
  <c r="Y479" i="13" s="1"/>
  <c r="Q479" i="13"/>
  <c r="L479" i="13"/>
  <c r="E479" i="13"/>
  <c r="D479" i="13"/>
  <c r="C479" i="13"/>
  <c r="B479" i="13"/>
  <c r="AA478" i="13"/>
  <c r="AC478" i="13" s="1"/>
  <c r="AD478" i="13" s="1"/>
  <c r="U478" i="13"/>
  <c r="V478" i="13" s="1"/>
  <c r="X478" i="13" s="1"/>
  <c r="Y478" i="13" s="1"/>
  <c r="Q478" i="13"/>
  <c r="L478" i="13"/>
  <c r="E478" i="13"/>
  <c r="D478" i="13"/>
  <c r="C478" i="13"/>
  <c r="B478" i="13"/>
  <c r="AA477" i="13"/>
  <c r="U477" i="13"/>
  <c r="W477" i="13" s="1"/>
  <c r="Q477" i="13"/>
  <c r="L477" i="13"/>
  <c r="E477" i="13"/>
  <c r="D477" i="13"/>
  <c r="C477" i="13"/>
  <c r="B477" i="13"/>
  <c r="AA476" i="13"/>
  <c r="U476" i="13"/>
  <c r="Q476" i="13"/>
  <c r="L476" i="13"/>
  <c r="E476" i="13"/>
  <c r="D476" i="13"/>
  <c r="C476" i="13"/>
  <c r="B476" i="13"/>
  <c r="AA475" i="13"/>
  <c r="U475" i="13"/>
  <c r="Q475" i="13"/>
  <c r="L475" i="13"/>
  <c r="E475" i="13"/>
  <c r="D475" i="13"/>
  <c r="C475" i="13"/>
  <c r="B475" i="13"/>
  <c r="AA474" i="13"/>
  <c r="AC474" i="13" s="1"/>
  <c r="AD474" i="13" s="1"/>
  <c r="AE474" i="13" s="1"/>
  <c r="U474" i="13"/>
  <c r="W474" i="13" s="1"/>
  <c r="Q474" i="13"/>
  <c r="L474" i="13"/>
  <c r="E474" i="13"/>
  <c r="D474" i="13"/>
  <c r="C474" i="13"/>
  <c r="B474" i="13"/>
  <c r="AA473" i="13"/>
  <c r="AC473" i="13" s="1"/>
  <c r="U473" i="13"/>
  <c r="W473" i="13" s="1"/>
  <c r="Q473" i="13"/>
  <c r="L473" i="13"/>
  <c r="E473" i="13"/>
  <c r="D473" i="13"/>
  <c r="C473" i="13"/>
  <c r="B473" i="13"/>
  <c r="AA472" i="13"/>
  <c r="AB472" i="13" s="1"/>
  <c r="U472" i="13"/>
  <c r="V472" i="13" s="1"/>
  <c r="X472" i="13" s="1"/>
  <c r="Y472" i="13" s="1"/>
  <c r="Q472" i="13"/>
  <c r="L472" i="13"/>
  <c r="E472" i="13"/>
  <c r="D472" i="13"/>
  <c r="C472" i="13"/>
  <c r="B472" i="13"/>
  <c r="AA471" i="13"/>
  <c r="AC471" i="13" s="1"/>
  <c r="U471" i="13"/>
  <c r="V471" i="13" s="1"/>
  <c r="X471" i="13" s="1"/>
  <c r="Y471" i="13" s="1"/>
  <c r="Q471" i="13"/>
  <c r="L471" i="13"/>
  <c r="E471" i="13"/>
  <c r="D471" i="13"/>
  <c r="C471" i="13"/>
  <c r="B471" i="13"/>
  <c r="AA470" i="13"/>
  <c r="AC470" i="13" s="1"/>
  <c r="U470" i="13"/>
  <c r="Q470" i="13"/>
  <c r="L470" i="13"/>
  <c r="E470" i="13"/>
  <c r="D470" i="13"/>
  <c r="C470" i="13"/>
  <c r="B470" i="13"/>
  <c r="AA469" i="13"/>
  <c r="U469" i="13"/>
  <c r="V469" i="13" s="1"/>
  <c r="X469" i="13" s="1"/>
  <c r="Y469" i="13" s="1"/>
  <c r="Q469" i="13"/>
  <c r="L469" i="13"/>
  <c r="E469" i="13"/>
  <c r="D469" i="13"/>
  <c r="C469" i="13"/>
  <c r="B469" i="13"/>
  <c r="AA468" i="13"/>
  <c r="U468" i="13"/>
  <c r="Q468" i="13"/>
  <c r="L468" i="13"/>
  <c r="E468" i="13"/>
  <c r="D468" i="13"/>
  <c r="C468" i="13"/>
  <c r="B468" i="13"/>
  <c r="AA467" i="13"/>
  <c r="AC467" i="13" s="1"/>
  <c r="AD467" i="13" s="1"/>
  <c r="U467" i="13"/>
  <c r="W467" i="13" s="1"/>
  <c r="Q467" i="13"/>
  <c r="L467" i="13"/>
  <c r="E467" i="13"/>
  <c r="D467" i="13"/>
  <c r="C467" i="13"/>
  <c r="B467" i="13"/>
  <c r="AA466" i="13"/>
  <c r="AC466" i="13" s="1"/>
  <c r="AD466" i="13" s="1"/>
  <c r="AE466" i="13" s="1"/>
  <c r="U466" i="13"/>
  <c r="V466" i="13" s="1"/>
  <c r="X466" i="13" s="1"/>
  <c r="Y466" i="13" s="1"/>
  <c r="Q466" i="13"/>
  <c r="L466" i="13"/>
  <c r="E466" i="13"/>
  <c r="D466" i="13"/>
  <c r="C466" i="13"/>
  <c r="B466" i="13"/>
  <c r="AA465" i="13"/>
  <c r="AC465" i="13" s="1"/>
  <c r="U465" i="13"/>
  <c r="Q465" i="13"/>
  <c r="L465" i="13"/>
  <c r="E465" i="13"/>
  <c r="D465" i="13"/>
  <c r="C465" i="13"/>
  <c r="B465" i="13"/>
  <c r="AA464" i="13"/>
  <c r="AC464" i="13" s="1"/>
  <c r="AD464" i="13" s="1"/>
  <c r="AE464" i="13" s="1"/>
  <c r="U464" i="13"/>
  <c r="W464" i="13" s="1"/>
  <c r="Q464" i="13"/>
  <c r="L464" i="13"/>
  <c r="E464" i="13"/>
  <c r="D464" i="13"/>
  <c r="C464" i="13"/>
  <c r="B464" i="13"/>
  <c r="AA463" i="13"/>
  <c r="AB463" i="13" s="1"/>
  <c r="U463" i="13"/>
  <c r="V463" i="13" s="1"/>
  <c r="X463" i="13" s="1"/>
  <c r="Y463" i="13" s="1"/>
  <c r="Q463" i="13"/>
  <c r="L463" i="13"/>
  <c r="E463" i="13"/>
  <c r="D463" i="13"/>
  <c r="C463" i="13"/>
  <c r="B463" i="13"/>
  <c r="AA462" i="13"/>
  <c r="U462" i="13"/>
  <c r="W462" i="13" s="1"/>
  <c r="Q462" i="13"/>
  <c r="L462" i="13"/>
  <c r="E462" i="13"/>
  <c r="D462" i="13"/>
  <c r="C462" i="13"/>
  <c r="B462" i="13"/>
  <c r="AA461" i="13"/>
  <c r="U461" i="13"/>
  <c r="W461" i="13" s="1"/>
  <c r="Q461" i="13"/>
  <c r="L461" i="13"/>
  <c r="E461" i="13"/>
  <c r="D461" i="13"/>
  <c r="C461" i="13"/>
  <c r="B461" i="13"/>
  <c r="AA460" i="13"/>
  <c r="AC460" i="13" s="1"/>
  <c r="U460" i="13"/>
  <c r="Q460" i="13"/>
  <c r="L460" i="13"/>
  <c r="E460" i="13"/>
  <c r="D460" i="13"/>
  <c r="C460" i="13"/>
  <c r="B460" i="13"/>
  <c r="AA459" i="13"/>
  <c r="AC459" i="13" s="1"/>
  <c r="U459" i="13"/>
  <c r="Q459" i="13"/>
  <c r="L459" i="13"/>
  <c r="E459" i="13"/>
  <c r="D459" i="13"/>
  <c r="C459" i="13"/>
  <c r="B459" i="13"/>
  <c r="AA458" i="13"/>
  <c r="U458" i="13"/>
  <c r="W458" i="13" s="1"/>
  <c r="Q458" i="13"/>
  <c r="L458" i="13"/>
  <c r="E458" i="13"/>
  <c r="D458" i="13"/>
  <c r="C458" i="13"/>
  <c r="B458" i="13"/>
  <c r="AA457" i="13"/>
  <c r="U457" i="13"/>
  <c r="W457" i="13" s="1"/>
  <c r="Q457" i="13"/>
  <c r="L457" i="13"/>
  <c r="E457" i="13"/>
  <c r="D457" i="13"/>
  <c r="C457" i="13"/>
  <c r="B457" i="13"/>
  <c r="AA456" i="13"/>
  <c r="AC456" i="13" s="1"/>
  <c r="U456" i="13"/>
  <c r="V456" i="13" s="1"/>
  <c r="X456" i="13" s="1"/>
  <c r="Y456" i="13" s="1"/>
  <c r="Q456" i="13"/>
  <c r="L456" i="13"/>
  <c r="E456" i="13"/>
  <c r="D456" i="13"/>
  <c r="C456" i="13"/>
  <c r="B456" i="13"/>
  <c r="AA455" i="13"/>
  <c r="AC455" i="13" s="1"/>
  <c r="U455" i="13"/>
  <c r="V455" i="13" s="1"/>
  <c r="X455" i="13" s="1"/>
  <c r="Y455" i="13" s="1"/>
  <c r="Q455" i="13"/>
  <c r="L455" i="13"/>
  <c r="E455" i="13"/>
  <c r="D455" i="13"/>
  <c r="C455" i="13"/>
  <c r="B455" i="13"/>
  <c r="AA454" i="13"/>
  <c r="AC454" i="13" s="1"/>
  <c r="AD454" i="13" s="1"/>
  <c r="AE454" i="13" s="1"/>
  <c r="U454" i="13"/>
  <c r="W454" i="13" s="1"/>
  <c r="Q454" i="13"/>
  <c r="L454" i="13"/>
  <c r="E454" i="13"/>
  <c r="D454" i="13"/>
  <c r="C454" i="13"/>
  <c r="B454" i="13"/>
  <c r="AA453" i="13"/>
  <c r="U453" i="13"/>
  <c r="V453" i="13" s="1"/>
  <c r="X453" i="13" s="1"/>
  <c r="Y453" i="13" s="1"/>
  <c r="Q453" i="13"/>
  <c r="L453" i="13"/>
  <c r="E453" i="13"/>
  <c r="D453" i="13"/>
  <c r="C453" i="13"/>
  <c r="B453" i="13"/>
  <c r="AA452" i="13"/>
  <c r="AC452" i="13" s="1"/>
  <c r="U452" i="13"/>
  <c r="Q452" i="13"/>
  <c r="L452" i="13"/>
  <c r="E452" i="13"/>
  <c r="D452" i="13"/>
  <c r="C452" i="13"/>
  <c r="B452" i="13"/>
  <c r="AA451" i="13"/>
  <c r="U451" i="13"/>
  <c r="V451" i="13" s="1"/>
  <c r="X451" i="13" s="1"/>
  <c r="Y451" i="13" s="1"/>
  <c r="Q451" i="13"/>
  <c r="L451" i="13"/>
  <c r="E451" i="13"/>
  <c r="D451" i="13"/>
  <c r="C451" i="13"/>
  <c r="B451" i="13"/>
  <c r="AA450" i="13"/>
  <c r="AC450" i="13" s="1"/>
  <c r="U450" i="13"/>
  <c r="W450" i="13" s="1"/>
  <c r="Q450" i="13"/>
  <c r="L450" i="13"/>
  <c r="E450" i="13"/>
  <c r="D450" i="13"/>
  <c r="C450" i="13"/>
  <c r="B450" i="13"/>
  <c r="AA449" i="13"/>
  <c r="U449" i="13"/>
  <c r="W449" i="13" s="1"/>
  <c r="Q449" i="13"/>
  <c r="L449" i="13"/>
  <c r="E449" i="13"/>
  <c r="D449" i="13"/>
  <c r="C449" i="13"/>
  <c r="B449" i="13"/>
  <c r="AA448" i="13"/>
  <c r="AB448" i="13" s="1"/>
  <c r="U448" i="13"/>
  <c r="W448" i="13" s="1"/>
  <c r="Q448" i="13"/>
  <c r="L448" i="13"/>
  <c r="E448" i="13"/>
  <c r="D448" i="13"/>
  <c r="C448" i="13"/>
  <c r="B448" i="13"/>
  <c r="AA447" i="13"/>
  <c r="AB447" i="13" s="1"/>
  <c r="U447" i="13"/>
  <c r="Q447" i="13"/>
  <c r="L447" i="13"/>
  <c r="E447" i="13"/>
  <c r="D447" i="13"/>
  <c r="C447" i="13"/>
  <c r="B447" i="13"/>
  <c r="AA446" i="13"/>
  <c r="AC446" i="13" s="1"/>
  <c r="U446" i="13"/>
  <c r="Q446" i="13"/>
  <c r="L446" i="13"/>
  <c r="E446" i="13"/>
  <c r="D446" i="13"/>
  <c r="C446" i="13"/>
  <c r="B446" i="13"/>
  <c r="AA445" i="13"/>
  <c r="AC445" i="13" s="1"/>
  <c r="AD445" i="13" s="1"/>
  <c r="AE445" i="13" s="1"/>
  <c r="U445" i="13"/>
  <c r="V445" i="13" s="1"/>
  <c r="X445" i="13" s="1"/>
  <c r="Q445" i="13"/>
  <c r="L445" i="13"/>
  <c r="E445" i="13"/>
  <c r="D445" i="13"/>
  <c r="C445" i="13"/>
  <c r="B445" i="13"/>
  <c r="AA444" i="13"/>
  <c r="AC444" i="13" s="1"/>
  <c r="U444" i="13"/>
  <c r="Q444" i="13"/>
  <c r="L444" i="13"/>
  <c r="E444" i="13"/>
  <c r="D444" i="13"/>
  <c r="C444" i="13"/>
  <c r="B444" i="13"/>
  <c r="AA443" i="13"/>
  <c r="AB443" i="13" s="1"/>
  <c r="U443" i="13"/>
  <c r="W443" i="13" s="1"/>
  <c r="Q443" i="13"/>
  <c r="L443" i="13"/>
  <c r="E443" i="13"/>
  <c r="D443" i="13"/>
  <c r="C443" i="13"/>
  <c r="B443" i="13"/>
  <c r="AA442" i="13"/>
  <c r="AC442" i="13" s="1"/>
  <c r="U442" i="13"/>
  <c r="Q442" i="13"/>
  <c r="L442" i="13"/>
  <c r="E442" i="13"/>
  <c r="D442" i="13"/>
  <c r="C442" i="13"/>
  <c r="B442" i="13"/>
  <c r="AA441" i="13"/>
  <c r="AB441" i="13" s="1"/>
  <c r="U441" i="13"/>
  <c r="W441" i="13" s="1"/>
  <c r="Q441" i="13"/>
  <c r="L441" i="13"/>
  <c r="E441" i="13"/>
  <c r="D441" i="13"/>
  <c r="C441" i="13"/>
  <c r="B441" i="13"/>
  <c r="AA440" i="13"/>
  <c r="AB440" i="13" s="1"/>
  <c r="U440" i="13"/>
  <c r="W440" i="13" s="1"/>
  <c r="Q440" i="13"/>
  <c r="L440" i="13"/>
  <c r="E440" i="13"/>
  <c r="D440" i="13"/>
  <c r="C440" i="13"/>
  <c r="B440" i="13"/>
  <c r="AA439" i="13"/>
  <c r="U439" i="13"/>
  <c r="V439" i="13" s="1"/>
  <c r="X439" i="13" s="1"/>
  <c r="Y439" i="13" s="1"/>
  <c r="Q439" i="13"/>
  <c r="L439" i="13"/>
  <c r="E439" i="13"/>
  <c r="D439" i="13"/>
  <c r="C439" i="13"/>
  <c r="B439" i="13"/>
  <c r="AA438" i="13"/>
  <c r="AC438" i="13" s="1"/>
  <c r="U438" i="13"/>
  <c r="V438" i="13" s="1"/>
  <c r="X438" i="13" s="1"/>
  <c r="Y438" i="13" s="1"/>
  <c r="Q438" i="13"/>
  <c r="L438" i="13"/>
  <c r="E438" i="13"/>
  <c r="D438" i="13"/>
  <c r="C438" i="13"/>
  <c r="B438" i="13"/>
  <c r="AA437" i="13"/>
  <c r="AC437" i="13" s="1"/>
  <c r="AD437" i="13" s="1"/>
  <c r="U437" i="13"/>
  <c r="V437" i="13" s="1"/>
  <c r="X437" i="13" s="1"/>
  <c r="Y437" i="13" s="1"/>
  <c r="Q437" i="13"/>
  <c r="L437" i="13"/>
  <c r="E437" i="13"/>
  <c r="D437" i="13"/>
  <c r="C437" i="13"/>
  <c r="B437" i="13"/>
  <c r="AA436" i="13"/>
  <c r="U436" i="13"/>
  <c r="Q436" i="13"/>
  <c r="L436" i="13"/>
  <c r="E436" i="13"/>
  <c r="D436" i="13"/>
  <c r="C436" i="13"/>
  <c r="B436" i="13"/>
  <c r="AA435" i="13"/>
  <c r="AB435" i="13" s="1"/>
  <c r="U435" i="13"/>
  <c r="Q435" i="13"/>
  <c r="L435" i="13"/>
  <c r="E435" i="13"/>
  <c r="D435" i="13"/>
  <c r="C435" i="13"/>
  <c r="B435" i="13"/>
  <c r="AA434" i="13"/>
  <c r="U434" i="13"/>
  <c r="W434" i="13" s="1"/>
  <c r="Q434" i="13"/>
  <c r="L434" i="13"/>
  <c r="E434" i="13"/>
  <c r="D434" i="13"/>
  <c r="C434" i="13"/>
  <c r="B434" i="13"/>
  <c r="AA433" i="13"/>
  <c r="AC433" i="13" s="1"/>
  <c r="U433" i="13"/>
  <c r="W433" i="13" s="1"/>
  <c r="Q433" i="13"/>
  <c r="L433" i="13"/>
  <c r="E433" i="13"/>
  <c r="D433" i="13"/>
  <c r="C433" i="13"/>
  <c r="B433" i="13"/>
  <c r="AA432" i="13"/>
  <c r="AB432" i="13" s="1"/>
  <c r="U432" i="13"/>
  <c r="Q432" i="13"/>
  <c r="L432" i="13"/>
  <c r="E432" i="13"/>
  <c r="D432" i="13"/>
  <c r="C432" i="13"/>
  <c r="B432" i="13"/>
  <c r="AA431" i="13"/>
  <c r="AC431" i="13" s="1"/>
  <c r="AD431" i="13" s="1"/>
  <c r="AE431" i="13" s="1"/>
  <c r="U431" i="13"/>
  <c r="W431" i="13" s="1"/>
  <c r="Q431" i="13"/>
  <c r="L431" i="13"/>
  <c r="E431" i="13"/>
  <c r="D431" i="13"/>
  <c r="C431" i="13"/>
  <c r="B431" i="13"/>
  <c r="AA430" i="13"/>
  <c r="U430" i="13"/>
  <c r="W430" i="13" s="1"/>
  <c r="Q430" i="13"/>
  <c r="L430" i="13"/>
  <c r="E430" i="13"/>
  <c r="D430" i="13"/>
  <c r="C430" i="13"/>
  <c r="B430" i="13"/>
  <c r="AA429" i="13"/>
  <c r="AC429" i="13" s="1"/>
  <c r="AD429" i="13" s="1"/>
  <c r="U429" i="13"/>
  <c r="W429" i="13" s="1"/>
  <c r="Q429" i="13"/>
  <c r="L429" i="13"/>
  <c r="E429" i="13"/>
  <c r="D429" i="13"/>
  <c r="C429" i="13"/>
  <c r="B429" i="13"/>
  <c r="AA428" i="13"/>
  <c r="U428" i="13"/>
  <c r="V428" i="13" s="1"/>
  <c r="X428" i="13" s="1"/>
  <c r="Y428" i="13" s="1"/>
  <c r="Q428" i="13"/>
  <c r="L428" i="13"/>
  <c r="E428" i="13"/>
  <c r="D428" i="13"/>
  <c r="C428" i="13"/>
  <c r="B428" i="13"/>
  <c r="AA427" i="13"/>
  <c r="AC427" i="13" s="1"/>
  <c r="U427" i="13"/>
  <c r="W427" i="13" s="1"/>
  <c r="Q427" i="13"/>
  <c r="L427" i="13"/>
  <c r="E427" i="13"/>
  <c r="D427" i="13"/>
  <c r="C427" i="13"/>
  <c r="B427" i="13"/>
  <c r="AA426" i="13"/>
  <c r="AB426" i="13" s="1"/>
  <c r="U426" i="13"/>
  <c r="V426" i="13" s="1"/>
  <c r="X426" i="13" s="1"/>
  <c r="Y426" i="13" s="1"/>
  <c r="Q426" i="13"/>
  <c r="L426" i="13"/>
  <c r="E426" i="13"/>
  <c r="D426" i="13"/>
  <c r="C426" i="13"/>
  <c r="B426" i="13"/>
  <c r="AA425" i="13"/>
  <c r="U425" i="13"/>
  <c r="V425" i="13" s="1"/>
  <c r="X425" i="13" s="1"/>
  <c r="Y425" i="13" s="1"/>
  <c r="Q425" i="13"/>
  <c r="L425" i="13"/>
  <c r="E425" i="13"/>
  <c r="D425" i="13"/>
  <c r="C425" i="13"/>
  <c r="B425" i="13"/>
  <c r="AA424" i="13"/>
  <c r="AB424" i="13" s="1"/>
  <c r="U424" i="13"/>
  <c r="Q424" i="13"/>
  <c r="L424" i="13"/>
  <c r="E424" i="13"/>
  <c r="D424" i="13"/>
  <c r="C424" i="13"/>
  <c r="B424" i="13"/>
  <c r="AA423" i="13"/>
  <c r="AC423" i="13" s="1"/>
  <c r="AD423" i="13" s="1"/>
  <c r="AE423" i="13" s="1"/>
  <c r="U423" i="13"/>
  <c r="W423" i="13" s="1"/>
  <c r="Q423" i="13"/>
  <c r="L423" i="13"/>
  <c r="E423" i="13"/>
  <c r="D423" i="13"/>
  <c r="C423" i="13"/>
  <c r="B423" i="13"/>
  <c r="AA422" i="13"/>
  <c r="AC422" i="13" s="1"/>
  <c r="U422" i="13"/>
  <c r="W422" i="13" s="1"/>
  <c r="Q422" i="13"/>
  <c r="L422" i="13"/>
  <c r="E422" i="13"/>
  <c r="D422" i="13"/>
  <c r="C422" i="13"/>
  <c r="B422" i="13"/>
  <c r="AA421" i="13"/>
  <c r="AC421" i="13" s="1"/>
  <c r="U421" i="13"/>
  <c r="Q421" i="13"/>
  <c r="L421" i="13"/>
  <c r="E421" i="13"/>
  <c r="D421" i="13"/>
  <c r="C421" i="13"/>
  <c r="B421" i="13"/>
  <c r="AA420" i="13"/>
  <c r="AC420" i="13" s="1"/>
  <c r="AD420" i="13" s="1"/>
  <c r="AE420" i="13" s="1"/>
  <c r="U420" i="13"/>
  <c r="W420" i="13" s="1"/>
  <c r="Q420" i="13"/>
  <c r="L420" i="13"/>
  <c r="E420" i="13"/>
  <c r="D420" i="13"/>
  <c r="C420" i="13"/>
  <c r="B420" i="13"/>
  <c r="AA419" i="13"/>
  <c r="AC419" i="13" s="1"/>
  <c r="U419" i="13"/>
  <c r="W419" i="13" s="1"/>
  <c r="Q419" i="13"/>
  <c r="L419" i="13"/>
  <c r="E419" i="13"/>
  <c r="D419" i="13"/>
  <c r="C419" i="13"/>
  <c r="B419" i="13"/>
  <c r="AA418" i="13"/>
  <c r="AB418" i="13" s="1"/>
  <c r="U418" i="13"/>
  <c r="W418" i="13" s="1"/>
  <c r="Q418" i="13"/>
  <c r="L418" i="13"/>
  <c r="E418" i="13"/>
  <c r="D418" i="13"/>
  <c r="C418" i="13"/>
  <c r="B418" i="13"/>
  <c r="AA417" i="13"/>
  <c r="U417" i="13"/>
  <c r="V417" i="13" s="1"/>
  <c r="X417" i="13" s="1"/>
  <c r="Y417" i="13" s="1"/>
  <c r="Q417" i="13"/>
  <c r="L417" i="13"/>
  <c r="E417" i="13"/>
  <c r="D417" i="13"/>
  <c r="C417" i="13"/>
  <c r="B417" i="13"/>
  <c r="AA416" i="13"/>
  <c r="AC416" i="13" s="1"/>
  <c r="AD416" i="13" s="1"/>
  <c r="U416" i="13"/>
  <c r="Q416" i="13"/>
  <c r="L416" i="13"/>
  <c r="E416" i="13"/>
  <c r="D416" i="13"/>
  <c r="C416" i="13"/>
  <c r="B416" i="13"/>
  <c r="AA415" i="13"/>
  <c r="AC415" i="13" s="1"/>
  <c r="U415" i="13"/>
  <c r="V415" i="13" s="1"/>
  <c r="X415" i="13" s="1"/>
  <c r="Y415" i="13" s="1"/>
  <c r="Q415" i="13"/>
  <c r="L415" i="13"/>
  <c r="E415" i="13"/>
  <c r="D415" i="13"/>
  <c r="C415" i="13"/>
  <c r="B415" i="13"/>
  <c r="AA414" i="13"/>
  <c r="AC414" i="13" s="1"/>
  <c r="U414" i="13"/>
  <c r="W414" i="13" s="1"/>
  <c r="Q414" i="13"/>
  <c r="L414" i="13"/>
  <c r="E414" i="13"/>
  <c r="D414" i="13"/>
  <c r="C414" i="13"/>
  <c r="B414" i="13"/>
  <c r="AA413" i="13"/>
  <c r="AC413" i="13" s="1"/>
  <c r="U413" i="13"/>
  <c r="Q413" i="13"/>
  <c r="L413" i="13"/>
  <c r="E413" i="13"/>
  <c r="D413" i="13"/>
  <c r="C413" i="13"/>
  <c r="B413" i="13"/>
  <c r="AA412" i="13"/>
  <c r="AC412" i="13" s="1"/>
  <c r="U412" i="13"/>
  <c r="V412" i="13" s="1"/>
  <c r="X412" i="13" s="1"/>
  <c r="Y412" i="13" s="1"/>
  <c r="Q412" i="13"/>
  <c r="L412" i="13"/>
  <c r="E412" i="13"/>
  <c r="D412" i="13"/>
  <c r="C412" i="13"/>
  <c r="B412" i="13"/>
  <c r="AA411" i="13"/>
  <c r="AC411" i="13" s="1"/>
  <c r="U411" i="13"/>
  <c r="W411" i="13" s="1"/>
  <c r="Q411" i="13"/>
  <c r="L411" i="13"/>
  <c r="E411" i="13"/>
  <c r="D411" i="13"/>
  <c r="C411" i="13"/>
  <c r="B411" i="13"/>
  <c r="AA410" i="13"/>
  <c r="U410" i="13"/>
  <c r="W410" i="13" s="1"/>
  <c r="Q410" i="13"/>
  <c r="L410" i="13"/>
  <c r="E410" i="13"/>
  <c r="D410" i="13"/>
  <c r="C410" i="13"/>
  <c r="B410" i="13"/>
  <c r="AA409" i="13"/>
  <c r="U409" i="13"/>
  <c r="V409" i="13" s="1"/>
  <c r="X409" i="13" s="1"/>
  <c r="Y409" i="13" s="1"/>
  <c r="Q409" i="13"/>
  <c r="L409" i="13"/>
  <c r="E409" i="13"/>
  <c r="D409" i="13"/>
  <c r="C409" i="13"/>
  <c r="B409" i="13"/>
  <c r="AA408" i="13"/>
  <c r="AB408" i="13" s="1"/>
  <c r="U408" i="13"/>
  <c r="Q408" i="13"/>
  <c r="L408" i="13"/>
  <c r="E408" i="13"/>
  <c r="D408" i="13"/>
  <c r="C408" i="13"/>
  <c r="B408" i="13"/>
  <c r="AA407" i="13"/>
  <c r="AC407" i="13" s="1"/>
  <c r="AD407" i="13" s="1"/>
  <c r="AE407" i="13" s="1"/>
  <c r="U407" i="13"/>
  <c r="W407" i="13" s="1"/>
  <c r="Q407" i="13"/>
  <c r="L407" i="13"/>
  <c r="E407" i="13"/>
  <c r="D407" i="13"/>
  <c r="C407" i="13"/>
  <c r="B407" i="13"/>
  <c r="AA406" i="13"/>
  <c r="AC406" i="13" s="1"/>
  <c r="U406" i="13"/>
  <c r="W406" i="13" s="1"/>
  <c r="Q406" i="13"/>
  <c r="L406" i="13"/>
  <c r="E406" i="13"/>
  <c r="D406" i="13"/>
  <c r="C406" i="13"/>
  <c r="B406" i="13"/>
  <c r="AA405" i="13"/>
  <c r="AC405" i="13" s="1"/>
  <c r="U405" i="13"/>
  <c r="W405" i="13" s="1"/>
  <c r="Q405" i="13"/>
  <c r="L405" i="13"/>
  <c r="E405" i="13"/>
  <c r="D405" i="13"/>
  <c r="C405" i="13"/>
  <c r="B405" i="13"/>
  <c r="AA404" i="13"/>
  <c r="AC404" i="13" s="1"/>
  <c r="AD404" i="13" s="1"/>
  <c r="AE404" i="13" s="1"/>
  <c r="U404" i="13"/>
  <c r="W404" i="13" s="1"/>
  <c r="Q404" i="13"/>
  <c r="L404" i="13"/>
  <c r="E404" i="13"/>
  <c r="D404" i="13"/>
  <c r="C404" i="13"/>
  <c r="B404" i="13"/>
  <c r="AA403" i="13"/>
  <c r="AC403" i="13" s="1"/>
  <c r="U403" i="13"/>
  <c r="W403" i="13" s="1"/>
  <c r="Q403" i="13"/>
  <c r="L403" i="13"/>
  <c r="E403" i="13"/>
  <c r="D403" i="13"/>
  <c r="C403" i="13"/>
  <c r="B403" i="13"/>
  <c r="AA402" i="13"/>
  <c r="AC402" i="13" s="1"/>
  <c r="AD402" i="13" s="1"/>
  <c r="U402" i="13"/>
  <c r="W402" i="13" s="1"/>
  <c r="Q402" i="13"/>
  <c r="L402" i="13"/>
  <c r="E402" i="13"/>
  <c r="D402" i="13"/>
  <c r="C402" i="13"/>
  <c r="B402" i="13"/>
  <c r="AA401" i="13"/>
  <c r="U401" i="13"/>
  <c r="W401" i="13" s="1"/>
  <c r="Q401" i="13"/>
  <c r="L401" i="13"/>
  <c r="E401" i="13"/>
  <c r="D401" i="13"/>
  <c r="C401" i="13"/>
  <c r="B401" i="13"/>
  <c r="AA400" i="13"/>
  <c r="AC400" i="13" s="1"/>
  <c r="AD400" i="13" s="1"/>
  <c r="U400" i="13"/>
  <c r="Q400" i="13"/>
  <c r="L400" i="13"/>
  <c r="E400" i="13"/>
  <c r="D400" i="13"/>
  <c r="C400" i="13"/>
  <c r="B400" i="13"/>
  <c r="AA399" i="13"/>
  <c r="AC399" i="13" s="1"/>
  <c r="AD399" i="13" s="1"/>
  <c r="U399" i="13"/>
  <c r="W399" i="13" s="1"/>
  <c r="Q399" i="13"/>
  <c r="L399" i="13"/>
  <c r="E399" i="13"/>
  <c r="D399" i="13"/>
  <c r="C399" i="13"/>
  <c r="B399" i="13"/>
  <c r="AA398" i="13"/>
  <c r="AC398" i="13" s="1"/>
  <c r="U398" i="13"/>
  <c r="W398" i="13" s="1"/>
  <c r="Q398" i="13"/>
  <c r="L398" i="13"/>
  <c r="E398" i="13"/>
  <c r="D398" i="13"/>
  <c r="C398" i="13"/>
  <c r="B398" i="13"/>
  <c r="AA397" i="13"/>
  <c r="AC397" i="13" s="1"/>
  <c r="U397" i="13"/>
  <c r="W397" i="13" s="1"/>
  <c r="Q397" i="13"/>
  <c r="L397" i="13"/>
  <c r="E397" i="13"/>
  <c r="D397" i="13"/>
  <c r="C397" i="13"/>
  <c r="B397" i="13"/>
  <c r="AA396" i="13"/>
  <c r="AC396" i="13" s="1"/>
  <c r="AD396" i="13" s="1"/>
  <c r="AE396" i="13" s="1"/>
  <c r="U396" i="13"/>
  <c r="W396" i="13" s="1"/>
  <c r="Q396" i="13"/>
  <c r="L396" i="13"/>
  <c r="E396" i="13"/>
  <c r="D396" i="13"/>
  <c r="C396" i="13"/>
  <c r="B396" i="13"/>
  <c r="AA395" i="13"/>
  <c r="AB395" i="13" s="1"/>
  <c r="U395" i="13"/>
  <c r="W395" i="13" s="1"/>
  <c r="Q395" i="13"/>
  <c r="L395" i="13"/>
  <c r="E395" i="13"/>
  <c r="D395" i="13"/>
  <c r="C395" i="13"/>
  <c r="B395" i="13"/>
  <c r="AA394" i="13"/>
  <c r="U394" i="13"/>
  <c r="V394" i="13" s="1"/>
  <c r="X394" i="13" s="1"/>
  <c r="Y394" i="13" s="1"/>
  <c r="Q394" i="13"/>
  <c r="L394" i="13"/>
  <c r="E394" i="13"/>
  <c r="D394" i="13"/>
  <c r="C394" i="13"/>
  <c r="B394" i="13"/>
  <c r="AA393" i="13"/>
  <c r="U393" i="13"/>
  <c r="W393" i="13" s="1"/>
  <c r="Q393" i="13"/>
  <c r="L393" i="13"/>
  <c r="E393" i="13"/>
  <c r="D393" i="13"/>
  <c r="C393" i="13"/>
  <c r="B393" i="13"/>
  <c r="AA392" i="13"/>
  <c r="AC392" i="13" s="1"/>
  <c r="U392" i="13"/>
  <c r="Q392" i="13"/>
  <c r="L392" i="13"/>
  <c r="E392" i="13"/>
  <c r="D392" i="13"/>
  <c r="C392" i="13"/>
  <c r="B392" i="13"/>
  <c r="AA391" i="13"/>
  <c r="AC391" i="13" s="1"/>
  <c r="AD391" i="13" s="1"/>
  <c r="AE391" i="13" s="1"/>
  <c r="U391" i="13"/>
  <c r="V391" i="13" s="1"/>
  <c r="X391" i="13" s="1"/>
  <c r="Q391" i="13"/>
  <c r="L391" i="13"/>
  <c r="E391" i="13"/>
  <c r="D391" i="13"/>
  <c r="C391" i="13"/>
  <c r="B391" i="13"/>
  <c r="AA390" i="13"/>
  <c r="AC390" i="13" s="1"/>
  <c r="U390" i="13"/>
  <c r="W390" i="13" s="1"/>
  <c r="Q390" i="13"/>
  <c r="L390" i="13"/>
  <c r="E390" i="13"/>
  <c r="D390" i="13"/>
  <c r="C390" i="13"/>
  <c r="B390" i="13"/>
  <c r="AA389" i="13"/>
  <c r="AB389" i="13" s="1"/>
  <c r="U389" i="13"/>
  <c r="W389" i="13" s="1"/>
  <c r="Q389" i="13"/>
  <c r="L389" i="13"/>
  <c r="E389" i="13"/>
  <c r="D389" i="13"/>
  <c r="C389" i="13"/>
  <c r="B389" i="13"/>
  <c r="AA388" i="13"/>
  <c r="U388" i="13"/>
  <c r="V388" i="13" s="1"/>
  <c r="X388" i="13" s="1"/>
  <c r="Y388" i="13" s="1"/>
  <c r="Q388" i="13"/>
  <c r="L388" i="13"/>
  <c r="E388" i="13"/>
  <c r="D388" i="13"/>
  <c r="C388" i="13"/>
  <c r="B388" i="13"/>
  <c r="AA387" i="13"/>
  <c r="AB387" i="13" s="1"/>
  <c r="U387" i="13"/>
  <c r="W387" i="13" s="1"/>
  <c r="Q387" i="13"/>
  <c r="L387" i="13"/>
  <c r="E387" i="13"/>
  <c r="D387" i="13"/>
  <c r="C387" i="13"/>
  <c r="B387" i="13"/>
  <c r="AA386" i="13"/>
  <c r="AC386" i="13" s="1"/>
  <c r="AD386" i="13" s="1"/>
  <c r="AE386" i="13" s="1"/>
  <c r="U386" i="13"/>
  <c r="W386" i="13" s="1"/>
  <c r="Q386" i="13"/>
  <c r="L386" i="13"/>
  <c r="E386" i="13"/>
  <c r="D386" i="13"/>
  <c r="C386" i="13"/>
  <c r="B386" i="13"/>
  <c r="AA385" i="13"/>
  <c r="U385" i="13"/>
  <c r="V385" i="13" s="1"/>
  <c r="X385" i="13" s="1"/>
  <c r="Y385" i="13" s="1"/>
  <c r="Q385" i="13"/>
  <c r="L385" i="13"/>
  <c r="E385" i="13"/>
  <c r="D385" i="13"/>
  <c r="C385" i="13"/>
  <c r="B385" i="13"/>
  <c r="AA384" i="13"/>
  <c r="AC384" i="13" s="1"/>
  <c r="AD384" i="13" s="1"/>
  <c r="U384" i="13"/>
  <c r="Q384" i="13"/>
  <c r="L384" i="13"/>
  <c r="E384" i="13"/>
  <c r="D384" i="13"/>
  <c r="C384" i="13"/>
  <c r="B384" i="13"/>
  <c r="AA383" i="13"/>
  <c r="AC383" i="13" s="1"/>
  <c r="U383" i="13"/>
  <c r="V383" i="13" s="1"/>
  <c r="X383" i="13" s="1"/>
  <c r="Y383" i="13" s="1"/>
  <c r="Q383" i="13"/>
  <c r="L383" i="13"/>
  <c r="E383" i="13"/>
  <c r="D383" i="13"/>
  <c r="C383" i="13"/>
  <c r="B383" i="13"/>
  <c r="AA382" i="13"/>
  <c r="AC382" i="13" s="1"/>
  <c r="U382" i="13"/>
  <c r="W382" i="13" s="1"/>
  <c r="Q382" i="13"/>
  <c r="L382" i="13"/>
  <c r="E382" i="13"/>
  <c r="D382" i="13"/>
  <c r="C382" i="13"/>
  <c r="B382" i="13"/>
  <c r="AA381" i="13"/>
  <c r="AC381" i="13" s="1"/>
  <c r="U381" i="13"/>
  <c r="W381" i="13" s="1"/>
  <c r="Q381" i="13"/>
  <c r="L381" i="13"/>
  <c r="E381" i="13"/>
  <c r="D381" i="13"/>
  <c r="C381" i="13"/>
  <c r="B381" i="13"/>
  <c r="AA380" i="13"/>
  <c r="AC380" i="13" s="1"/>
  <c r="AD380" i="13" s="1"/>
  <c r="AE380" i="13" s="1"/>
  <c r="U380" i="13"/>
  <c r="V380" i="13" s="1"/>
  <c r="X380" i="13" s="1"/>
  <c r="Q380" i="13"/>
  <c r="L380" i="13"/>
  <c r="E380" i="13"/>
  <c r="D380" i="13"/>
  <c r="C380" i="13"/>
  <c r="B380" i="13"/>
  <c r="AA379" i="13"/>
  <c r="AC379" i="13" s="1"/>
  <c r="U379" i="13"/>
  <c r="Q379" i="13"/>
  <c r="L379" i="13"/>
  <c r="E379" i="13"/>
  <c r="D379" i="13"/>
  <c r="C379" i="13"/>
  <c r="B379" i="13"/>
  <c r="AA378" i="13"/>
  <c r="U378" i="13"/>
  <c r="W378" i="13" s="1"/>
  <c r="Q378" i="13"/>
  <c r="L378" i="13"/>
  <c r="E378" i="13"/>
  <c r="D378" i="13"/>
  <c r="C378" i="13"/>
  <c r="B378" i="13"/>
  <c r="AA377" i="13"/>
  <c r="AB377" i="13" s="1"/>
  <c r="U377" i="13"/>
  <c r="V377" i="13" s="1"/>
  <c r="X377" i="13" s="1"/>
  <c r="Y377" i="13" s="1"/>
  <c r="Q377" i="13"/>
  <c r="L377" i="13"/>
  <c r="E377" i="13"/>
  <c r="D377" i="13"/>
  <c r="C377" i="13"/>
  <c r="B377" i="13"/>
  <c r="AA376" i="13"/>
  <c r="AC376" i="13" s="1"/>
  <c r="AD376" i="13" s="1"/>
  <c r="U376" i="13"/>
  <c r="V376" i="13" s="1"/>
  <c r="X376" i="13" s="1"/>
  <c r="Y376" i="13" s="1"/>
  <c r="Q376" i="13"/>
  <c r="L376" i="13"/>
  <c r="E376" i="13"/>
  <c r="D376" i="13"/>
  <c r="C376" i="13"/>
  <c r="B376" i="13"/>
  <c r="AA375" i="13"/>
  <c r="U375" i="13"/>
  <c r="W375" i="13" s="1"/>
  <c r="Q375" i="13"/>
  <c r="L375" i="13"/>
  <c r="E375" i="13"/>
  <c r="D375" i="13"/>
  <c r="C375" i="13"/>
  <c r="B375" i="13"/>
  <c r="AA374" i="13"/>
  <c r="AC374" i="13" s="1"/>
  <c r="U374" i="13"/>
  <c r="Q374" i="13"/>
  <c r="L374" i="13"/>
  <c r="E374" i="13"/>
  <c r="D374" i="13"/>
  <c r="C374" i="13"/>
  <c r="B374" i="13"/>
  <c r="AA373" i="13"/>
  <c r="U373" i="13"/>
  <c r="W373" i="13" s="1"/>
  <c r="Q373" i="13"/>
  <c r="L373" i="13"/>
  <c r="E373" i="13"/>
  <c r="D373" i="13"/>
  <c r="C373" i="13"/>
  <c r="B373" i="13"/>
  <c r="AA372" i="13"/>
  <c r="AC372" i="13" s="1"/>
  <c r="AD372" i="13" s="1"/>
  <c r="U372" i="13"/>
  <c r="Q372" i="13"/>
  <c r="L372" i="13"/>
  <c r="E372" i="13"/>
  <c r="D372" i="13"/>
  <c r="C372" i="13"/>
  <c r="B372" i="13"/>
  <c r="AA371" i="13"/>
  <c r="AC371" i="13" s="1"/>
  <c r="U371" i="13"/>
  <c r="W371" i="13" s="1"/>
  <c r="Q371" i="13"/>
  <c r="L371" i="13"/>
  <c r="E371" i="13"/>
  <c r="D371" i="13"/>
  <c r="C371" i="13"/>
  <c r="B371" i="13"/>
  <c r="AA370" i="13"/>
  <c r="AB370" i="13" s="1"/>
  <c r="U370" i="13"/>
  <c r="W370" i="13" s="1"/>
  <c r="Q370" i="13"/>
  <c r="L370" i="13"/>
  <c r="E370" i="13"/>
  <c r="D370" i="13"/>
  <c r="C370" i="13"/>
  <c r="B370" i="13"/>
  <c r="AA369" i="13"/>
  <c r="AB369" i="13" s="1"/>
  <c r="U369" i="13"/>
  <c r="Q369" i="13"/>
  <c r="L369" i="13"/>
  <c r="E369" i="13"/>
  <c r="D369" i="13"/>
  <c r="C369" i="13"/>
  <c r="B369" i="13"/>
  <c r="AA368" i="13"/>
  <c r="AB368" i="13" s="1"/>
  <c r="U368" i="13"/>
  <c r="V368" i="13" s="1"/>
  <c r="X368" i="13" s="1"/>
  <c r="Y368" i="13" s="1"/>
  <c r="L368" i="13"/>
  <c r="E368" i="13"/>
  <c r="D368" i="13"/>
  <c r="C368" i="13"/>
  <c r="B368" i="13"/>
  <c r="AA367" i="13"/>
  <c r="AC367" i="13" s="1"/>
  <c r="U367" i="13"/>
  <c r="W367" i="13" s="1"/>
  <c r="L367" i="13"/>
  <c r="E367" i="13"/>
  <c r="D367" i="13"/>
  <c r="C367" i="13"/>
  <c r="B367" i="13"/>
  <c r="AA366" i="13"/>
  <c r="U366" i="13"/>
  <c r="W366" i="13" s="1"/>
  <c r="L366" i="13"/>
  <c r="E366" i="13"/>
  <c r="D366" i="13"/>
  <c r="C366" i="13"/>
  <c r="B366" i="13"/>
  <c r="AA365" i="13"/>
  <c r="AC365" i="13" s="1"/>
  <c r="AD365" i="13" s="1"/>
  <c r="AE365" i="13" s="1"/>
  <c r="U365" i="13"/>
  <c r="V365" i="13" s="1"/>
  <c r="X365" i="13" s="1"/>
  <c r="L365" i="13"/>
  <c r="E365" i="13"/>
  <c r="D365" i="13"/>
  <c r="C365" i="13"/>
  <c r="B365" i="13"/>
  <c r="AA364" i="13"/>
  <c r="AC364" i="13" s="1"/>
  <c r="U364" i="13"/>
  <c r="V364" i="13" s="1"/>
  <c r="X364" i="13" s="1"/>
  <c r="Y364" i="13" s="1"/>
  <c r="L364" i="13"/>
  <c r="E364" i="13"/>
  <c r="D364" i="13"/>
  <c r="C364" i="13"/>
  <c r="B364" i="13"/>
  <c r="AA363" i="13"/>
  <c r="AC363" i="13" s="1"/>
  <c r="AD363" i="13" s="1"/>
  <c r="U363" i="13"/>
  <c r="L363" i="13"/>
  <c r="E363" i="13"/>
  <c r="D363" i="13"/>
  <c r="C363" i="13"/>
  <c r="B363" i="13"/>
  <c r="AA362" i="13"/>
  <c r="U362" i="13"/>
  <c r="W362" i="13" s="1"/>
  <c r="L362" i="13"/>
  <c r="E362" i="13"/>
  <c r="D362" i="13"/>
  <c r="C362" i="13"/>
  <c r="B362" i="13"/>
  <c r="AA361" i="13"/>
  <c r="AC361" i="13" s="1"/>
  <c r="U361" i="13"/>
  <c r="L361" i="13"/>
  <c r="E361" i="13"/>
  <c r="D361" i="13"/>
  <c r="C361" i="13"/>
  <c r="B361" i="13"/>
  <c r="AA360" i="13"/>
  <c r="AC360" i="13" s="1"/>
  <c r="AD360" i="13" s="1"/>
  <c r="AE360" i="13" s="1"/>
  <c r="U360" i="13"/>
  <c r="W360" i="13" s="1"/>
  <c r="L360" i="13"/>
  <c r="E360" i="13"/>
  <c r="D360" i="13"/>
  <c r="C360" i="13"/>
  <c r="B360" i="13"/>
  <c r="AA359" i="13"/>
  <c r="AC359" i="13" s="1"/>
  <c r="U359" i="13"/>
  <c r="W359" i="13" s="1"/>
  <c r="L359" i="13"/>
  <c r="E359" i="13"/>
  <c r="D359" i="13"/>
  <c r="C359" i="13"/>
  <c r="B359" i="13"/>
  <c r="AA358" i="13"/>
  <c r="AB358" i="13" s="1"/>
  <c r="U358" i="13"/>
  <c r="L358" i="13"/>
  <c r="E358" i="13"/>
  <c r="D358" i="13"/>
  <c r="C358" i="13"/>
  <c r="B358" i="13"/>
  <c r="AA357" i="13"/>
  <c r="U357" i="13"/>
  <c r="V357" i="13" s="1"/>
  <c r="X357" i="13" s="1"/>
  <c r="Y357" i="13" s="1"/>
  <c r="L357" i="13"/>
  <c r="E357" i="13"/>
  <c r="D357" i="13"/>
  <c r="C357" i="13"/>
  <c r="B357" i="13"/>
  <c r="AA356" i="13"/>
  <c r="AC356" i="13" s="1"/>
  <c r="U356" i="13"/>
  <c r="V356" i="13" s="1"/>
  <c r="X356" i="13" s="1"/>
  <c r="Y356" i="13" s="1"/>
  <c r="L356" i="13"/>
  <c r="E356" i="13"/>
  <c r="D356" i="13"/>
  <c r="C356" i="13"/>
  <c r="B356" i="13"/>
  <c r="AA355" i="13"/>
  <c r="AC355" i="13" s="1"/>
  <c r="AD355" i="13" s="1"/>
  <c r="U355" i="13"/>
  <c r="W355" i="13" s="1"/>
  <c r="L355" i="13"/>
  <c r="E355" i="13"/>
  <c r="D355" i="13"/>
  <c r="C355" i="13"/>
  <c r="B355" i="13"/>
  <c r="AA354" i="13"/>
  <c r="U354" i="13"/>
  <c r="W354" i="13" s="1"/>
  <c r="L354" i="13"/>
  <c r="E354" i="13"/>
  <c r="D354" i="13"/>
  <c r="C354" i="13"/>
  <c r="B354" i="13"/>
  <c r="AA353" i="13"/>
  <c r="AC353" i="13" s="1"/>
  <c r="U353" i="13"/>
  <c r="L353" i="13"/>
  <c r="E353" i="13"/>
  <c r="D353" i="13"/>
  <c r="C353" i="13"/>
  <c r="B353" i="13"/>
  <c r="AA352" i="13"/>
  <c r="AC352" i="13" s="1"/>
  <c r="AD352" i="13" s="1"/>
  <c r="U352" i="13"/>
  <c r="W352" i="13" s="1"/>
  <c r="L352" i="13"/>
  <c r="E352" i="13"/>
  <c r="D352" i="13"/>
  <c r="C352" i="13"/>
  <c r="B352" i="13"/>
  <c r="AA351" i="13"/>
  <c r="U351" i="13"/>
  <c r="W351" i="13" s="1"/>
  <c r="L351" i="13"/>
  <c r="E351" i="13"/>
  <c r="D351" i="13"/>
  <c r="C351" i="13"/>
  <c r="B351" i="13"/>
  <c r="AA350" i="13"/>
  <c r="U350" i="13"/>
  <c r="W350" i="13" s="1"/>
  <c r="L350" i="13"/>
  <c r="E350" i="13"/>
  <c r="D350" i="13"/>
  <c r="C350" i="13"/>
  <c r="B350" i="13"/>
  <c r="AA349" i="13"/>
  <c r="AC349" i="13" s="1"/>
  <c r="AD349" i="13" s="1"/>
  <c r="AE349" i="13" s="1"/>
  <c r="U349" i="13"/>
  <c r="V349" i="13" s="1"/>
  <c r="X349" i="13" s="1"/>
  <c r="L349" i="13"/>
  <c r="E349" i="13"/>
  <c r="D349" i="13"/>
  <c r="C349" i="13"/>
  <c r="B349" i="13"/>
  <c r="AA348" i="13"/>
  <c r="AC348" i="13" s="1"/>
  <c r="U348" i="13"/>
  <c r="W348" i="13" s="1"/>
  <c r="L348" i="13"/>
  <c r="E348" i="13"/>
  <c r="D348" i="13"/>
  <c r="C348" i="13"/>
  <c r="B348" i="13"/>
  <c r="AA347" i="13"/>
  <c r="AC347" i="13" s="1"/>
  <c r="AD347" i="13" s="1"/>
  <c r="AE347" i="13" s="1"/>
  <c r="U347" i="13"/>
  <c r="W347" i="13" s="1"/>
  <c r="L347" i="13"/>
  <c r="E347" i="13"/>
  <c r="D347" i="13"/>
  <c r="C347" i="13"/>
  <c r="B347" i="13"/>
  <c r="AA346" i="13"/>
  <c r="U346" i="13"/>
  <c r="W346" i="13" s="1"/>
  <c r="L346" i="13"/>
  <c r="E346" i="13"/>
  <c r="D346" i="13"/>
  <c r="C346" i="13"/>
  <c r="B346" i="13"/>
  <c r="AA345" i="13"/>
  <c r="AC345" i="13" s="1"/>
  <c r="AD345" i="13" s="1"/>
  <c r="U345" i="13"/>
  <c r="L345" i="13"/>
  <c r="E345" i="13"/>
  <c r="D345" i="13"/>
  <c r="C345" i="13"/>
  <c r="B345" i="13"/>
  <c r="AA344" i="13"/>
  <c r="AC344" i="13" s="1"/>
  <c r="AD344" i="13" s="1"/>
  <c r="AE344" i="13" s="1"/>
  <c r="U344" i="13"/>
  <c r="W344" i="13" s="1"/>
  <c r="L344" i="13"/>
  <c r="E344" i="13"/>
  <c r="D344" i="13"/>
  <c r="C344" i="13"/>
  <c r="B344" i="13"/>
  <c r="AA343" i="13"/>
  <c r="AC343" i="13" s="1"/>
  <c r="U343" i="13"/>
  <c r="W343" i="13" s="1"/>
  <c r="L343" i="13"/>
  <c r="E343" i="13"/>
  <c r="D343" i="13"/>
  <c r="C343" i="13"/>
  <c r="B343" i="13"/>
  <c r="AA342" i="13"/>
  <c r="AB342" i="13" s="1"/>
  <c r="U342" i="13"/>
  <c r="W342" i="13" s="1"/>
  <c r="L342" i="13"/>
  <c r="E342" i="13"/>
  <c r="D342" i="13"/>
  <c r="C342" i="13"/>
  <c r="B342" i="13"/>
  <c r="AA341" i="13"/>
  <c r="AC341" i="13" s="1"/>
  <c r="AD341" i="13" s="1"/>
  <c r="AE341" i="13" s="1"/>
  <c r="U341" i="13"/>
  <c r="V341" i="13" s="1"/>
  <c r="X341" i="13" s="1"/>
  <c r="L341" i="13"/>
  <c r="E341" i="13"/>
  <c r="D341" i="13"/>
  <c r="C341" i="13"/>
  <c r="B341" i="13"/>
  <c r="AA340" i="13"/>
  <c r="AC340" i="13" s="1"/>
  <c r="U340" i="13"/>
  <c r="W340" i="13" s="1"/>
  <c r="L340" i="13"/>
  <c r="E340" i="13"/>
  <c r="D340" i="13"/>
  <c r="C340" i="13"/>
  <c r="B340" i="13"/>
  <c r="AA339" i="13"/>
  <c r="AC339" i="13" s="1"/>
  <c r="U339" i="13"/>
  <c r="W339" i="13" s="1"/>
  <c r="L339" i="13"/>
  <c r="E339" i="13"/>
  <c r="D339" i="13"/>
  <c r="C339" i="13"/>
  <c r="B339" i="13"/>
  <c r="AA338" i="13"/>
  <c r="U338" i="13"/>
  <c r="W338" i="13" s="1"/>
  <c r="L338" i="13"/>
  <c r="E338" i="13"/>
  <c r="D338" i="13"/>
  <c r="C338" i="13"/>
  <c r="B338" i="13"/>
  <c r="AA337" i="13"/>
  <c r="AC337" i="13" s="1"/>
  <c r="AD337" i="13" s="1"/>
  <c r="U337" i="13"/>
  <c r="L337" i="13"/>
  <c r="E337" i="13"/>
  <c r="D337" i="13"/>
  <c r="C337" i="13"/>
  <c r="B337" i="13"/>
  <c r="AA336" i="13"/>
  <c r="AC336" i="13" s="1"/>
  <c r="AD336" i="13" s="1"/>
  <c r="U336" i="13"/>
  <c r="V336" i="13" s="1"/>
  <c r="X336" i="13" s="1"/>
  <c r="Y336" i="13" s="1"/>
  <c r="L336" i="13"/>
  <c r="E336" i="13"/>
  <c r="D336" i="13"/>
  <c r="C336" i="13"/>
  <c r="B336" i="13"/>
  <c r="AA335" i="13"/>
  <c r="AC335" i="13" s="1"/>
  <c r="U335" i="13"/>
  <c r="W335" i="13" s="1"/>
  <c r="L335" i="13"/>
  <c r="E335" i="13"/>
  <c r="D335" i="13"/>
  <c r="C335" i="13"/>
  <c r="B335" i="13"/>
  <c r="AA334" i="13"/>
  <c r="AB334" i="13" s="1"/>
  <c r="U334" i="13"/>
  <c r="W334" i="13" s="1"/>
  <c r="L334" i="13"/>
  <c r="E334" i="13"/>
  <c r="D334" i="13"/>
  <c r="C334" i="13"/>
  <c r="B334" i="13"/>
  <c r="AA333" i="13"/>
  <c r="AB333" i="13" s="1"/>
  <c r="U333" i="13"/>
  <c r="L333" i="13"/>
  <c r="E333" i="13"/>
  <c r="D333" i="13"/>
  <c r="C333" i="13"/>
  <c r="B333" i="13"/>
  <c r="AA332" i="13"/>
  <c r="U332" i="13"/>
  <c r="W332" i="13" s="1"/>
  <c r="L332" i="13"/>
  <c r="E332" i="13"/>
  <c r="D332" i="13"/>
  <c r="C332" i="13"/>
  <c r="B332" i="13"/>
  <c r="AA331" i="13"/>
  <c r="AC331" i="13" s="1"/>
  <c r="AD331" i="13" s="1"/>
  <c r="U331" i="13"/>
  <c r="L331" i="13"/>
  <c r="E331" i="13"/>
  <c r="D331" i="13"/>
  <c r="C331" i="13"/>
  <c r="B331" i="13"/>
  <c r="AA330" i="13"/>
  <c r="U330" i="13"/>
  <c r="W330" i="13" s="1"/>
  <c r="L330" i="13"/>
  <c r="E330" i="13"/>
  <c r="D330" i="13"/>
  <c r="C330" i="13"/>
  <c r="B330" i="13"/>
  <c r="AA329" i="13"/>
  <c r="AC329" i="13" s="1"/>
  <c r="AD329" i="13" s="1"/>
  <c r="U329" i="13"/>
  <c r="L329" i="13"/>
  <c r="E329" i="13"/>
  <c r="D329" i="13"/>
  <c r="C329" i="13"/>
  <c r="B329" i="13"/>
  <c r="AA328" i="13"/>
  <c r="AC328" i="13" s="1"/>
  <c r="U328" i="13"/>
  <c r="W328" i="13" s="1"/>
  <c r="L328" i="13"/>
  <c r="E328" i="13"/>
  <c r="D328" i="13"/>
  <c r="C328" i="13"/>
  <c r="B328" i="13"/>
  <c r="AA327" i="13"/>
  <c r="AC327" i="13" s="1"/>
  <c r="U327" i="13"/>
  <c r="W327" i="13" s="1"/>
  <c r="L327" i="13"/>
  <c r="E327" i="13"/>
  <c r="D327" i="13"/>
  <c r="C327" i="13"/>
  <c r="B327" i="13"/>
  <c r="AA326" i="13"/>
  <c r="AB326" i="13" s="1"/>
  <c r="U326" i="13"/>
  <c r="W326" i="13" s="1"/>
  <c r="L326" i="13"/>
  <c r="E326" i="13"/>
  <c r="D326" i="13"/>
  <c r="C326" i="13"/>
  <c r="B326" i="13"/>
  <c r="AA325" i="13"/>
  <c r="AC325" i="13" s="1"/>
  <c r="AD325" i="13" s="1"/>
  <c r="AE325" i="13" s="1"/>
  <c r="U325" i="13"/>
  <c r="L325" i="13"/>
  <c r="E325" i="13"/>
  <c r="D325" i="13"/>
  <c r="C325" i="13"/>
  <c r="B325" i="13"/>
  <c r="AA324" i="13"/>
  <c r="U324" i="13"/>
  <c r="V324" i="13" s="1"/>
  <c r="X324" i="13" s="1"/>
  <c r="Y324" i="13" s="1"/>
  <c r="L324" i="13"/>
  <c r="E324" i="13"/>
  <c r="D324" i="13"/>
  <c r="C324" i="13"/>
  <c r="B324" i="13"/>
  <c r="AA323" i="13"/>
  <c r="AC323" i="13" s="1"/>
  <c r="U323" i="13"/>
  <c r="W323" i="13" s="1"/>
  <c r="L323" i="13"/>
  <c r="E323" i="13"/>
  <c r="D323" i="13"/>
  <c r="C323" i="13"/>
  <c r="B323" i="13"/>
  <c r="AA322" i="13"/>
  <c r="U322" i="13"/>
  <c r="W322" i="13" s="1"/>
  <c r="L322" i="13"/>
  <c r="E322" i="13"/>
  <c r="D322" i="13"/>
  <c r="C322" i="13"/>
  <c r="B322" i="13"/>
  <c r="AA321" i="13"/>
  <c r="AC321" i="13" s="1"/>
  <c r="AD321" i="13" s="1"/>
  <c r="U321" i="13"/>
  <c r="V321" i="13" s="1"/>
  <c r="X321" i="13" s="1"/>
  <c r="Y321" i="13" s="1"/>
  <c r="L321" i="13"/>
  <c r="E321" i="13"/>
  <c r="D321" i="13"/>
  <c r="C321" i="13"/>
  <c r="B321" i="13"/>
  <c r="AA320" i="13"/>
  <c r="U320" i="13"/>
  <c r="L320" i="13"/>
  <c r="E320" i="13"/>
  <c r="D320" i="13"/>
  <c r="C320" i="13"/>
  <c r="B320" i="13"/>
  <c r="AA319" i="13"/>
  <c r="AC319" i="13" s="1"/>
  <c r="U319" i="13"/>
  <c r="L319" i="13"/>
  <c r="E319" i="13"/>
  <c r="D319" i="13"/>
  <c r="C319" i="13"/>
  <c r="B319" i="13"/>
  <c r="AA318" i="13"/>
  <c r="AB318" i="13" s="1"/>
  <c r="U318" i="13"/>
  <c r="W318" i="13" s="1"/>
  <c r="L318" i="13"/>
  <c r="E318" i="13"/>
  <c r="D318" i="13"/>
  <c r="C318" i="13"/>
  <c r="B318" i="13"/>
  <c r="AA317" i="13"/>
  <c r="AB317" i="13" s="1"/>
  <c r="U317" i="13"/>
  <c r="V317" i="13" s="1"/>
  <c r="X317" i="13" s="1"/>
  <c r="Y317" i="13" s="1"/>
  <c r="L317" i="13"/>
  <c r="E317" i="13"/>
  <c r="D317" i="13"/>
  <c r="C317" i="13"/>
  <c r="B317" i="13"/>
  <c r="AA316" i="13"/>
  <c r="U316" i="13"/>
  <c r="V316" i="13" s="1"/>
  <c r="X316" i="13" s="1"/>
  <c r="Y316" i="13" s="1"/>
  <c r="L316" i="13"/>
  <c r="E316" i="13"/>
  <c r="D316" i="13"/>
  <c r="C316" i="13"/>
  <c r="B316" i="13"/>
  <c r="AA315" i="13"/>
  <c r="AC315" i="13" s="1"/>
  <c r="AD315" i="13" s="1"/>
  <c r="U315" i="13"/>
  <c r="W315" i="13" s="1"/>
  <c r="L315" i="13"/>
  <c r="E315" i="13"/>
  <c r="D315" i="13"/>
  <c r="C315" i="13"/>
  <c r="B315" i="13"/>
  <c r="AA314" i="13"/>
  <c r="U314" i="13"/>
  <c r="W314" i="13" s="1"/>
  <c r="L314" i="13"/>
  <c r="E314" i="13"/>
  <c r="D314" i="13"/>
  <c r="C314" i="13"/>
  <c r="B314" i="13"/>
  <c r="AA313" i="13"/>
  <c r="AC313" i="13" s="1"/>
  <c r="U313" i="13"/>
  <c r="L313" i="13"/>
  <c r="E313" i="13"/>
  <c r="D313" i="13"/>
  <c r="C313" i="13"/>
  <c r="B313" i="13"/>
  <c r="AA312" i="13"/>
  <c r="U312" i="13"/>
  <c r="W312" i="13" s="1"/>
  <c r="L312" i="13"/>
  <c r="E312" i="13"/>
  <c r="D312" i="13"/>
  <c r="C312" i="13"/>
  <c r="B312" i="13"/>
  <c r="AA311" i="13"/>
  <c r="U311" i="13"/>
  <c r="L311" i="13"/>
  <c r="E311" i="13"/>
  <c r="D311" i="13"/>
  <c r="C311" i="13"/>
  <c r="B311" i="13"/>
  <c r="AA310" i="13"/>
  <c r="U310" i="13"/>
  <c r="W310" i="13" s="1"/>
  <c r="L310" i="13"/>
  <c r="E310" i="13"/>
  <c r="D310" i="13"/>
  <c r="C310" i="13"/>
  <c r="B310" i="13"/>
  <c r="AA309" i="13"/>
  <c r="AC309" i="13" s="1"/>
  <c r="AD309" i="13" s="1"/>
  <c r="AE309" i="13" s="1"/>
  <c r="U309" i="13"/>
  <c r="L309" i="13"/>
  <c r="E309" i="13"/>
  <c r="D309" i="13"/>
  <c r="C309" i="13"/>
  <c r="B309" i="13"/>
  <c r="AA308" i="13"/>
  <c r="AC308" i="13" s="1"/>
  <c r="U308" i="13"/>
  <c r="V308" i="13" s="1"/>
  <c r="X308" i="13" s="1"/>
  <c r="Y308" i="13" s="1"/>
  <c r="L308" i="13"/>
  <c r="E308" i="13"/>
  <c r="D308" i="13"/>
  <c r="C308" i="13"/>
  <c r="B308" i="13"/>
  <c r="AA307" i="13"/>
  <c r="AC307" i="13" s="1"/>
  <c r="AD307" i="13" s="1"/>
  <c r="AE307" i="13" s="1"/>
  <c r="U307" i="13"/>
  <c r="W307" i="13" s="1"/>
  <c r="L307" i="13"/>
  <c r="E307" i="13"/>
  <c r="D307" i="13"/>
  <c r="C307" i="13"/>
  <c r="B307" i="13"/>
  <c r="AA306" i="13"/>
  <c r="AB306" i="13" s="1"/>
  <c r="U306" i="13"/>
  <c r="W306" i="13" s="1"/>
  <c r="L306" i="13"/>
  <c r="E306" i="13"/>
  <c r="D306" i="13"/>
  <c r="C306" i="13"/>
  <c r="B306" i="13"/>
  <c r="AA305" i="13"/>
  <c r="AC305" i="13" s="1"/>
  <c r="AD305" i="13" s="1"/>
  <c r="U305" i="13"/>
  <c r="V305" i="13" s="1"/>
  <c r="X305" i="13" s="1"/>
  <c r="Y305" i="13" s="1"/>
  <c r="L305" i="13"/>
  <c r="E305" i="13"/>
  <c r="D305" i="13"/>
  <c r="C305" i="13"/>
  <c r="B305" i="13"/>
  <c r="AA304" i="13"/>
  <c r="U304" i="13"/>
  <c r="W304" i="13" s="1"/>
  <c r="L304" i="13"/>
  <c r="E304" i="13"/>
  <c r="D304" i="13"/>
  <c r="C304" i="13"/>
  <c r="B304" i="13"/>
  <c r="AA303" i="13"/>
  <c r="AC303" i="13" s="1"/>
  <c r="AD303" i="13" s="1"/>
  <c r="U303" i="13"/>
  <c r="L303" i="13"/>
  <c r="E303" i="13"/>
  <c r="D303" i="13"/>
  <c r="C303" i="13"/>
  <c r="B303" i="13"/>
  <c r="AA302" i="13"/>
  <c r="AC302" i="13" s="1"/>
  <c r="AD302" i="13" s="1"/>
  <c r="U302" i="13"/>
  <c r="W302" i="13" s="1"/>
  <c r="L302" i="13"/>
  <c r="E302" i="13"/>
  <c r="D302" i="13"/>
  <c r="C302" i="13"/>
  <c r="B302" i="13"/>
  <c r="AA301" i="13"/>
  <c r="AC301" i="13" s="1"/>
  <c r="AD301" i="13" s="1"/>
  <c r="AE301" i="13" s="1"/>
  <c r="U301" i="13"/>
  <c r="W301" i="13" s="1"/>
  <c r="L301" i="13"/>
  <c r="E301" i="13"/>
  <c r="D301" i="13"/>
  <c r="C301" i="13"/>
  <c r="B301" i="13"/>
  <c r="AA300" i="13"/>
  <c r="AC300" i="13" s="1"/>
  <c r="U300" i="13"/>
  <c r="W300" i="13" s="1"/>
  <c r="L300" i="13"/>
  <c r="E300" i="13"/>
  <c r="D300" i="13"/>
  <c r="C300" i="13"/>
  <c r="B300" i="13"/>
  <c r="AA299" i="13"/>
  <c r="AC299" i="13" s="1"/>
  <c r="AD299" i="13" s="1"/>
  <c r="AE299" i="13" s="1"/>
  <c r="U299" i="13"/>
  <c r="W299" i="13" s="1"/>
  <c r="L299" i="13"/>
  <c r="E299" i="13"/>
  <c r="D299" i="13"/>
  <c r="C299" i="13"/>
  <c r="B299" i="13"/>
  <c r="AA298" i="13"/>
  <c r="AB298" i="13" s="1"/>
  <c r="U298" i="13"/>
  <c r="W298" i="13" s="1"/>
  <c r="L298" i="13"/>
  <c r="E298" i="13"/>
  <c r="D298" i="13"/>
  <c r="C298" i="13"/>
  <c r="B298" i="13"/>
  <c r="AA297" i="13"/>
  <c r="AC297" i="13" s="1"/>
  <c r="AD297" i="13" s="1"/>
  <c r="U297" i="13"/>
  <c r="V297" i="13" s="1"/>
  <c r="X297" i="13" s="1"/>
  <c r="Y297" i="13" s="1"/>
  <c r="L297" i="13"/>
  <c r="E297" i="13"/>
  <c r="D297" i="13"/>
  <c r="C297" i="13"/>
  <c r="B297" i="13"/>
  <c r="AA296" i="13"/>
  <c r="U296" i="13"/>
  <c r="W296" i="13" s="1"/>
  <c r="L296" i="13"/>
  <c r="E296" i="13"/>
  <c r="D296" i="13"/>
  <c r="C296" i="13"/>
  <c r="B296" i="13"/>
  <c r="AA295" i="13"/>
  <c r="AC295" i="13" s="1"/>
  <c r="AD295" i="13" s="1"/>
  <c r="U295" i="13"/>
  <c r="L295" i="13"/>
  <c r="E295" i="13"/>
  <c r="D295" i="13"/>
  <c r="C295" i="13"/>
  <c r="B295" i="13"/>
  <c r="AA294" i="13"/>
  <c r="AC294" i="13" s="1"/>
  <c r="AD294" i="13" s="1"/>
  <c r="U294" i="13"/>
  <c r="W294" i="13" s="1"/>
  <c r="L294" i="13"/>
  <c r="E294" i="13"/>
  <c r="D294" i="13"/>
  <c r="C294" i="13"/>
  <c r="B294" i="13"/>
  <c r="AA293" i="13"/>
  <c r="AC293" i="13" s="1"/>
  <c r="AD293" i="13" s="1"/>
  <c r="AE293" i="13" s="1"/>
  <c r="U293" i="13"/>
  <c r="V293" i="13" s="1"/>
  <c r="X293" i="13" s="1"/>
  <c r="Y293" i="13" s="1"/>
  <c r="L293" i="13"/>
  <c r="E293" i="13"/>
  <c r="D293" i="13"/>
  <c r="C293" i="13"/>
  <c r="B293" i="13"/>
  <c r="AA292" i="13"/>
  <c r="U292" i="13"/>
  <c r="W292" i="13" s="1"/>
  <c r="L292" i="13"/>
  <c r="E292" i="13"/>
  <c r="D292" i="13"/>
  <c r="C292" i="13"/>
  <c r="B292" i="13"/>
  <c r="AA291" i="13"/>
  <c r="U291" i="13"/>
  <c r="W291" i="13" s="1"/>
  <c r="L291" i="13"/>
  <c r="E291" i="13"/>
  <c r="D291" i="13"/>
  <c r="C291" i="13"/>
  <c r="B291" i="13"/>
  <c r="AA290" i="13"/>
  <c r="AB290" i="13" s="1"/>
  <c r="U290" i="13"/>
  <c r="V290" i="13" s="1"/>
  <c r="X290" i="13" s="1"/>
  <c r="Y290" i="13" s="1"/>
  <c r="L290" i="13"/>
  <c r="E290" i="13"/>
  <c r="D290" i="13"/>
  <c r="C290" i="13"/>
  <c r="B290" i="13"/>
  <c r="AA289" i="13"/>
  <c r="AC289" i="13" s="1"/>
  <c r="AD289" i="13" s="1"/>
  <c r="AE289" i="13" s="1"/>
  <c r="U289" i="13"/>
  <c r="V289" i="13" s="1"/>
  <c r="X289" i="13" s="1"/>
  <c r="Y289" i="13" s="1"/>
  <c r="L289" i="13"/>
  <c r="E289" i="13"/>
  <c r="D289" i="13"/>
  <c r="C289" i="13"/>
  <c r="B289" i="13"/>
  <c r="AA288" i="13"/>
  <c r="AC288" i="13" s="1"/>
  <c r="AD288" i="13" s="1"/>
  <c r="AE288" i="13" s="1"/>
  <c r="U288" i="13"/>
  <c r="W288" i="13" s="1"/>
  <c r="L288" i="13"/>
  <c r="E288" i="13"/>
  <c r="D288" i="13"/>
  <c r="C288" i="13"/>
  <c r="B288" i="13"/>
  <c r="AA287" i="13"/>
  <c r="U287" i="13"/>
  <c r="W287" i="13" s="1"/>
  <c r="L287" i="13"/>
  <c r="E287" i="13"/>
  <c r="D287" i="13"/>
  <c r="C287" i="13"/>
  <c r="B287" i="13"/>
  <c r="AA286" i="13"/>
  <c r="AC286" i="13" s="1"/>
  <c r="U286" i="13"/>
  <c r="L286" i="13"/>
  <c r="E286" i="13"/>
  <c r="D286" i="13"/>
  <c r="C286" i="13"/>
  <c r="B286" i="13"/>
  <c r="AA285" i="13"/>
  <c r="AC285" i="13" s="1"/>
  <c r="AD285" i="13" s="1"/>
  <c r="U285" i="13"/>
  <c r="W285" i="13" s="1"/>
  <c r="L285" i="13"/>
  <c r="E285" i="13"/>
  <c r="D285" i="13"/>
  <c r="C285" i="13"/>
  <c r="B285" i="13"/>
  <c r="AA284" i="13"/>
  <c r="AC284" i="13" s="1"/>
  <c r="U284" i="13"/>
  <c r="W284" i="13" s="1"/>
  <c r="L284" i="13"/>
  <c r="E284" i="13"/>
  <c r="D284" i="13"/>
  <c r="C284" i="13"/>
  <c r="B284" i="13"/>
  <c r="AA283" i="13"/>
  <c r="AC283" i="13" s="1"/>
  <c r="U283" i="13"/>
  <c r="W283" i="13" s="1"/>
  <c r="L283" i="13"/>
  <c r="E283" i="13"/>
  <c r="D283" i="13"/>
  <c r="C283" i="13"/>
  <c r="B283" i="13"/>
  <c r="AA282" i="13"/>
  <c r="U282" i="13"/>
  <c r="V282" i="13" s="1"/>
  <c r="X282" i="13" s="1"/>
  <c r="L282" i="13"/>
  <c r="E282" i="13"/>
  <c r="D282" i="13"/>
  <c r="C282" i="13"/>
  <c r="B282" i="13"/>
  <c r="AA281" i="13"/>
  <c r="AB281" i="13" s="1"/>
  <c r="U281" i="13"/>
  <c r="W281" i="13" s="1"/>
  <c r="L281" i="13"/>
  <c r="E281" i="13"/>
  <c r="D281" i="13"/>
  <c r="C281" i="13"/>
  <c r="B281" i="13"/>
  <c r="AA280" i="13"/>
  <c r="AC280" i="13" s="1"/>
  <c r="AD280" i="13" s="1"/>
  <c r="U280" i="13"/>
  <c r="V280" i="13" s="1"/>
  <c r="X280" i="13" s="1"/>
  <c r="Y280" i="13" s="1"/>
  <c r="L280" i="13"/>
  <c r="E280" i="13"/>
  <c r="D280" i="13"/>
  <c r="C280" i="13"/>
  <c r="B280" i="13"/>
  <c r="AA279" i="13"/>
  <c r="U279" i="13"/>
  <c r="L279" i="13"/>
  <c r="E279" i="13"/>
  <c r="D279" i="13"/>
  <c r="C279" i="13"/>
  <c r="B279" i="13"/>
  <c r="AA278" i="13"/>
  <c r="U278" i="13"/>
  <c r="L278" i="13"/>
  <c r="E278" i="13"/>
  <c r="D278" i="13"/>
  <c r="C278" i="13"/>
  <c r="B278" i="13"/>
  <c r="AA277" i="13"/>
  <c r="AC277" i="13" s="1"/>
  <c r="AD277" i="13" s="1"/>
  <c r="U277" i="13"/>
  <c r="V277" i="13" s="1"/>
  <c r="X277" i="13" s="1"/>
  <c r="Y277" i="13" s="1"/>
  <c r="L277" i="13"/>
  <c r="E277" i="13"/>
  <c r="D277" i="13"/>
  <c r="C277" i="13"/>
  <c r="B277" i="13"/>
  <c r="AA276" i="13"/>
  <c r="AC276" i="13" s="1"/>
  <c r="U276" i="13"/>
  <c r="W276" i="13" s="1"/>
  <c r="L276" i="13"/>
  <c r="E276" i="13"/>
  <c r="D276" i="13"/>
  <c r="C276" i="13"/>
  <c r="B276" i="13"/>
  <c r="AA275" i="13"/>
  <c r="AC275" i="13" s="1"/>
  <c r="U275" i="13"/>
  <c r="W275" i="13" s="1"/>
  <c r="L275" i="13"/>
  <c r="E275" i="13"/>
  <c r="D275" i="13"/>
  <c r="C275" i="13"/>
  <c r="B275" i="13"/>
  <c r="AA274" i="13"/>
  <c r="AC274" i="13" s="1"/>
  <c r="AD274" i="13" s="1"/>
  <c r="AE274" i="13" s="1"/>
  <c r="U274" i="13"/>
  <c r="W274" i="13" s="1"/>
  <c r="L274" i="13"/>
  <c r="E274" i="13"/>
  <c r="D274" i="13"/>
  <c r="C274" i="13"/>
  <c r="B274" i="13"/>
  <c r="AA273" i="13"/>
  <c r="AB273" i="13" s="1"/>
  <c r="U273" i="13"/>
  <c r="W273" i="13" s="1"/>
  <c r="L273" i="13"/>
  <c r="E273" i="13"/>
  <c r="D273" i="13"/>
  <c r="C273" i="13"/>
  <c r="B273" i="13"/>
  <c r="AA272" i="13"/>
  <c r="AB272" i="13" s="1"/>
  <c r="U272" i="13"/>
  <c r="W272" i="13" s="1"/>
  <c r="L272" i="13"/>
  <c r="E272" i="13"/>
  <c r="D272" i="13"/>
  <c r="C272" i="13"/>
  <c r="B272" i="13"/>
  <c r="AA271" i="13"/>
  <c r="U271" i="13"/>
  <c r="L271" i="13"/>
  <c r="E271" i="13"/>
  <c r="D271" i="13"/>
  <c r="C271" i="13"/>
  <c r="B271" i="13"/>
  <c r="AA270" i="13"/>
  <c r="U270" i="13"/>
  <c r="L270" i="13"/>
  <c r="E270" i="13"/>
  <c r="D270" i="13"/>
  <c r="C270" i="13"/>
  <c r="B270" i="13"/>
  <c r="AA269" i="13"/>
  <c r="AC269" i="13" s="1"/>
  <c r="AD269" i="13" s="1"/>
  <c r="AE269" i="13" s="1"/>
  <c r="U269" i="13"/>
  <c r="W269" i="13" s="1"/>
  <c r="L269" i="13"/>
  <c r="E269" i="13"/>
  <c r="D269" i="13"/>
  <c r="C269" i="13"/>
  <c r="B269" i="13"/>
  <c r="AA268" i="13"/>
  <c r="AC268" i="13" s="1"/>
  <c r="U268" i="13"/>
  <c r="W268" i="13" s="1"/>
  <c r="L268" i="13"/>
  <c r="E268" i="13"/>
  <c r="D268" i="13"/>
  <c r="C268" i="13"/>
  <c r="B268" i="13"/>
  <c r="AA267" i="13"/>
  <c r="AC267" i="13" s="1"/>
  <c r="U267" i="13"/>
  <c r="W267" i="13" s="1"/>
  <c r="L267" i="13"/>
  <c r="E267" i="13"/>
  <c r="D267" i="13"/>
  <c r="C267" i="13"/>
  <c r="B267" i="13"/>
  <c r="AA266" i="13"/>
  <c r="AC266" i="13" s="1"/>
  <c r="AD266" i="13" s="1"/>
  <c r="AE266" i="13" s="1"/>
  <c r="U266" i="13"/>
  <c r="W266" i="13" s="1"/>
  <c r="L266" i="13"/>
  <c r="E266" i="13"/>
  <c r="D266" i="13"/>
  <c r="C266" i="13"/>
  <c r="B266" i="13"/>
  <c r="AA265" i="13"/>
  <c r="AC265" i="13" s="1"/>
  <c r="U265" i="13"/>
  <c r="W265" i="13" s="1"/>
  <c r="L265" i="13"/>
  <c r="E265" i="13"/>
  <c r="D265" i="13"/>
  <c r="C265" i="13"/>
  <c r="B265" i="13"/>
  <c r="AA264" i="13"/>
  <c r="AC264" i="13" s="1"/>
  <c r="AD264" i="13" s="1"/>
  <c r="AE264" i="13" s="1"/>
  <c r="U264" i="13"/>
  <c r="W264" i="13" s="1"/>
  <c r="L264" i="13"/>
  <c r="E264" i="13"/>
  <c r="D264" i="13"/>
  <c r="C264" i="13"/>
  <c r="B264" i="13"/>
  <c r="AA263" i="13"/>
  <c r="U263" i="13"/>
  <c r="V263" i="13" s="1"/>
  <c r="X263" i="13" s="1"/>
  <c r="Y263" i="13" s="1"/>
  <c r="L263" i="13"/>
  <c r="E263" i="13"/>
  <c r="D263" i="13"/>
  <c r="C263" i="13"/>
  <c r="B263" i="13"/>
  <c r="AA262" i="13"/>
  <c r="AB262" i="13" s="1"/>
  <c r="U262" i="13"/>
  <c r="L262" i="13"/>
  <c r="E262" i="13"/>
  <c r="D262" i="13"/>
  <c r="C262" i="13"/>
  <c r="B262" i="13"/>
  <c r="AA261" i="13"/>
  <c r="AC261" i="13" s="1"/>
  <c r="AD261" i="13" s="1"/>
  <c r="U261" i="13"/>
  <c r="L261" i="13"/>
  <c r="E261" i="13"/>
  <c r="D261" i="13"/>
  <c r="C261" i="13"/>
  <c r="B261" i="13"/>
  <c r="AA260" i="13"/>
  <c r="AC260" i="13" s="1"/>
  <c r="U260" i="13"/>
  <c r="W260" i="13" s="1"/>
  <c r="L260" i="13"/>
  <c r="E260" i="13"/>
  <c r="D260" i="13"/>
  <c r="C260" i="13"/>
  <c r="B260" i="13"/>
  <c r="AA259" i="13"/>
  <c r="AC259" i="13" s="1"/>
  <c r="U259" i="13"/>
  <c r="W259" i="13" s="1"/>
  <c r="L259" i="13"/>
  <c r="E259" i="13"/>
  <c r="D259" i="13"/>
  <c r="C259" i="13"/>
  <c r="B259" i="13"/>
  <c r="AA258" i="13"/>
  <c r="U258" i="13"/>
  <c r="W258" i="13" s="1"/>
  <c r="L258" i="13"/>
  <c r="E258" i="13"/>
  <c r="D258" i="13"/>
  <c r="C258" i="13"/>
  <c r="B258" i="13"/>
  <c r="AA257" i="13"/>
  <c r="AC257" i="13" s="1"/>
  <c r="U257" i="13"/>
  <c r="W257" i="13" s="1"/>
  <c r="L257" i="13"/>
  <c r="E257" i="13"/>
  <c r="D257" i="13"/>
  <c r="C257" i="13"/>
  <c r="B257" i="13"/>
  <c r="AA256" i="13"/>
  <c r="AC256" i="13" s="1"/>
  <c r="AD256" i="13" s="1"/>
  <c r="U256" i="13"/>
  <c r="V256" i="13" s="1"/>
  <c r="X256" i="13" s="1"/>
  <c r="Y256" i="13" s="1"/>
  <c r="L256" i="13"/>
  <c r="E256" i="13"/>
  <c r="D256" i="13"/>
  <c r="C256" i="13"/>
  <c r="B256" i="13"/>
  <c r="AA255" i="13"/>
  <c r="U255" i="13"/>
  <c r="W255" i="13" s="1"/>
  <c r="L255" i="13"/>
  <c r="E255" i="13"/>
  <c r="D255" i="13"/>
  <c r="C255" i="13"/>
  <c r="B255" i="13"/>
  <c r="AA254" i="13"/>
  <c r="AC254" i="13" s="1"/>
  <c r="AD254" i="13" s="1"/>
  <c r="U254" i="13"/>
  <c r="L254" i="13"/>
  <c r="E254" i="13"/>
  <c r="D254" i="13"/>
  <c r="C254" i="13"/>
  <c r="B254" i="13"/>
  <c r="AA253" i="13"/>
  <c r="AC253" i="13" s="1"/>
  <c r="AD253" i="13" s="1"/>
  <c r="AE253" i="13" s="1"/>
  <c r="U253" i="13"/>
  <c r="V253" i="13" s="1"/>
  <c r="X253" i="13" s="1"/>
  <c r="L253" i="13"/>
  <c r="E253" i="13"/>
  <c r="D253" i="13"/>
  <c r="C253" i="13"/>
  <c r="B253" i="13"/>
  <c r="AA252" i="13"/>
  <c r="AC252" i="13" s="1"/>
  <c r="U252" i="13"/>
  <c r="W252" i="13" s="1"/>
  <c r="L252" i="13"/>
  <c r="E252" i="13"/>
  <c r="D252" i="13"/>
  <c r="C252" i="13"/>
  <c r="B252" i="13"/>
  <c r="AA251" i="13"/>
  <c r="AB251" i="13" s="1"/>
  <c r="U251" i="13"/>
  <c r="W251" i="13" s="1"/>
  <c r="L251" i="13"/>
  <c r="E251" i="13"/>
  <c r="D251" i="13"/>
  <c r="C251" i="13"/>
  <c r="B251" i="13"/>
  <c r="AA250" i="13"/>
  <c r="AC250" i="13" s="1"/>
  <c r="AD250" i="13" s="1"/>
  <c r="AE250" i="13" s="1"/>
  <c r="U250" i="13"/>
  <c r="W250" i="13" s="1"/>
  <c r="L250" i="13"/>
  <c r="E250" i="13"/>
  <c r="D250" i="13"/>
  <c r="C250" i="13"/>
  <c r="B250" i="13"/>
  <c r="AA249" i="13"/>
  <c r="AC249" i="13" s="1"/>
  <c r="U249" i="13"/>
  <c r="W249" i="13" s="1"/>
  <c r="L249" i="13"/>
  <c r="E249" i="13"/>
  <c r="D249" i="13"/>
  <c r="C249" i="13"/>
  <c r="B249" i="13"/>
  <c r="AA248" i="13"/>
  <c r="AC248" i="13" s="1"/>
  <c r="AD248" i="13" s="1"/>
  <c r="AE248" i="13" s="1"/>
  <c r="U248" i="13"/>
  <c r="W248" i="13" s="1"/>
  <c r="L248" i="13"/>
  <c r="E248" i="13"/>
  <c r="D248" i="13"/>
  <c r="C248" i="13"/>
  <c r="B248" i="13"/>
  <c r="AA247" i="13"/>
  <c r="U247" i="13"/>
  <c r="V247" i="13" s="1"/>
  <c r="X247" i="13" s="1"/>
  <c r="Y247" i="13" s="1"/>
  <c r="L247" i="13"/>
  <c r="E247" i="13"/>
  <c r="D247" i="13"/>
  <c r="C247" i="13"/>
  <c r="B247" i="13"/>
  <c r="AA246" i="13"/>
  <c r="AB246" i="13" s="1"/>
  <c r="U246" i="13"/>
  <c r="L246" i="13"/>
  <c r="E246" i="13"/>
  <c r="D246" i="13"/>
  <c r="C246" i="13"/>
  <c r="B246" i="13"/>
  <c r="AA245" i="13"/>
  <c r="AC245" i="13" s="1"/>
  <c r="AD245" i="13" s="1"/>
  <c r="AE245" i="13" s="1"/>
  <c r="U245" i="13"/>
  <c r="W245" i="13" s="1"/>
  <c r="L245" i="13"/>
  <c r="E245" i="13"/>
  <c r="D245" i="13"/>
  <c r="C245" i="13"/>
  <c r="B245" i="13"/>
  <c r="AA244" i="13"/>
  <c r="AC244" i="13" s="1"/>
  <c r="U244" i="13"/>
  <c r="W244" i="13" s="1"/>
  <c r="L244" i="13"/>
  <c r="E244" i="13"/>
  <c r="D244" i="13"/>
  <c r="C244" i="13"/>
  <c r="B244" i="13"/>
  <c r="AA243" i="13"/>
  <c r="AB243" i="13" s="1"/>
  <c r="U243" i="13"/>
  <c r="W243" i="13" s="1"/>
  <c r="L243" i="13"/>
  <c r="E243" i="13"/>
  <c r="D243" i="13"/>
  <c r="C243" i="13"/>
  <c r="B243" i="13"/>
  <c r="AA242" i="13"/>
  <c r="AC242" i="13" s="1"/>
  <c r="AD242" i="13" s="1"/>
  <c r="AE242" i="13" s="1"/>
  <c r="U242" i="13"/>
  <c r="W242" i="13" s="1"/>
  <c r="L242" i="13"/>
  <c r="E242" i="13"/>
  <c r="D242" i="13"/>
  <c r="C242" i="13"/>
  <c r="B242" i="13"/>
  <c r="AA241" i="13"/>
  <c r="AC241" i="13" s="1"/>
  <c r="U241" i="13"/>
  <c r="W241" i="13" s="1"/>
  <c r="L241" i="13"/>
  <c r="E241" i="13"/>
  <c r="D241" i="13"/>
  <c r="C241" i="13"/>
  <c r="B241" i="13"/>
  <c r="AA240" i="13"/>
  <c r="AC240" i="13" s="1"/>
  <c r="U240" i="13"/>
  <c r="W240" i="13" s="1"/>
  <c r="L240" i="13"/>
  <c r="E240" i="13"/>
  <c r="D240" i="13"/>
  <c r="C240" i="13"/>
  <c r="B240" i="13"/>
  <c r="AA239" i="13"/>
  <c r="AB239" i="13" s="1"/>
  <c r="U239" i="13"/>
  <c r="W239" i="13" s="1"/>
  <c r="L239" i="13"/>
  <c r="E239" i="13"/>
  <c r="D239" i="13"/>
  <c r="C239" i="13"/>
  <c r="B239" i="13"/>
  <c r="AA238" i="13"/>
  <c r="AC238" i="13" s="1"/>
  <c r="U238" i="13"/>
  <c r="V238" i="13" s="1"/>
  <c r="X238" i="13" s="1"/>
  <c r="Y238" i="13" s="1"/>
  <c r="L238" i="13"/>
  <c r="E238" i="13"/>
  <c r="D238" i="13"/>
  <c r="C238" i="13"/>
  <c r="B238" i="13"/>
  <c r="AA237" i="13"/>
  <c r="U237" i="13"/>
  <c r="W237" i="13" s="1"/>
  <c r="L237" i="13"/>
  <c r="E237" i="13"/>
  <c r="D237" i="13"/>
  <c r="C237" i="13"/>
  <c r="B237" i="13"/>
  <c r="AA236" i="13"/>
  <c r="AC236" i="13" s="1"/>
  <c r="AD236" i="13" s="1"/>
  <c r="AE236" i="13" s="1"/>
  <c r="U236" i="13"/>
  <c r="L236" i="13"/>
  <c r="E236" i="13"/>
  <c r="D236" i="13"/>
  <c r="C236" i="13"/>
  <c r="B236" i="13"/>
  <c r="AA235" i="13"/>
  <c r="AC235" i="13" s="1"/>
  <c r="U235" i="13"/>
  <c r="W235" i="13" s="1"/>
  <c r="L235" i="13"/>
  <c r="E235" i="13"/>
  <c r="D235" i="13"/>
  <c r="C235" i="13"/>
  <c r="B235" i="13"/>
  <c r="AA234" i="13"/>
  <c r="AC234" i="13" s="1"/>
  <c r="AD234" i="13" s="1"/>
  <c r="AE234" i="13" s="1"/>
  <c r="U234" i="13"/>
  <c r="W234" i="13" s="1"/>
  <c r="L234" i="13"/>
  <c r="E234" i="13"/>
  <c r="D234" i="13"/>
  <c r="C234" i="13"/>
  <c r="B234" i="13"/>
  <c r="AA233" i="13"/>
  <c r="AC233" i="13" s="1"/>
  <c r="U233" i="13"/>
  <c r="W233" i="13" s="1"/>
  <c r="L233" i="13"/>
  <c r="E233" i="13"/>
  <c r="D233" i="13"/>
  <c r="C233" i="13"/>
  <c r="B233" i="13"/>
  <c r="AA232" i="13"/>
  <c r="AB232" i="13" s="1"/>
  <c r="U232" i="13"/>
  <c r="W232" i="13" s="1"/>
  <c r="L232" i="13"/>
  <c r="E232" i="13"/>
  <c r="D232" i="13"/>
  <c r="C232" i="13"/>
  <c r="B232" i="13"/>
  <c r="AA231" i="13"/>
  <c r="AB231" i="13" s="1"/>
  <c r="U231" i="13"/>
  <c r="L231" i="13"/>
  <c r="E231" i="13"/>
  <c r="D231" i="13"/>
  <c r="C231" i="13"/>
  <c r="B231" i="13"/>
  <c r="AA230" i="13"/>
  <c r="AC230" i="13" s="1"/>
  <c r="U230" i="13"/>
  <c r="L230" i="13"/>
  <c r="E230" i="13"/>
  <c r="D230" i="13"/>
  <c r="C230" i="13"/>
  <c r="B230" i="13"/>
  <c r="AA229" i="13"/>
  <c r="U229" i="13"/>
  <c r="W229" i="13" s="1"/>
  <c r="L229" i="13"/>
  <c r="E229" i="13"/>
  <c r="D229" i="13"/>
  <c r="C229" i="13"/>
  <c r="B229" i="13"/>
  <c r="AA228" i="13"/>
  <c r="U228" i="13"/>
  <c r="L228" i="13"/>
  <c r="E228" i="13"/>
  <c r="D228" i="13"/>
  <c r="C228" i="13"/>
  <c r="B228" i="13"/>
  <c r="AA227" i="13"/>
  <c r="AC227" i="13" s="1"/>
  <c r="AD227" i="13" s="1"/>
  <c r="U227" i="13"/>
  <c r="W227" i="13" s="1"/>
  <c r="L227" i="13"/>
  <c r="E227" i="13"/>
  <c r="D227" i="13"/>
  <c r="C227" i="13"/>
  <c r="B227" i="13"/>
  <c r="AA226" i="13"/>
  <c r="AC226" i="13" s="1"/>
  <c r="AD226" i="13" s="1"/>
  <c r="AE226" i="13" s="1"/>
  <c r="U226" i="13"/>
  <c r="W226" i="13" s="1"/>
  <c r="L226" i="13"/>
  <c r="E226" i="13"/>
  <c r="D226" i="13"/>
  <c r="C226" i="13"/>
  <c r="B226" i="13"/>
  <c r="AA225" i="13"/>
  <c r="AC225" i="13" s="1"/>
  <c r="U225" i="13"/>
  <c r="W225" i="13" s="1"/>
  <c r="L225" i="13"/>
  <c r="E225" i="13"/>
  <c r="D225" i="13"/>
  <c r="C225" i="13"/>
  <c r="B225" i="13"/>
  <c r="AA224" i="13"/>
  <c r="AC224" i="13" s="1"/>
  <c r="AD224" i="13" s="1"/>
  <c r="U224" i="13"/>
  <c r="V224" i="13" s="1"/>
  <c r="X224" i="13" s="1"/>
  <c r="Y224" i="13" s="1"/>
  <c r="L224" i="13"/>
  <c r="E224" i="13"/>
  <c r="D224" i="13"/>
  <c r="C224" i="13"/>
  <c r="B224" i="13"/>
  <c r="AA223" i="13"/>
  <c r="AB223" i="13" s="1"/>
  <c r="U223" i="13"/>
  <c r="W223" i="13" s="1"/>
  <c r="L223" i="13"/>
  <c r="E223" i="13"/>
  <c r="D223" i="13"/>
  <c r="C223" i="13"/>
  <c r="B223" i="13"/>
  <c r="AA222" i="13"/>
  <c r="AC222" i="13" s="1"/>
  <c r="AD222" i="13" s="1"/>
  <c r="U222" i="13"/>
  <c r="V222" i="13" s="1"/>
  <c r="X222" i="13" s="1"/>
  <c r="Y222" i="13" s="1"/>
  <c r="L222" i="13"/>
  <c r="E222" i="13"/>
  <c r="D222" i="13"/>
  <c r="C222" i="13"/>
  <c r="B222" i="13"/>
  <c r="AA221" i="13"/>
  <c r="U221" i="13"/>
  <c r="W221" i="13" s="1"/>
  <c r="L221" i="13"/>
  <c r="E221" i="13"/>
  <c r="D221" i="13"/>
  <c r="C221" i="13"/>
  <c r="B221" i="13"/>
  <c r="AA220" i="13"/>
  <c r="AC220" i="13" s="1"/>
  <c r="U220" i="13"/>
  <c r="L220" i="13"/>
  <c r="E220" i="13"/>
  <c r="D220" i="13"/>
  <c r="C220" i="13"/>
  <c r="B220" i="13"/>
  <c r="AA219" i="13"/>
  <c r="AC219" i="13" s="1"/>
  <c r="AD219" i="13" s="1"/>
  <c r="AE219" i="13" s="1"/>
  <c r="U219" i="13"/>
  <c r="W219" i="13" s="1"/>
  <c r="L219" i="13"/>
  <c r="E219" i="13"/>
  <c r="D219" i="13"/>
  <c r="C219" i="13"/>
  <c r="B219" i="13"/>
  <c r="AA218" i="13"/>
  <c r="AC218" i="13" s="1"/>
  <c r="AD218" i="13" s="1"/>
  <c r="AE218" i="13" s="1"/>
  <c r="U218" i="13"/>
  <c r="W218" i="13" s="1"/>
  <c r="L218" i="13"/>
  <c r="E218" i="13"/>
  <c r="D218" i="13"/>
  <c r="C218" i="13"/>
  <c r="B218" i="13"/>
  <c r="AA217" i="13"/>
  <c r="AC217" i="13" s="1"/>
  <c r="U217" i="13"/>
  <c r="W217" i="13" s="1"/>
  <c r="L217" i="13"/>
  <c r="E217" i="13"/>
  <c r="D217" i="13"/>
  <c r="C217" i="13"/>
  <c r="B217" i="13"/>
  <c r="AA216" i="13"/>
  <c r="AB216" i="13" s="1"/>
  <c r="U216" i="13"/>
  <c r="W216" i="13" s="1"/>
  <c r="L216" i="13"/>
  <c r="E216" i="13"/>
  <c r="D216" i="13"/>
  <c r="C216" i="13"/>
  <c r="B216" i="13"/>
  <c r="AA215" i="13"/>
  <c r="AB215" i="13" s="1"/>
  <c r="U215" i="13"/>
  <c r="W215" i="13" s="1"/>
  <c r="L215" i="13"/>
  <c r="E215" i="13"/>
  <c r="D215" i="13"/>
  <c r="C215" i="13"/>
  <c r="B215" i="13"/>
  <c r="AA214" i="13"/>
  <c r="AB214" i="13" s="1"/>
  <c r="U214" i="13"/>
  <c r="W214" i="13" s="1"/>
  <c r="L214" i="13"/>
  <c r="E214" i="13"/>
  <c r="D214" i="13"/>
  <c r="C214" i="13"/>
  <c r="B214" i="13"/>
  <c r="AA213" i="13"/>
  <c r="AB213" i="13" s="1"/>
  <c r="U213" i="13"/>
  <c r="W213" i="13" s="1"/>
  <c r="L213" i="13"/>
  <c r="E213" i="13"/>
  <c r="D213" i="13"/>
  <c r="C213" i="13"/>
  <c r="B213" i="13"/>
  <c r="AA212" i="13"/>
  <c r="AC212" i="13" s="1"/>
  <c r="U212" i="13"/>
  <c r="V212" i="13" s="1"/>
  <c r="X212" i="13" s="1"/>
  <c r="Y212" i="13" s="1"/>
  <c r="L212" i="13"/>
  <c r="E212" i="13"/>
  <c r="D212" i="13"/>
  <c r="C212" i="13"/>
  <c r="B212" i="13"/>
  <c r="AA211" i="13"/>
  <c r="AB211" i="13" s="1"/>
  <c r="U211" i="13"/>
  <c r="V211" i="13" s="1"/>
  <c r="X211" i="13" s="1"/>
  <c r="Y211" i="13" s="1"/>
  <c r="L211" i="13"/>
  <c r="E211" i="13"/>
  <c r="D211" i="13"/>
  <c r="C211" i="13"/>
  <c r="B211" i="13"/>
  <c r="AA210" i="13"/>
  <c r="AC210" i="13" s="1"/>
  <c r="AD210" i="13" s="1"/>
  <c r="U210" i="13"/>
  <c r="W210" i="13" s="1"/>
  <c r="L210" i="13"/>
  <c r="E210" i="13"/>
  <c r="D210" i="13"/>
  <c r="C210" i="13"/>
  <c r="B210" i="13"/>
  <c r="AA209" i="13"/>
  <c r="U209" i="13"/>
  <c r="V209" i="13" s="1"/>
  <c r="X209" i="13" s="1"/>
  <c r="Y209" i="13" s="1"/>
  <c r="L209" i="13"/>
  <c r="E209" i="13"/>
  <c r="D209" i="13"/>
  <c r="C209" i="13"/>
  <c r="B209" i="13"/>
  <c r="AA208" i="13"/>
  <c r="AC208" i="13" s="1"/>
  <c r="U208" i="13"/>
  <c r="V208" i="13" s="1"/>
  <c r="X208" i="13" s="1"/>
  <c r="Y208" i="13" s="1"/>
  <c r="L208" i="13"/>
  <c r="E208" i="13"/>
  <c r="D208" i="13"/>
  <c r="C208" i="13"/>
  <c r="B208" i="13"/>
  <c r="AA207" i="13"/>
  <c r="AB207" i="13" s="1"/>
  <c r="U207" i="13"/>
  <c r="W207" i="13" s="1"/>
  <c r="L207" i="13"/>
  <c r="E207" i="13"/>
  <c r="D207" i="13"/>
  <c r="C207" i="13"/>
  <c r="B207" i="13"/>
  <c r="AA206" i="13"/>
  <c r="U206" i="13"/>
  <c r="W206" i="13" s="1"/>
  <c r="L206" i="13"/>
  <c r="E206" i="13"/>
  <c r="D206" i="13"/>
  <c r="C206" i="13"/>
  <c r="B206" i="13"/>
  <c r="AA205" i="13"/>
  <c r="AC205" i="13" s="1"/>
  <c r="U205" i="13"/>
  <c r="V205" i="13" s="1"/>
  <c r="X205" i="13" s="1"/>
  <c r="Y205" i="13" s="1"/>
  <c r="L205" i="13"/>
  <c r="E205" i="13"/>
  <c r="D205" i="13"/>
  <c r="C205" i="13"/>
  <c r="B205" i="13"/>
  <c r="B33" i="29" l="1"/>
  <c r="B32" i="29"/>
  <c r="B31" i="29"/>
  <c r="B34" i="29"/>
  <c r="B30" i="29"/>
  <c r="AC487" i="13"/>
  <c r="AD487" i="13" s="1"/>
  <c r="V488" i="13"/>
  <c r="X488" i="13" s="1"/>
  <c r="Y488" i="13" s="1"/>
  <c r="AF347" i="13"/>
  <c r="AC491" i="13"/>
  <c r="AD491" i="13" s="1"/>
  <c r="AE491" i="13" s="1"/>
  <c r="AC370" i="13"/>
  <c r="AD370" i="13" s="1"/>
  <c r="AE370" i="13" s="1"/>
  <c r="W499" i="13"/>
  <c r="AF499" i="13" s="1"/>
  <c r="W426" i="13"/>
  <c r="W501" i="13"/>
  <c r="AF501" i="13" s="1"/>
  <c r="V461" i="13"/>
  <c r="X461" i="13" s="1"/>
  <c r="Y461" i="13" s="1"/>
  <c r="AC516" i="13"/>
  <c r="AD516" i="13" s="1"/>
  <c r="AE516" i="13" s="1"/>
  <c r="V373" i="13"/>
  <c r="X373" i="13" s="1"/>
  <c r="Y373" i="13" s="1"/>
  <c r="W409" i="13"/>
  <c r="AC525" i="13"/>
  <c r="AD525" i="13" s="1"/>
  <c r="AE525" i="13" s="1"/>
  <c r="V527" i="13"/>
  <c r="X527" i="13" s="1"/>
  <c r="Y527" i="13" s="1"/>
  <c r="W293" i="13"/>
  <c r="AF293" i="13" s="1"/>
  <c r="AB503" i="13"/>
  <c r="AC463" i="13"/>
  <c r="AD463" i="13" s="1"/>
  <c r="V504" i="13"/>
  <c r="X504" i="13" s="1"/>
  <c r="Y504" i="13" s="1"/>
  <c r="AF557" i="13"/>
  <c r="AC216" i="13"/>
  <c r="AD216" i="13" s="1"/>
  <c r="AC281" i="13"/>
  <c r="AF281" i="13" s="1"/>
  <c r="AB486" i="13"/>
  <c r="AC561" i="13"/>
  <c r="AD561" i="13" s="1"/>
  <c r="AE561" i="13" s="1"/>
  <c r="AH561" i="13" s="1"/>
  <c r="V563" i="13"/>
  <c r="X563" i="13" s="1"/>
  <c r="Y563" i="13" s="1"/>
  <c r="W543" i="13"/>
  <c r="W380" i="13"/>
  <c r="AF380" i="13" s="1"/>
  <c r="W469" i="13"/>
  <c r="AB538" i="13"/>
  <c r="W282" i="13"/>
  <c r="AB349" i="13"/>
  <c r="V401" i="13"/>
  <c r="X401" i="13" s="1"/>
  <c r="Y401" i="13" s="1"/>
  <c r="W425" i="13"/>
  <c r="AC513" i="13"/>
  <c r="AD513" i="13" s="1"/>
  <c r="AC568" i="13"/>
  <c r="AD568" i="13" s="1"/>
  <c r="AG568" i="13" s="1"/>
  <c r="V571" i="13"/>
  <c r="X571" i="13" s="1"/>
  <c r="Y571" i="13" s="1"/>
  <c r="AB381" i="13"/>
  <c r="AB421" i="13"/>
  <c r="AC447" i="13"/>
  <c r="AD447" i="13" s="1"/>
  <c r="W451" i="13"/>
  <c r="AB479" i="13"/>
  <c r="AB492" i="13"/>
  <c r="V493" i="13"/>
  <c r="X493" i="13" s="1"/>
  <c r="Y493" i="13" s="1"/>
  <c r="V506" i="13"/>
  <c r="X506" i="13" s="1"/>
  <c r="Y506" i="13" s="1"/>
  <c r="W388" i="13"/>
  <c r="AC424" i="13"/>
  <c r="AD424" i="13" s="1"/>
  <c r="AE424" i="13" s="1"/>
  <c r="W453" i="13"/>
  <c r="AF454" i="13"/>
  <c r="AB564" i="13"/>
  <c r="AC215" i="13"/>
  <c r="AD215" i="13" s="1"/>
  <c r="AE215" i="13" s="1"/>
  <c r="V217" i="13"/>
  <c r="X217" i="13" s="1"/>
  <c r="Y217" i="13" s="1"/>
  <c r="AG499" i="13"/>
  <c r="AC435" i="13"/>
  <c r="AD435" i="13" s="1"/>
  <c r="AE435" i="13" s="1"/>
  <c r="V378" i="13"/>
  <c r="X378" i="13" s="1"/>
  <c r="Y378" i="13" s="1"/>
  <c r="V402" i="13"/>
  <c r="X402" i="13" s="1"/>
  <c r="Y402" i="13" s="1"/>
  <c r="V431" i="13"/>
  <c r="X431" i="13" s="1"/>
  <c r="Y431" i="13" s="1"/>
  <c r="AH431" i="13" s="1"/>
  <c r="AH466" i="13"/>
  <c r="AF467" i="13"/>
  <c r="AF488" i="13"/>
  <c r="W553" i="13"/>
  <c r="AF315" i="13"/>
  <c r="AC389" i="13"/>
  <c r="AF389" i="13" s="1"/>
  <c r="W391" i="13"/>
  <c r="AF391" i="13" s="1"/>
  <c r="AF402" i="13"/>
  <c r="W412" i="13"/>
  <c r="AF412" i="13" s="1"/>
  <c r="AB419" i="13"/>
  <c r="V420" i="13"/>
  <c r="X420" i="13" s="1"/>
  <c r="Y420" i="13" s="1"/>
  <c r="AH420" i="13" s="1"/>
  <c r="AC432" i="13"/>
  <c r="AD432" i="13" s="1"/>
  <c r="AE432" i="13" s="1"/>
  <c r="AB442" i="13"/>
  <c r="AB452" i="13"/>
  <c r="W472" i="13"/>
  <c r="W480" i="13"/>
  <c r="AB499" i="13"/>
  <c r="AC515" i="13"/>
  <c r="AD515" i="13" s="1"/>
  <c r="AE515" i="13" s="1"/>
  <c r="AC527" i="13"/>
  <c r="AD527" i="13" s="1"/>
  <c r="AE527" i="13" s="1"/>
  <c r="V528" i="13"/>
  <c r="X528" i="13" s="1"/>
  <c r="Y528" i="13" s="1"/>
  <c r="W540" i="13"/>
  <c r="AC543" i="13"/>
  <c r="AD543" i="13" s="1"/>
  <c r="AE543" i="13" s="1"/>
  <c r="AH543" i="13" s="1"/>
  <c r="V544" i="13"/>
  <c r="X544" i="13" s="1"/>
  <c r="Y544" i="13" s="1"/>
  <c r="AF546" i="13"/>
  <c r="V554" i="13"/>
  <c r="X554" i="13" s="1"/>
  <c r="Y554" i="13" s="1"/>
  <c r="AB558" i="13"/>
  <c r="AC565" i="13"/>
  <c r="AD565" i="13" s="1"/>
  <c r="AE565" i="13" s="1"/>
  <c r="W277" i="13"/>
  <c r="AF277" i="13" s="1"/>
  <c r="W247" i="13"/>
  <c r="AF562" i="13"/>
  <c r="AB264" i="13"/>
  <c r="W356" i="13"/>
  <c r="AF356" i="13" s="1"/>
  <c r="AC395" i="13"/>
  <c r="AD395" i="13" s="1"/>
  <c r="V396" i="13"/>
  <c r="X396" i="13" s="1"/>
  <c r="Y396" i="13" s="1"/>
  <c r="AH396" i="13" s="1"/>
  <c r="V405" i="13"/>
  <c r="X405" i="13" s="1"/>
  <c r="Y405" i="13" s="1"/>
  <c r="W415" i="13"/>
  <c r="AF415" i="13" s="1"/>
  <c r="W428" i="13"/>
  <c r="AC443" i="13"/>
  <c r="AD443" i="13" s="1"/>
  <c r="AE443" i="13" s="1"/>
  <c r="AB454" i="13"/>
  <c r="W455" i="13"/>
  <c r="AF455" i="13" s="1"/>
  <c r="W466" i="13"/>
  <c r="AF466" i="13" s="1"/>
  <c r="AF474" i="13"/>
  <c r="V477" i="13"/>
  <c r="X477" i="13" s="1"/>
  <c r="Y477" i="13" s="1"/>
  <c r="W482" i="13"/>
  <c r="AD488" i="13"/>
  <c r="AE488" i="13" s="1"/>
  <c r="AC504" i="13"/>
  <c r="AF504" i="13" s="1"/>
  <c r="W512" i="13"/>
  <c r="W519" i="13"/>
  <c r="AF519" i="13" s="1"/>
  <c r="W548" i="13"/>
  <c r="AF548" i="13" s="1"/>
  <c r="W556" i="13"/>
  <c r="AF556" i="13" s="1"/>
  <c r="AB562" i="13"/>
  <c r="W305" i="13"/>
  <c r="AF305" i="13" s="1"/>
  <c r="AC246" i="13"/>
  <c r="AD246" i="13" s="1"/>
  <c r="AE246" i="13" s="1"/>
  <c r="V265" i="13"/>
  <c r="X265" i="13" s="1"/>
  <c r="Y265" i="13" s="1"/>
  <c r="V266" i="13"/>
  <c r="X266" i="13" s="1"/>
  <c r="Y266" i="13" s="1"/>
  <c r="AH266" i="13" s="1"/>
  <c r="W385" i="13"/>
  <c r="W437" i="13"/>
  <c r="AF437" i="13" s="1"/>
  <c r="AC507" i="13"/>
  <c r="AD507" i="13" s="1"/>
  <c r="AE507" i="13" s="1"/>
  <c r="W511" i="13"/>
  <c r="AF511" i="13" s="1"/>
  <c r="AB546" i="13"/>
  <c r="V555" i="13"/>
  <c r="X555" i="13" s="1"/>
  <c r="Y555" i="13" s="1"/>
  <c r="W572" i="13"/>
  <c r="AF572" i="13" s="1"/>
  <c r="W238" i="13"/>
  <c r="AF238" i="13" s="1"/>
  <c r="V239" i="13"/>
  <c r="X239" i="13" s="1"/>
  <c r="Y239" i="13" s="1"/>
  <c r="AB242" i="13"/>
  <c r="V299" i="13"/>
  <c r="X299" i="13" s="1"/>
  <c r="Y299" i="13" s="1"/>
  <c r="AH299" i="13" s="1"/>
  <c r="V300" i="13"/>
  <c r="X300" i="13" s="1"/>
  <c r="Y300" i="13" s="1"/>
  <c r="AC243" i="13"/>
  <c r="AF243" i="13" s="1"/>
  <c r="AB297" i="13"/>
  <c r="AB337" i="13"/>
  <c r="AB437" i="13"/>
  <c r="W485" i="13"/>
  <c r="W491" i="13"/>
  <c r="AB494" i="13"/>
  <c r="V502" i="13"/>
  <c r="X502" i="13" s="1"/>
  <c r="Y502" i="13" s="1"/>
  <c r="AB505" i="13"/>
  <c r="AC535" i="13"/>
  <c r="AD535" i="13" s="1"/>
  <c r="AE535" i="13" s="1"/>
  <c r="AH535" i="13" s="1"/>
  <c r="V536" i="13"/>
  <c r="X536" i="13" s="1"/>
  <c r="Y536" i="13" s="1"/>
  <c r="AC541" i="13"/>
  <c r="AD541" i="13" s="1"/>
  <c r="AE541" i="13" s="1"/>
  <c r="W542" i="13"/>
  <c r="AF542" i="13" s="1"/>
  <c r="AB572" i="13"/>
  <c r="W575" i="13"/>
  <c r="AB474" i="13"/>
  <c r="AB528" i="13"/>
  <c r="AB303" i="13"/>
  <c r="V312" i="13"/>
  <c r="X312" i="13" s="1"/>
  <c r="Y312" i="13" s="1"/>
  <c r="AC387" i="13"/>
  <c r="AF387" i="13" s="1"/>
  <c r="AC408" i="13"/>
  <c r="AD408" i="13" s="1"/>
  <c r="W417" i="13"/>
  <c r="AB429" i="13"/>
  <c r="V440" i="13"/>
  <c r="X440" i="13" s="1"/>
  <c r="Y440" i="13" s="1"/>
  <c r="AB446" i="13"/>
  <c r="W456" i="13"/>
  <c r="AF456" i="13" s="1"/>
  <c r="AB467" i="13"/>
  <c r="W478" i="13"/>
  <c r="AF478" i="13" s="1"/>
  <c r="W486" i="13"/>
  <c r="AF486" i="13" s="1"/>
  <c r="W496" i="13"/>
  <c r="W503" i="13"/>
  <c r="AF503" i="13" s="1"/>
  <c r="W377" i="13"/>
  <c r="V403" i="13"/>
  <c r="X403" i="13" s="1"/>
  <c r="Y403" i="13" s="1"/>
  <c r="AB414" i="13"/>
  <c r="AB536" i="13"/>
  <c r="AC552" i="13"/>
  <c r="AD552" i="13" s="1"/>
  <c r="AE552" i="13" s="1"/>
  <c r="AB556" i="13"/>
  <c r="V557" i="13"/>
  <c r="X557" i="13" s="1"/>
  <c r="Y557" i="13" s="1"/>
  <c r="AE429" i="13"/>
  <c r="AB226" i="13"/>
  <c r="AB227" i="13"/>
  <c r="AC298" i="13"/>
  <c r="AF298" i="13" s="1"/>
  <c r="AC311" i="13"/>
  <c r="AD311" i="13" s="1"/>
  <c r="AE311" i="13" s="1"/>
  <c r="AB311" i="13"/>
  <c r="AC373" i="13"/>
  <c r="AF373" i="13" s="1"/>
  <c r="AB373" i="13"/>
  <c r="AF386" i="13"/>
  <c r="W435" i="13"/>
  <c r="V435" i="13"/>
  <c r="X435" i="13" s="1"/>
  <c r="W438" i="13"/>
  <c r="AF438" i="13" s="1"/>
  <c r="AB450" i="13"/>
  <c r="V462" i="13"/>
  <c r="X462" i="13" s="1"/>
  <c r="Y462" i="13" s="1"/>
  <c r="V520" i="13"/>
  <c r="X520" i="13" s="1"/>
  <c r="Y520" i="13" s="1"/>
  <c r="AC462" i="13"/>
  <c r="AB462" i="13"/>
  <c r="W521" i="13"/>
  <c r="V521" i="13"/>
  <c r="X521" i="13" s="1"/>
  <c r="Y521" i="13" s="1"/>
  <c r="W290" i="13"/>
  <c r="V325" i="13"/>
  <c r="X325" i="13" s="1"/>
  <c r="Y325" i="13" s="1"/>
  <c r="AH325" i="13" s="1"/>
  <c r="W325" i="13"/>
  <c r="AF325" i="13" s="1"/>
  <c r="W357" i="13"/>
  <c r="V371" i="13"/>
  <c r="X371" i="13" s="1"/>
  <c r="Y371" i="13" s="1"/>
  <c r="AB386" i="13"/>
  <c r="AC410" i="13"/>
  <c r="AD410" i="13" s="1"/>
  <c r="AE410" i="13" s="1"/>
  <c r="AB410" i="13"/>
  <c r="V447" i="13"/>
  <c r="X447" i="13" s="1"/>
  <c r="Y447" i="13" s="1"/>
  <c r="W447" i="13"/>
  <c r="AC451" i="13"/>
  <c r="AB451" i="13"/>
  <c r="V458" i="13"/>
  <c r="X458" i="13" s="1"/>
  <c r="Y458" i="13" s="1"/>
  <c r="AF464" i="13"/>
  <c r="V470" i="13"/>
  <c r="X470" i="13" s="1"/>
  <c r="Y470" i="13" s="1"/>
  <c r="W470" i="13"/>
  <c r="AF470" i="13" s="1"/>
  <c r="AC520" i="13"/>
  <c r="AD520" i="13" s="1"/>
  <c r="AC521" i="13"/>
  <c r="AB521" i="13"/>
  <c r="W529" i="13"/>
  <c r="V529" i="13"/>
  <c r="X529" i="13" s="1"/>
  <c r="Y529" i="13" s="1"/>
  <c r="AB310" i="13"/>
  <c r="AC310" i="13"/>
  <c r="AF310" i="13" s="1"/>
  <c r="AG380" i="13"/>
  <c r="Y380" i="13"/>
  <c r="AH380" i="13" s="1"/>
  <c r="AB573" i="13"/>
  <c r="AC573" i="13"/>
  <c r="AF573" i="13" s="1"/>
  <c r="AB256" i="13"/>
  <c r="V275" i="13"/>
  <c r="X275" i="13" s="1"/>
  <c r="Y275" i="13" s="1"/>
  <c r="AB274" i="13"/>
  <c r="W442" i="13"/>
  <c r="AF442" i="13" s="1"/>
  <c r="V442" i="13"/>
  <c r="X442" i="13" s="1"/>
  <c r="Y442" i="13" s="1"/>
  <c r="AB496" i="13"/>
  <c r="AC496" i="13"/>
  <c r="AD496" i="13" s="1"/>
  <c r="W509" i="13"/>
  <c r="AF509" i="13" s="1"/>
  <c r="V509" i="13"/>
  <c r="X509" i="13" s="1"/>
  <c r="AG509" i="13" s="1"/>
  <c r="W530" i="13"/>
  <c r="AF530" i="13" s="1"/>
  <c r="V530" i="13"/>
  <c r="X530" i="13" s="1"/>
  <c r="Y530" i="13" s="1"/>
  <c r="AH530" i="13" s="1"/>
  <c r="W394" i="13"/>
  <c r="AB397" i="13"/>
  <c r="V423" i="13"/>
  <c r="X423" i="13" s="1"/>
  <c r="Y423" i="13" s="1"/>
  <c r="AH423" i="13" s="1"/>
  <c r="AC529" i="13"/>
  <c r="AD529" i="13" s="1"/>
  <c r="AB529" i="13"/>
  <c r="AC475" i="13"/>
  <c r="AD475" i="13" s="1"/>
  <c r="AB475" i="13"/>
  <c r="V507" i="13"/>
  <c r="X507" i="13" s="1"/>
  <c r="Y507" i="13" s="1"/>
  <c r="W507" i="13"/>
  <c r="AB233" i="13"/>
  <c r="V234" i="13"/>
  <c r="X234" i="13" s="1"/>
  <c r="Y234" i="13" s="1"/>
  <c r="AH234" i="13" s="1"/>
  <c r="AC273" i="13"/>
  <c r="AD273" i="13" s="1"/>
  <c r="V352" i="13"/>
  <c r="X352" i="13" s="1"/>
  <c r="Y352" i="13" s="1"/>
  <c r="AB371" i="13"/>
  <c r="W379" i="13"/>
  <c r="AF379" i="13" s="1"/>
  <c r="V379" i="13"/>
  <c r="X379" i="13" s="1"/>
  <c r="Y379" i="13" s="1"/>
  <c r="AB405" i="13"/>
  <c r="V418" i="13"/>
  <c r="X418" i="13" s="1"/>
  <c r="Y418" i="13" s="1"/>
  <c r="V532" i="13"/>
  <c r="X532" i="13" s="1"/>
  <c r="Y532" i="13" s="1"/>
  <c r="W532" i="13"/>
  <c r="AB547" i="13"/>
  <c r="AC547" i="13"/>
  <c r="AD547" i="13" s="1"/>
  <c r="V569" i="13"/>
  <c r="X569" i="13" s="1"/>
  <c r="Y569" i="13" s="1"/>
  <c r="V226" i="13"/>
  <c r="X226" i="13" s="1"/>
  <c r="Y226" i="13" s="1"/>
  <c r="AH226" i="13" s="1"/>
  <c r="AC351" i="13"/>
  <c r="AF351" i="13" s="1"/>
  <c r="AB351" i="13"/>
  <c r="AC545" i="13"/>
  <c r="AD545" i="13" s="1"/>
  <c r="AB545" i="13"/>
  <c r="V257" i="13"/>
  <c r="X257" i="13" s="1"/>
  <c r="Y257" i="13" s="1"/>
  <c r="W372" i="13"/>
  <c r="AF372" i="13" s="1"/>
  <c r="V372" i="13"/>
  <c r="X372" i="13" s="1"/>
  <c r="Y372" i="13" s="1"/>
  <c r="AD412" i="13"/>
  <c r="AF502" i="13"/>
  <c r="AD502" i="13"/>
  <c r="AB508" i="13"/>
  <c r="AC508" i="13"/>
  <c r="AF508" i="13" s="1"/>
  <c r="AB225" i="13"/>
  <c r="V340" i="13"/>
  <c r="X340" i="13" s="1"/>
  <c r="Y340" i="13" s="1"/>
  <c r="AB378" i="13"/>
  <c r="AC378" i="13"/>
  <c r="AD378" i="13" s="1"/>
  <c r="W383" i="13"/>
  <c r="AF383" i="13" s="1"/>
  <c r="AC394" i="13"/>
  <c r="AD394" i="13" s="1"/>
  <c r="AG394" i="13" s="1"/>
  <c r="AB394" i="13"/>
  <c r="V407" i="13"/>
  <c r="X407" i="13" s="1"/>
  <c r="Y407" i="13" s="1"/>
  <c r="AH407" i="13" s="1"/>
  <c r="AB412" i="13"/>
  <c r="AC436" i="13"/>
  <c r="AD436" i="13" s="1"/>
  <c r="AE436" i="13" s="1"/>
  <c r="AB436" i="13"/>
  <c r="V454" i="13"/>
  <c r="X454" i="13" s="1"/>
  <c r="Y454" i="13" s="1"/>
  <c r="AH454" i="13" s="1"/>
  <c r="AC472" i="13"/>
  <c r="AB478" i="13"/>
  <c r="AB502" i="13"/>
  <c r="W526" i="13"/>
  <c r="AF526" i="13" s="1"/>
  <c r="AB530" i="13"/>
  <c r="V221" i="13"/>
  <c r="X221" i="13" s="1"/>
  <c r="Y221" i="13" s="1"/>
  <c r="V313" i="13"/>
  <c r="X313" i="13" s="1"/>
  <c r="Y313" i="13" s="1"/>
  <c r="W313" i="13"/>
  <c r="AF313" i="13" s="1"/>
  <c r="AB350" i="13"/>
  <c r="AC350" i="13"/>
  <c r="AD350" i="13" s="1"/>
  <c r="AB372" i="13"/>
  <c r="AB379" i="13"/>
  <c r="AC388" i="13"/>
  <c r="AD388" i="13" s="1"/>
  <c r="AE388" i="13" s="1"/>
  <c r="AH388" i="13" s="1"/>
  <c r="AB388" i="13"/>
  <c r="AB398" i="13"/>
  <c r="V399" i="13"/>
  <c r="X399" i="13" s="1"/>
  <c r="Y399" i="13" s="1"/>
  <c r="V404" i="13"/>
  <c r="X404" i="13" s="1"/>
  <c r="Y404" i="13" s="1"/>
  <c r="AH404" i="13" s="1"/>
  <c r="V434" i="13"/>
  <c r="X434" i="13" s="1"/>
  <c r="Y434" i="13" s="1"/>
  <c r="AC448" i="13"/>
  <c r="AF448" i="13" s="1"/>
  <c r="V449" i="13"/>
  <c r="X449" i="13" s="1"/>
  <c r="Y449" i="13" s="1"/>
  <c r="AD459" i="13"/>
  <c r="AF473" i="13"/>
  <c r="W479" i="13"/>
  <c r="AF479" i="13" s="1"/>
  <c r="W483" i="13"/>
  <c r="W535" i="13"/>
  <c r="AD415" i="13"/>
  <c r="V258" i="13"/>
  <c r="X258" i="13" s="1"/>
  <c r="Y258" i="13" s="1"/>
  <c r="AF275" i="13"/>
  <c r="V288" i="13"/>
  <c r="X288" i="13" s="1"/>
  <c r="Y288" i="13" s="1"/>
  <c r="AH288" i="13" s="1"/>
  <c r="AC324" i="13"/>
  <c r="AD324" i="13" s="1"/>
  <c r="AB324" i="13"/>
  <c r="AC441" i="13"/>
  <c r="AD441" i="13" s="1"/>
  <c r="AE441" i="13" s="1"/>
  <c r="V459" i="13"/>
  <c r="X459" i="13" s="1"/>
  <c r="Y459" i="13" s="1"/>
  <c r="W459" i="13"/>
  <c r="AF459" i="13" s="1"/>
  <c r="AB480" i="13"/>
  <c r="AC480" i="13"/>
  <c r="AD480" i="13" s="1"/>
  <c r="V518" i="13"/>
  <c r="X518" i="13" s="1"/>
  <c r="Y518" i="13" s="1"/>
  <c r="W518" i="13"/>
  <c r="AF518" i="13" s="1"/>
  <c r="V369" i="13"/>
  <c r="X369" i="13" s="1"/>
  <c r="Y369" i="13" s="1"/>
  <c r="W369" i="13"/>
  <c r="AE372" i="13"/>
  <c r="AC428" i="13"/>
  <c r="AB428" i="13"/>
  <c r="W444" i="13"/>
  <c r="AF444" i="13" s="1"/>
  <c r="V444" i="13"/>
  <c r="X444" i="13" s="1"/>
  <c r="Y444" i="13" s="1"/>
  <c r="AC449" i="13"/>
  <c r="AF449" i="13" s="1"/>
  <c r="AB449" i="13"/>
  <c r="AB483" i="13"/>
  <c r="AC483" i="13"/>
  <c r="W490" i="13"/>
  <c r="AF490" i="13" s="1"/>
  <c r="V490" i="13"/>
  <c r="X490" i="13" s="1"/>
  <c r="Y490" i="13" s="1"/>
  <c r="AH490" i="13" s="1"/>
  <c r="AB512" i="13"/>
  <c r="AC512" i="13"/>
  <c r="AD512" i="13" s="1"/>
  <c r="AE512" i="13" s="1"/>
  <c r="AC571" i="13"/>
  <c r="AF571" i="13" s="1"/>
  <c r="AB571" i="13"/>
  <c r="AB517" i="13"/>
  <c r="AC517" i="13"/>
  <c r="AF517" i="13" s="1"/>
  <c r="AB384" i="13"/>
  <c r="V389" i="13"/>
  <c r="X389" i="13" s="1"/>
  <c r="Y389" i="13" s="1"/>
  <c r="AB392" i="13"/>
  <c r="AB404" i="13"/>
  <c r="AC418" i="13"/>
  <c r="AD418" i="13" s="1"/>
  <c r="AE418" i="13" s="1"/>
  <c r="AB420" i="13"/>
  <c r="AF423" i="13"/>
  <c r="AC426" i="13"/>
  <c r="AD426" i="13" s="1"/>
  <c r="AG426" i="13" s="1"/>
  <c r="AB438" i="13"/>
  <c r="W439" i="13"/>
  <c r="V450" i="13"/>
  <c r="X450" i="13" s="1"/>
  <c r="Y450" i="13" s="1"/>
  <c r="V467" i="13"/>
  <c r="X467" i="13" s="1"/>
  <c r="Y467" i="13" s="1"/>
  <c r="AB473" i="13"/>
  <c r="AB476" i="13"/>
  <c r="AC476" i="13"/>
  <c r="AD476" i="13" s="1"/>
  <c r="AE476" i="13" s="1"/>
  <c r="W487" i="13"/>
  <c r="AB497" i="13"/>
  <c r="AC500" i="13"/>
  <c r="AF500" i="13" s="1"/>
  <c r="W514" i="13"/>
  <c r="AC522" i="13"/>
  <c r="AD522" i="13" s="1"/>
  <c r="AE522" i="13" s="1"/>
  <c r="AB522" i="13"/>
  <c r="AB533" i="13"/>
  <c r="AC533" i="13"/>
  <c r="AD533" i="13" s="1"/>
  <c r="AE533" i="13" s="1"/>
  <c r="W537" i="13"/>
  <c r="V537" i="13"/>
  <c r="X537" i="13" s="1"/>
  <c r="Y537" i="13" s="1"/>
  <c r="AC554" i="13"/>
  <c r="AB557" i="13"/>
  <c r="W564" i="13"/>
  <c r="AF564" i="13" s="1"/>
  <c r="AC334" i="13"/>
  <c r="AD334" i="13" s="1"/>
  <c r="AE334" i="13" s="1"/>
  <c r="AB353" i="13"/>
  <c r="AB365" i="13"/>
  <c r="V366" i="13"/>
  <c r="X366" i="13" s="1"/>
  <c r="Y366" i="13" s="1"/>
  <c r="V370" i="13"/>
  <c r="X370" i="13" s="1"/>
  <c r="Y370" i="13" s="1"/>
  <c r="W376" i="13"/>
  <c r="AF376" i="13" s="1"/>
  <c r="V387" i="13"/>
  <c r="X387" i="13" s="1"/>
  <c r="Y387" i="13" s="1"/>
  <c r="V393" i="13"/>
  <c r="X393" i="13" s="1"/>
  <c r="Y393" i="13" s="1"/>
  <c r="V395" i="13"/>
  <c r="X395" i="13" s="1"/>
  <c r="Y395" i="13" s="1"/>
  <c r="AB396" i="13"/>
  <c r="AB400" i="13"/>
  <c r="AB402" i="13"/>
  <c r="AF404" i="13"/>
  <c r="V411" i="13"/>
  <c r="X411" i="13" s="1"/>
  <c r="Y411" i="13" s="1"/>
  <c r="AB413" i="13"/>
  <c r="AB416" i="13"/>
  <c r="V419" i="13"/>
  <c r="X419" i="13" s="1"/>
  <c r="Y419" i="13" s="1"/>
  <c r="AF420" i="13"/>
  <c r="V427" i="13"/>
  <c r="X427" i="13" s="1"/>
  <c r="Y427" i="13" s="1"/>
  <c r="V429" i="13"/>
  <c r="X429" i="13" s="1"/>
  <c r="Y429" i="13" s="1"/>
  <c r="AB444" i="13"/>
  <c r="AB459" i="13"/>
  <c r="W463" i="13"/>
  <c r="AB470" i="13"/>
  <c r="V474" i="13"/>
  <c r="X474" i="13" s="1"/>
  <c r="V481" i="13"/>
  <c r="X481" i="13" s="1"/>
  <c r="Y481" i="13" s="1"/>
  <c r="AB484" i="13"/>
  <c r="W495" i="13"/>
  <c r="AF495" i="13" s="1"/>
  <c r="V498" i="13"/>
  <c r="X498" i="13" s="1"/>
  <c r="Y498" i="13" s="1"/>
  <c r="W538" i="13"/>
  <c r="AF538" i="13" s="1"/>
  <c r="V538" i="13"/>
  <c r="X538" i="13" s="1"/>
  <c r="Y538" i="13" s="1"/>
  <c r="AH538" i="13" s="1"/>
  <c r="W545" i="13"/>
  <c r="V545" i="13"/>
  <c r="X545" i="13" s="1"/>
  <c r="Y545" i="13" s="1"/>
  <c r="AC550" i="13"/>
  <c r="AD550" i="13" s="1"/>
  <c r="AE550" i="13" s="1"/>
  <c r="AB550" i="13"/>
  <c r="AC560" i="13"/>
  <c r="AD560" i="13" s="1"/>
  <c r="AB560" i="13"/>
  <c r="W561" i="13"/>
  <c r="AC570" i="13"/>
  <c r="AB313" i="13"/>
  <c r="AF344" i="13"/>
  <c r="AB380" i="13"/>
  <c r="AF431" i="13"/>
  <c r="W445" i="13"/>
  <c r="AF445" i="13" s="1"/>
  <c r="W471" i="13"/>
  <c r="AF471" i="13" s="1"/>
  <c r="AC510" i="13"/>
  <c r="AD510" i="13" s="1"/>
  <c r="V515" i="13"/>
  <c r="X515" i="13" s="1"/>
  <c r="Y515" i="13" s="1"/>
  <c r="AC523" i="13"/>
  <c r="W534" i="13"/>
  <c r="AF534" i="13" s="1"/>
  <c r="AC537" i="13"/>
  <c r="AD537" i="13" s="1"/>
  <c r="AB537" i="13"/>
  <c r="AB544" i="13"/>
  <c r="W567" i="13"/>
  <c r="V567" i="13"/>
  <c r="X567" i="13" s="1"/>
  <c r="Y567" i="13" s="1"/>
  <c r="AH572" i="13"/>
  <c r="AG556" i="13"/>
  <c r="V269" i="13"/>
  <c r="X269" i="13" s="1"/>
  <c r="Y269" i="13" s="1"/>
  <c r="AH269" i="13" s="1"/>
  <c r="AC270" i="13"/>
  <c r="AD270" i="13" s="1"/>
  <c r="AE270" i="13" s="1"/>
  <c r="AB270" i="13"/>
  <c r="W211" i="13"/>
  <c r="V213" i="13"/>
  <c r="X213" i="13" s="1"/>
  <c r="Y213" i="13" s="1"/>
  <c r="AB267" i="13"/>
  <c r="V294" i="13"/>
  <c r="X294" i="13" s="1"/>
  <c r="Y294" i="13" s="1"/>
  <c r="W271" i="13"/>
  <c r="V271" i="13"/>
  <c r="X271" i="13" s="1"/>
  <c r="Y271" i="13" s="1"/>
  <c r="AB275" i="13"/>
  <c r="V328" i="13"/>
  <c r="X328" i="13" s="1"/>
  <c r="Y328" i="13" s="1"/>
  <c r="V326" i="13"/>
  <c r="X326" i="13" s="1"/>
  <c r="Y326" i="13" s="1"/>
  <c r="AB366" i="13"/>
  <c r="AC366" i="13"/>
  <c r="AD366" i="13" s="1"/>
  <c r="W212" i="13"/>
  <c r="AF212" i="13" s="1"/>
  <c r="AB266" i="13"/>
  <c r="AB293" i="13"/>
  <c r="V360" i="13"/>
  <c r="X360" i="13" s="1"/>
  <c r="Y360" i="13" s="1"/>
  <c r="AH360" i="13" s="1"/>
  <c r="W208" i="13"/>
  <c r="AF208" i="13" s="1"/>
  <c r="AC209" i="13"/>
  <c r="AD209" i="13" s="1"/>
  <c r="AB209" i="13"/>
  <c r="AB218" i="13"/>
  <c r="AB219" i="13"/>
  <c r="V223" i="13"/>
  <c r="X223" i="13" s="1"/>
  <c r="Y223" i="13" s="1"/>
  <c r="V230" i="13"/>
  <c r="X230" i="13" s="1"/>
  <c r="Y230" i="13" s="1"/>
  <c r="W230" i="13"/>
  <c r="AF230" i="13" s="1"/>
  <c r="V241" i="13"/>
  <c r="X241" i="13" s="1"/>
  <c r="Y241" i="13" s="1"/>
  <c r="AB300" i="13"/>
  <c r="AB305" i="13"/>
  <c r="V307" i="13"/>
  <c r="X307" i="13" s="1"/>
  <c r="Y307" i="13" s="1"/>
  <c r="AH307" i="13" s="1"/>
  <c r="W205" i="13"/>
  <c r="AF205" i="13" s="1"/>
  <c r="AB206" i="13"/>
  <c r="AC206" i="13"/>
  <c r="AD206" i="13" s="1"/>
  <c r="AE206" i="13" s="1"/>
  <c r="AB222" i="13"/>
  <c r="V229" i="13"/>
  <c r="X229" i="13" s="1"/>
  <c r="Y229" i="13" s="1"/>
  <c r="AC306" i="13"/>
  <c r="AF306" i="13" s="1"/>
  <c r="W308" i="13"/>
  <c r="AF308" i="13" s="1"/>
  <c r="W316" i="13"/>
  <c r="W317" i="13"/>
  <c r="V332" i="13"/>
  <c r="X332" i="13" s="1"/>
  <c r="Y332" i="13" s="1"/>
  <c r="AC278" i="13"/>
  <c r="AD278" i="13" s="1"/>
  <c r="AE278" i="13" s="1"/>
  <c r="AB278" i="13"/>
  <c r="AC282" i="13"/>
  <c r="AD282" i="13" s="1"/>
  <c r="AE282" i="13" s="1"/>
  <c r="AB282" i="13"/>
  <c r="V261" i="13"/>
  <c r="X261" i="13" s="1"/>
  <c r="Y261" i="13" s="1"/>
  <c r="W261" i="13"/>
  <c r="AF261" i="13" s="1"/>
  <c r="W363" i="13"/>
  <c r="AF363" i="13" s="1"/>
  <c r="V363" i="13"/>
  <c r="X363" i="13" s="1"/>
  <c r="Y363" i="13" s="1"/>
  <c r="AC368" i="13"/>
  <c r="AD368" i="13" s="1"/>
  <c r="AG368" i="13" s="1"/>
  <c r="V259" i="13"/>
  <c r="X259" i="13" s="1"/>
  <c r="Y259" i="13" s="1"/>
  <c r="W320" i="13"/>
  <c r="V320" i="13"/>
  <c r="X320" i="13" s="1"/>
  <c r="Y320" i="13" s="1"/>
  <c r="AB325" i="13"/>
  <c r="W231" i="13"/>
  <c r="V231" i="13"/>
  <c r="X231" i="13" s="1"/>
  <c r="Y231" i="13" s="1"/>
  <c r="AC258" i="13"/>
  <c r="AD258" i="13" s="1"/>
  <c r="AE258" i="13" s="1"/>
  <c r="AB258" i="13"/>
  <c r="V301" i="13"/>
  <c r="X301" i="13" s="1"/>
  <c r="Y301" i="13" s="1"/>
  <c r="AH301" i="13" s="1"/>
  <c r="W341" i="13"/>
  <c r="AF341" i="13" s="1"/>
  <c r="W309" i="13"/>
  <c r="AF309" i="13" s="1"/>
  <c r="V309" i="13"/>
  <c r="X309" i="13" s="1"/>
  <c r="Y309" i="13" s="1"/>
  <c r="AH309" i="13" s="1"/>
  <c r="V333" i="13"/>
  <c r="X333" i="13" s="1"/>
  <c r="Y333" i="13" s="1"/>
  <c r="W333" i="13"/>
  <c r="AB340" i="13"/>
  <c r="AB240" i="13"/>
  <c r="V249" i="13"/>
  <c r="X249" i="13" s="1"/>
  <c r="Y249" i="13" s="1"/>
  <c r="V250" i="13"/>
  <c r="X250" i="13" s="1"/>
  <c r="Y250" i="13" s="1"/>
  <c r="AH250" i="13" s="1"/>
  <c r="V279" i="13"/>
  <c r="X279" i="13" s="1"/>
  <c r="Y279" i="13" s="1"/>
  <c r="W279" i="13"/>
  <c r="AC228" i="13"/>
  <c r="AD228" i="13" s="1"/>
  <c r="AB228" i="13"/>
  <c r="AB234" i="13"/>
  <c r="AB235" i="13"/>
  <c r="AB248" i="13"/>
  <c r="V283" i="13"/>
  <c r="X283" i="13" s="1"/>
  <c r="Y283" i="13" s="1"/>
  <c r="AB314" i="13"/>
  <c r="AC314" i="13"/>
  <c r="AF314" i="13" s="1"/>
  <c r="AC357" i="13"/>
  <c r="AD357" i="13" s="1"/>
  <c r="AE357" i="13" s="1"/>
  <c r="AH357" i="13" s="1"/>
  <c r="AB357" i="13"/>
  <c r="AB361" i="13"/>
  <c r="V215" i="13"/>
  <c r="X215" i="13" s="1"/>
  <c r="Y215" i="13" s="1"/>
  <c r="AB259" i="13"/>
  <c r="W280" i="13"/>
  <c r="AF280" i="13" s="1"/>
  <c r="AB283" i="13"/>
  <c r="V285" i="13"/>
  <c r="X285" i="13" s="1"/>
  <c r="Y285" i="13" s="1"/>
  <c r="AB294" i="13"/>
  <c r="V296" i="13"/>
  <c r="X296" i="13" s="1"/>
  <c r="Y296" i="13" s="1"/>
  <c r="AB301" i="13"/>
  <c r="AB308" i="13"/>
  <c r="V323" i="13"/>
  <c r="X323" i="13" s="1"/>
  <c r="Y323" i="13" s="1"/>
  <c r="W364" i="13"/>
  <c r="AF364" i="13" s="1"/>
  <c r="AB224" i="13"/>
  <c r="V225" i="13"/>
  <c r="X225" i="13" s="1"/>
  <c r="Y225" i="13" s="1"/>
  <c r="V233" i="13"/>
  <c r="X233" i="13" s="1"/>
  <c r="Y233" i="13" s="1"/>
  <c r="W253" i="13"/>
  <c r="AF253" i="13" s="1"/>
  <c r="AB284" i="13"/>
  <c r="AC317" i="13"/>
  <c r="AD317" i="13" s="1"/>
  <c r="AE317" i="13" s="1"/>
  <c r="AH317" i="13" s="1"/>
  <c r="AB321" i="13"/>
  <c r="AC232" i="13"/>
  <c r="AF232" i="13" s="1"/>
  <c r="V245" i="13"/>
  <c r="X245" i="13" s="1"/>
  <c r="Y245" i="13" s="1"/>
  <c r="AH245" i="13" s="1"/>
  <c r="AC251" i="13"/>
  <c r="AD251" i="13" s="1"/>
  <c r="AE251" i="13" s="1"/>
  <c r="AB254" i="13"/>
  <c r="V255" i="13"/>
  <c r="X255" i="13" s="1"/>
  <c r="Y255" i="13" s="1"/>
  <c r="AC262" i="13"/>
  <c r="AD262" i="13" s="1"/>
  <c r="W263" i="13"/>
  <c r="AC272" i="13"/>
  <c r="AD272" i="13" s="1"/>
  <c r="AE272" i="13" s="1"/>
  <c r="V274" i="13"/>
  <c r="X274" i="13" s="1"/>
  <c r="Y274" i="13" s="1"/>
  <c r="AH274" i="13" s="1"/>
  <c r="AB280" i="13"/>
  <c r="V281" i="13"/>
  <c r="X281" i="13" s="1"/>
  <c r="Y281" i="13" s="1"/>
  <c r="AB286" i="13"/>
  <c r="V287" i="13"/>
  <c r="X287" i="13" s="1"/>
  <c r="Y287" i="13" s="1"/>
  <c r="V292" i="13"/>
  <c r="X292" i="13" s="1"/>
  <c r="Y292" i="13" s="1"/>
  <c r="AF299" i="13"/>
  <c r="AB302" i="13"/>
  <c r="V304" i="13"/>
  <c r="X304" i="13" s="1"/>
  <c r="Y304" i="13" s="1"/>
  <c r="AB309" i="13"/>
  <c r="V310" i="13"/>
  <c r="X310" i="13" s="1"/>
  <c r="Y310" i="13" s="1"/>
  <c r="W324" i="13"/>
  <c r="AC333" i="13"/>
  <c r="AD333" i="13" s="1"/>
  <c r="W336" i="13"/>
  <c r="AF336" i="13" s="1"/>
  <c r="V339" i="13"/>
  <c r="X339" i="13" s="1"/>
  <c r="Y339" i="13" s="1"/>
  <c r="AB345" i="13"/>
  <c r="AB364" i="13"/>
  <c r="W365" i="13"/>
  <c r="AC358" i="13"/>
  <c r="AD358" i="13" s="1"/>
  <c r="AB241" i="13"/>
  <c r="V242" i="13"/>
  <c r="X242" i="13" s="1"/>
  <c r="Y242" i="13" s="1"/>
  <c r="AH242" i="13" s="1"/>
  <c r="V302" i="13"/>
  <c r="X302" i="13" s="1"/>
  <c r="Y302" i="13" s="1"/>
  <c r="AC326" i="13"/>
  <c r="AF326" i="13" s="1"/>
  <c r="AB329" i="13"/>
  <c r="AB341" i="13"/>
  <c r="V344" i="13"/>
  <c r="X344" i="13" s="1"/>
  <c r="Y344" i="13" s="1"/>
  <c r="AH344" i="13" s="1"/>
  <c r="V348" i="13"/>
  <c r="X348" i="13" s="1"/>
  <c r="Y348" i="13" s="1"/>
  <c r="AC213" i="13"/>
  <c r="AD213" i="13" s="1"/>
  <c r="AE213" i="13" s="1"/>
  <c r="AC214" i="13"/>
  <c r="AD214" i="13" s="1"/>
  <c r="AE214" i="13" s="1"/>
  <c r="AC223" i="13"/>
  <c r="AD223" i="13" s="1"/>
  <c r="AE223" i="13" s="1"/>
  <c r="AB250" i="13"/>
  <c r="V273" i="13"/>
  <c r="X273" i="13" s="1"/>
  <c r="Y273" i="13" s="1"/>
  <c r="AB295" i="13"/>
  <c r="W297" i="13"/>
  <c r="AF297" i="13" s="1"/>
  <c r="AC318" i="13"/>
  <c r="AD318" i="13" s="1"/>
  <c r="AE318" i="13" s="1"/>
  <c r="V334" i="13"/>
  <c r="X334" i="13" s="1"/>
  <c r="Y334" i="13" s="1"/>
  <c r="AC342" i="13"/>
  <c r="AD342" i="13" s="1"/>
  <c r="AE342" i="13" s="1"/>
  <c r="AB343" i="13"/>
  <c r="W349" i="13"/>
  <c r="AF349" i="13" s="1"/>
  <c r="AF248" i="13"/>
  <c r="AF242" i="13"/>
  <c r="AF365" i="13"/>
  <c r="AF226" i="13"/>
  <c r="AF218" i="13"/>
  <c r="AF307" i="13"/>
  <c r="AG336" i="13"/>
  <c r="AF355" i="13"/>
  <c r="AF234" i="13"/>
  <c r="AF367" i="13"/>
  <c r="AF283" i="13"/>
  <c r="AF360" i="13"/>
  <c r="AF267" i="13"/>
  <c r="AH293" i="13"/>
  <c r="AF301" i="13"/>
  <c r="AF235" i="13"/>
  <c r="AF245" i="13"/>
  <c r="AF323" i="13"/>
  <c r="AF259" i="13"/>
  <c r="AF264" i="13"/>
  <c r="AE336" i="13"/>
  <c r="AH336" i="13" s="1"/>
  <c r="AG365" i="13"/>
  <c r="AG349" i="13"/>
  <c r="Y349" i="13"/>
  <c r="AH349" i="13" s="1"/>
  <c r="AG277" i="13"/>
  <c r="AF265" i="13"/>
  <c r="AD265" i="13"/>
  <c r="AG321" i="13"/>
  <c r="AE321" i="13"/>
  <c r="AH321" i="13" s="1"/>
  <c r="Y341" i="13"/>
  <c r="AH341" i="13" s="1"/>
  <c r="AG341" i="13"/>
  <c r="AE210" i="13"/>
  <c r="AF217" i="13"/>
  <c r="AD217" i="13"/>
  <c r="AD208" i="13"/>
  <c r="AD205" i="13"/>
  <c r="AG224" i="13"/>
  <c r="AE224" i="13"/>
  <c r="AH224" i="13" s="1"/>
  <c r="AD230" i="13"/>
  <c r="AF240" i="13"/>
  <c r="AF257" i="13"/>
  <c r="AD257" i="13"/>
  <c r="AF249" i="13"/>
  <c r="AD249" i="13"/>
  <c r="Y253" i="13"/>
  <c r="AH253" i="13" s="1"/>
  <c r="AG253" i="13"/>
  <c r="AD212" i="13"/>
  <c r="AG222" i="13"/>
  <c r="AE222" i="13"/>
  <c r="AH222" i="13" s="1"/>
  <c r="AD238" i="13"/>
  <c r="AC292" i="13"/>
  <c r="AB292" i="13"/>
  <c r="AF403" i="13"/>
  <c r="AD403" i="13"/>
  <c r="V206" i="13"/>
  <c r="X206" i="13" s="1"/>
  <c r="Y206" i="13" s="1"/>
  <c r="V218" i="13"/>
  <c r="X218" i="13" s="1"/>
  <c r="AE227" i="13"/>
  <c r="AD259" i="13"/>
  <c r="AE331" i="13"/>
  <c r="AB403" i="13"/>
  <c r="AC457" i="13"/>
  <c r="AB457" i="13"/>
  <c r="AB205" i="13"/>
  <c r="W209" i="13"/>
  <c r="AB212" i="13"/>
  <c r="AC229" i="13"/>
  <c r="AB229" i="13"/>
  <c r="AB249" i="13"/>
  <c r="AF260" i="13"/>
  <c r="AD260" i="13"/>
  <c r="AF269" i="13"/>
  <c r="AD275" i="13"/>
  <c r="AE277" i="13"/>
  <c r="AH277" i="13" s="1"/>
  <c r="AG280" i="13"/>
  <c r="Y282" i="13"/>
  <c r="AF288" i="13"/>
  <c r="V291" i="13"/>
  <c r="X291" i="13" s="1"/>
  <c r="Y291" i="13" s="1"/>
  <c r="AC320" i="13"/>
  <c r="AB320" i="13"/>
  <c r="AD323" i="13"/>
  <c r="AD328" i="13"/>
  <c r="AF328" i="13"/>
  <c r="V342" i="13"/>
  <c r="X342" i="13" s="1"/>
  <c r="Y342" i="13" s="1"/>
  <c r="AE355" i="13"/>
  <c r="AD364" i="13"/>
  <c r="AB374" i="13"/>
  <c r="AC375" i="13"/>
  <c r="AB375" i="13"/>
  <c r="AF411" i="13"/>
  <c r="AD411" i="13"/>
  <c r="W416" i="13"/>
  <c r="AF416" i="13" s="1"/>
  <c r="V416" i="13"/>
  <c r="X416" i="13" s="1"/>
  <c r="Y416" i="13" s="1"/>
  <c r="AF422" i="13"/>
  <c r="AD422" i="13"/>
  <c r="Y445" i="13"/>
  <c r="AH445" i="13" s="1"/>
  <c r="AG445" i="13"/>
  <c r="AB460" i="13"/>
  <c r="AD534" i="13"/>
  <c r="AF536" i="13"/>
  <c r="AD536" i="13"/>
  <c r="AF544" i="13"/>
  <c r="AD544" i="13"/>
  <c r="AC247" i="13"/>
  <c r="AB247" i="13"/>
  <c r="AG256" i="13"/>
  <c r="AB230" i="13"/>
  <c r="AD235" i="13"/>
  <c r="V237" i="13"/>
  <c r="X237" i="13" s="1"/>
  <c r="Y237" i="13" s="1"/>
  <c r="AC255" i="13"/>
  <c r="AB255" i="13"/>
  <c r="AD313" i="13"/>
  <c r="AF339" i="13"/>
  <c r="AD339" i="13"/>
  <c r="AC207" i="13"/>
  <c r="V214" i="13"/>
  <c r="X214" i="13" s="1"/>
  <c r="Y214" i="13" s="1"/>
  <c r="AC239" i="13"/>
  <c r="AD240" i="13"/>
  <c r="AB244" i="13"/>
  <c r="V355" i="13"/>
  <c r="X355" i="13" s="1"/>
  <c r="Y355" i="13" s="1"/>
  <c r="AD460" i="13"/>
  <c r="W270" i="13"/>
  <c r="V270" i="13"/>
  <c r="X270" i="13" s="1"/>
  <c r="Y270" i="13" s="1"/>
  <c r="AC271" i="13"/>
  <c r="AB271" i="13"/>
  <c r="V207" i="13"/>
  <c r="X207" i="13" s="1"/>
  <c r="Y207" i="13" s="1"/>
  <c r="AB208" i="13"/>
  <c r="V210" i="13"/>
  <c r="X210" i="13" s="1"/>
  <c r="Y210" i="13" s="1"/>
  <c r="AF210" i="13"/>
  <c r="AB217" i="13"/>
  <c r="AB220" i="13"/>
  <c r="W224" i="13"/>
  <c r="AF224" i="13" s="1"/>
  <c r="V232" i="13"/>
  <c r="X232" i="13" s="1"/>
  <c r="Y232" i="13" s="1"/>
  <c r="V235" i="13"/>
  <c r="X235" i="13" s="1"/>
  <c r="Y235" i="13" s="1"/>
  <c r="AC237" i="13"/>
  <c r="AB237" i="13"/>
  <c r="V251" i="13"/>
  <c r="X251" i="13" s="1"/>
  <c r="Y251" i="13" s="1"/>
  <c r="W256" i="13"/>
  <c r="AF256" i="13" s="1"/>
  <c r="AB257" i="13"/>
  <c r="AB260" i="13"/>
  <c r="V264" i="13"/>
  <c r="X264" i="13" s="1"/>
  <c r="Y264" i="13" s="1"/>
  <c r="AH264" i="13" s="1"/>
  <c r="AF266" i="13"/>
  <c r="AF268" i="13"/>
  <c r="AD268" i="13"/>
  <c r="W278" i="13"/>
  <c r="V278" i="13"/>
  <c r="X278" i="13" s="1"/>
  <c r="Y278" i="13" s="1"/>
  <c r="AC279" i="13"/>
  <c r="AB279" i="13"/>
  <c r="AE280" i="13"/>
  <c r="AH280" i="13" s="1"/>
  <c r="AD283" i="13"/>
  <c r="AE285" i="13"/>
  <c r="W289" i="13"/>
  <c r="AF289" i="13" s="1"/>
  <c r="V315" i="13"/>
  <c r="X315" i="13" s="1"/>
  <c r="Y315" i="13" s="1"/>
  <c r="AC332" i="13"/>
  <c r="AB332" i="13"/>
  <c r="AF359" i="13"/>
  <c r="AD359" i="13"/>
  <c r="AD361" i="13"/>
  <c r="AG376" i="13"/>
  <c r="AE376" i="13"/>
  <c r="AH376" i="13" s="1"/>
  <c r="AD392" i="13"/>
  <c r="AB411" i="13"/>
  <c r="AB422" i="13"/>
  <c r="W220" i="13"/>
  <c r="AF220" i="13" s="1"/>
  <c r="V220" i="13"/>
  <c r="X220" i="13" s="1"/>
  <c r="Y220" i="13" s="1"/>
  <c r="AF225" i="13"/>
  <c r="AD225" i="13"/>
  <c r="AC330" i="13"/>
  <c r="AB330" i="13"/>
  <c r="AC354" i="13"/>
  <c r="AB354" i="13"/>
  <c r="W228" i="13"/>
  <c r="V228" i="13"/>
  <c r="X228" i="13" s="1"/>
  <c r="Y228" i="13" s="1"/>
  <c r="AC231" i="13"/>
  <c r="AF233" i="13"/>
  <c r="AD233" i="13"/>
  <c r="AE261" i="13"/>
  <c r="AB238" i="13"/>
  <c r="AF250" i="13"/>
  <c r="AC263" i="13"/>
  <c r="AB263" i="13"/>
  <c r="W358" i="13"/>
  <c r="V358" i="13"/>
  <c r="X358" i="13" s="1"/>
  <c r="Y358" i="13" s="1"/>
  <c r="V227" i="13"/>
  <c r="X227" i="13" s="1"/>
  <c r="Y227" i="13" s="1"/>
  <c r="V216" i="13"/>
  <c r="X216" i="13" s="1"/>
  <c r="Y216" i="13" s="1"/>
  <c r="AD220" i="13"/>
  <c r="V240" i="13"/>
  <c r="X240" i="13" s="1"/>
  <c r="Y240" i="13" s="1"/>
  <c r="AE254" i="13"/>
  <c r="AB265" i="13"/>
  <c r="AB268" i="13"/>
  <c r="V272" i="13"/>
  <c r="X272" i="13" s="1"/>
  <c r="Y272" i="13" s="1"/>
  <c r="AF274" i="13"/>
  <c r="AF276" i="13"/>
  <c r="AD276" i="13"/>
  <c r="AF285" i="13"/>
  <c r="W286" i="13"/>
  <c r="AF286" i="13" s="1"/>
  <c r="V286" i="13"/>
  <c r="X286" i="13" s="1"/>
  <c r="Y286" i="13" s="1"/>
  <c r="AC287" i="13"/>
  <c r="AB287" i="13"/>
  <c r="AH289" i="13"/>
  <c r="AE295" i="13"/>
  <c r="AE303" i="13"/>
  <c r="AF335" i="13"/>
  <c r="AD335" i="13"/>
  <c r="AF340" i="13"/>
  <c r="AD340" i="13"/>
  <c r="AE352" i="13"/>
  <c r="W353" i="13"/>
  <c r="AF353" i="13" s="1"/>
  <c r="V353" i="13"/>
  <c r="X353" i="13" s="1"/>
  <c r="Y353" i="13" s="1"/>
  <c r="AD356" i="13"/>
  <c r="AB359" i="13"/>
  <c r="Y365" i="13"/>
  <c r="AH365" i="13" s="1"/>
  <c r="AE384" i="13"/>
  <c r="V410" i="13"/>
  <c r="X410" i="13" s="1"/>
  <c r="Y410" i="13" s="1"/>
  <c r="AF433" i="13"/>
  <c r="AD433" i="13"/>
  <c r="AF241" i="13"/>
  <c r="AD241" i="13"/>
  <c r="W331" i="13"/>
  <c r="AF331" i="13" s="1"/>
  <c r="V331" i="13"/>
  <c r="X331" i="13" s="1"/>
  <c r="Y331" i="13" s="1"/>
  <c r="AB210" i="13"/>
  <c r="AF244" i="13"/>
  <c r="AD244" i="13"/>
  <c r="AE256" i="13"/>
  <c r="AH256" i="13" s="1"/>
  <c r="V219" i="13"/>
  <c r="X219" i="13" s="1"/>
  <c r="W236" i="13"/>
  <c r="AF236" i="13" s="1"/>
  <c r="V236" i="13"/>
  <c r="X236" i="13" s="1"/>
  <c r="V243" i="13"/>
  <c r="X243" i="13" s="1"/>
  <c r="Y243" i="13" s="1"/>
  <c r="V248" i="13"/>
  <c r="X248" i="13" s="1"/>
  <c r="Y248" i="13" s="1"/>
  <c r="AH248" i="13" s="1"/>
  <c r="AD267" i="13"/>
  <c r="W337" i="13"/>
  <c r="AF337" i="13" s="1"/>
  <c r="V337" i="13"/>
  <c r="X337" i="13" s="1"/>
  <c r="Y337" i="13" s="1"/>
  <c r="AD374" i="13"/>
  <c r="AC211" i="13"/>
  <c r="AB252" i="13"/>
  <c r="AF219" i="13"/>
  <c r="W222" i="13"/>
  <c r="AF222" i="13" s="1"/>
  <c r="AB236" i="13"/>
  <c r="V267" i="13"/>
  <c r="X267" i="13" s="1"/>
  <c r="Y267" i="13" s="1"/>
  <c r="AB276" i="13"/>
  <c r="AF284" i="13"/>
  <c r="AD284" i="13"/>
  <c r="AE315" i="13"/>
  <c r="AB335" i="13"/>
  <c r="AF348" i="13"/>
  <c r="AD348" i="13"/>
  <c r="AF352" i="13"/>
  <c r="AB356" i="13"/>
  <c r="W246" i="13"/>
  <c r="V246" i="13"/>
  <c r="X246" i="13" s="1"/>
  <c r="Y246" i="13" s="1"/>
  <c r="W254" i="13"/>
  <c r="AF254" i="13" s="1"/>
  <c r="V254" i="13"/>
  <c r="X254" i="13" s="1"/>
  <c r="Y254" i="13" s="1"/>
  <c r="AD286" i="13"/>
  <c r="AC316" i="13"/>
  <c r="AB316" i="13"/>
  <c r="AC221" i="13"/>
  <c r="AB221" i="13"/>
  <c r="AF252" i="13"/>
  <c r="AD252" i="13"/>
  <c r="W262" i="13"/>
  <c r="V262" i="13"/>
  <c r="X262" i="13" s="1"/>
  <c r="Y262" i="13" s="1"/>
  <c r="AF227" i="13"/>
  <c r="AG289" i="13"/>
  <c r="AF300" i="13"/>
  <c r="AD300" i="13"/>
  <c r="AD308" i="13"/>
  <c r="W319" i="13"/>
  <c r="AF319" i="13" s="1"/>
  <c r="V319" i="13"/>
  <c r="X319" i="13" s="1"/>
  <c r="Y319" i="13" s="1"/>
  <c r="AE345" i="13"/>
  <c r="AE363" i="13"/>
  <c r="Y391" i="13"/>
  <c r="AH391" i="13" s="1"/>
  <c r="AG391" i="13"/>
  <c r="AC430" i="13"/>
  <c r="AB430" i="13"/>
  <c r="AE467" i="13"/>
  <c r="W468" i="13"/>
  <c r="V468" i="13"/>
  <c r="X468" i="13" s="1"/>
  <c r="Y468" i="13" s="1"/>
  <c r="AD471" i="13"/>
  <c r="AE494" i="13"/>
  <c r="AF294" i="13"/>
  <c r="AF302" i="13"/>
  <c r="W329" i="13"/>
  <c r="AF329" i="13" s="1"/>
  <c r="V329" i="13"/>
  <c r="X329" i="13" s="1"/>
  <c r="Y329" i="13" s="1"/>
  <c r="AC346" i="13"/>
  <c r="AB346" i="13"/>
  <c r="AF381" i="13"/>
  <c r="AD381" i="13"/>
  <c r="AF414" i="13"/>
  <c r="AD414" i="13"/>
  <c r="AD450" i="13"/>
  <c r="AF450" i="13"/>
  <c r="AD452" i="13"/>
  <c r="AC291" i="13"/>
  <c r="AB291" i="13"/>
  <c r="AG297" i="13"/>
  <c r="AE297" i="13"/>
  <c r="AH297" i="13" s="1"/>
  <c r="AG305" i="13"/>
  <c r="AE305" i="13"/>
  <c r="AH305" i="13" s="1"/>
  <c r="W311" i="13"/>
  <c r="V311" i="13"/>
  <c r="X311" i="13" s="1"/>
  <c r="Y311" i="13" s="1"/>
  <c r="AC312" i="13"/>
  <c r="AB312" i="13"/>
  <c r="AC322" i="13"/>
  <c r="AB322" i="13"/>
  <c r="AF327" i="13"/>
  <c r="AD327" i="13"/>
  <c r="AE337" i="13"/>
  <c r="W421" i="13"/>
  <c r="AF421" i="13" s="1"/>
  <c r="V421" i="13"/>
  <c r="X421" i="13" s="1"/>
  <c r="Y421" i="13" s="1"/>
  <c r="AF427" i="13"/>
  <c r="AD427" i="13"/>
  <c r="Y491" i="13"/>
  <c r="AE501" i="13"/>
  <c r="AH501" i="13" s="1"/>
  <c r="AG501" i="13"/>
  <c r="W533" i="13"/>
  <c r="V533" i="13"/>
  <c r="X533" i="13" s="1"/>
  <c r="Y533" i="13" s="1"/>
  <c r="V244" i="13"/>
  <c r="X244" i="13" s="1"/>
  <c r="Y244" i="13" s="1"/>
  <c r="AB245" i="13"/>
  <c r="V252" i="13"/>
  <c r="X252" i="13" s="1"/>
  <c r="Y252" i="13" s="1"/>
  <c r="AB253" i="13"/>
  <c r="V260" i="13"/>
  <c r="X260" i="13" s="1"/>
  <c r="Y260" i="13" s="1"/>
  <c r="AB261" i="13"/>
  <c r="V268" i="13"/>
  <c r="X268" i="13" s="1"/>
  <c r="Y268" i="13" s="1"/>
  <c r="AB269" i="13"/>
  <c r="V276" i="13"/>
  <c r="X276" i="13" s="1"/>
  <c r="Y276" i="13" s="1"/>
  <c r="AB277" i="13"/>
  <c r="V284" i="13"/>
  <c r="X284" i="13" s="1"/>
  <c r="Y284" i="13" s="1"/>
  <c r="AB285" i="13"/>
  <c r="AB288" i="13"/>
  <c r="AB289" i="13"/>
  <c r="AC290" i="13"/>
  <c r="AE294" i="13"/>
  <c r="W295" i="13"/>
  <c r="AF295" i="13" s="1"/>
  <c r="V295" i="13"/>
  <c r="X295" i="13" s="1"/>
  <c r="Y295" i="13" s="1"/>
  <c r="AC296" i="13"/>
  <c r="AB296" i="13"/>
  <c r="AE302" i="13"/>
  <c r="W303" i="13"/>
  <c r="AF303" i="13" s="1"/>
  <c r="V303" i="13"/>
  <c r="X303" i="13" s="1"/>
  <c r="Y303" i="13" s="1"/>
  <c r="AC304" i="13"/>
  <c r="AB304" i="13"/>
  <c r="V318" i="13"/>
  <c r="X318" i="13" s="1"/>
  <c r="Y318" i="13" s="1"/>
  <c r="AB319" i="13"/>
  <c r="W321" i="13"/>
  <c r="AF321" i="13" s="1"/>
  <c r="AB327" i="13"/>
  <c r="W345" i="13"/>
  <c r="AF345" i="13" s="1"/>
  <c r="V345" i="13"/>
  <c r="X345" i="13" s="1"/>
  <c r="Y345" i="13" s="1"/>
  <c r="V347" i="13"/>
  <c r="X347" i="13" s="1"/>
  <c r="Y347" i="13" s="1"/>
  <c r="AH347" i="13" s="1"/>
  <c r="AB348" i="13"/>
  <c r="AC362" i="13"/>
  <c r="AB362" i="13"/>
  <c r="AB367" i="13"/>
  <c r="V397" i="13"/>
  <c r="X397" i="13" s="1"/>
  <c r="Y397" i="13" s="1"/>
  <c r="AF406" i="13"/>
  <c r="AD406" i="13"/>
  <c r="AB427" i="13"/>
  <c r="W432" i="13"/>
  <c r="V432" i="13"/>
  <c r="X432" i="13" s="1"/>
  <c r="Y432" i="13" s="1"/>
  <c r="V441" i="13"/>
  <c r="X441" i="13" s="1"/>
  <c r="Y441" i="13" s="1"/>
  <c r="AD446" i="13"/>
  <c r="AC469" i="13"/>
  <c r="AB469" i="13"/>
  <c r="AC481" i="13"/>
  <c r="AB481" i="13"/>
  <c r="W489" i="13"/>
  <c r="AF489" i="13" s="1"/>
  <c r="V489" i="13"/>
  <c r="X489" i="13" s="1"/>
  <c r="Y489" i="13" s="1"/>
  <c r="AC532" i="13"/>
  <c r="AB532" i="13"/>
  <c r="AG293" i="13"/>
  <c r="AD319" i="13"/>
  <c r="AC338" i="13"/>
  <c r="AB338" i="13"/>
  <c r="AF343" i="13"/>
  <c r="AD343" i="13"/>
  <c r="V350" i="13"/>
  <c r="X350" i="13" s="1"/>
  <c r="Y350" i="13" s="1"/>
  <c r="AD353" i="13"/>
  <c r="AD367" i="13"/>
  <c r="AD383" i="13"/>
  <c r="AB406" i="13"/>
  <c r="W413" i="13"/>
  <c r="AF413" i="13" s="1"/>
  <c r="V413" i="13"/>
  <c r="X413" i="13" s="1"/>
  <c r="Y413" i="13" s="1"/>
  <c r="AF419" i="13"/>
  <c r="AD419" i="13"/>
  <c r="W424" i="13"/>
  <c r="V424" i="13"/>
  <c r="X424" i="13" s="1"/>
  <c r="Y424" i="13" s="1"/>
  <c r="AD455" i="13"/>
  <c r="V464" i="13"/>
  <c r="X464" i="13" s="1"/>
  <c r="AD489" i="13"/>
  <c r="AE499" i="13"/>
  <c r="AH499" i="13" s="1"/>
  <c r="AE329" i="13"/>
  <c r="W361" i="13"/>
  <c r="AF361" i="13" s="1"/>
  <c r="V361" i="13"/>
  <c r="X361" i="13" s="1"/>
  <c r="Y361" i="13" s="1"/>
  <c r="AE400" i="13"/>
  <c r="W522" i="13"/>
  <c r="V522" i="13"/>
  <c r="X522" i="13" s="1"/>
  <c r="Y522" i="13" s="1"/>
  <c r="AC434" i="13"/>
  <c r="AB434" i="13"/>
  <c r="AC439" i="13"/>
  <c r="AB439" i="13"/>
  <c r="AD470" i="13"/>
  <c r="W475" i="13"/>
  <c r="V475" i="13"/>
  <c r="X475" i="13" s="1"/>
  <c r="Y475" i="13" s="1"/>
  <c r="AG478" i="13"/>
  <c r="AE478" i="13"/>
  <c r="AH478" i="13" s="1"/>
  <c r="AE505" i="13"/>
  <c r="AD542" i="13"/>
  <c r="W384" i="13"/>
  <c r="AF384" i="13" s="1"/>
  <c r="V384" i="13"/>
  <c r="X384" i="13" s="1"/>
  <c r="Y384" i="13" s="1"/>
  <c r="AC385" i="13"/>
  <c r="AB385" i="13"/>
  <c r="AF397" i="13"/>
  <c r="AE416" i="13"/>
  <c r="W436" i="13"/>
  <c r="V436" i="13"/>
  <c r="X436" i="13" s="1"/>
  <c r="Y436" i="13" s="1"/>
  <c r="AD442" i="13"/>
  <c r="AC458" i="13"/>
  <c r="AB458" i="13"/>
  <c r="AC468" i="13"/>
  <c r="AB468" i="13"/>
  <c r="AC493" i="13"/>
  <c r="AB493" i="13"/>
  <c r="AD495" i="13"/>
  <c r="AC498" i="13"/>
  <c r="AB498" i="13"/>
  <c r="AC540" i="13"/>
  <c r="AB540" i="13"/>
  <c r="V327" i="13"/>
  <c r="X327" i="13" s="1"/>
  <c r="Y327" i="13" s="1"/>
  <c r="AB328" i="13"/>
  <c r="V335" i="13"/>
  <c r="X335" i="13" s="1"/>
  <c r="Y335" i="13" s="1"/>
  <c r="AB336" i="13"/>
  <c r="V343" i="13"/>
  <c r="X343" i="13" s="1"/>
  <c r="Y343" i="13" s="1"/>
  <c r="AB344" i="13"/>
  <c r="V351" i="13"/>
  <c r="X351" i="13" s="1"/>
  <c r="Y351" i="13" s="1"/>
  <c r="AB352" i="13"/>
  <c r="V359" i="13"/>
  <c r="X359" i="13" s="1"/>
  <c r="Y359" i="13" s="1"/>
  <c r="AB360" i="13"/>
  <c r="V367" i="13"/>
  <c r="X367" i="13" s="1"/>
  <c r="Y367" i="13" s="1"/>
  <c r="W368" i="13"/>
  <c r="AF371" i="13"/>
  <c r="AD371" i="13"/>
  <c r="V375" i="13"/>
  <c r="X375" i="13" s="1"/>
  <c r="Y375" i="13" s="1"/>
  <c r="AC377" i="13"/>
  <c r="AD379" i="13"/>
  <c r="AF382" i="13"/>
  <c r="AD382" i="13"/>
  <c r="W392" i="13"/>
  <c r="AF392" i="13" s="1"/>
  <c r="V392" i="13"/>
  <c r="X392" i="13" s="1"/>
  <c r="Y392" i="13" s="1"/>
  <c r="AC393" i="13"/>
  <c r="AB393" i="13"/>
  <c r="AD397" i="13"/>
  <c r="AE399" i="13"/>
  <c r="AF405" i="13"/>
  <c r="AG437" i="13"/>
  <c r="AE437" i="13"/>
  <c r="AH437" i="13" s="1"/>
  <c r="AC461" i="13"/>
  <c r="AB461" i="13"/>
  <c r="AB471" i="13"/>
  <c r="AD484" i="13"/>
  <c r="W494" i="13"/>
  <c r="AF494" i="13" s="1"/>
  <c r="V494" i="13"/>
  <c r="X494" i="13" s="1"/>
  <c r="Y494" i="13" s="1"/>
  <c r="V497" i="13"/>
  <c r="X497" i="13" s="1"/>
  <c r="Y497" i="13" s="1"/>
  <c r="AD518" i="13"/>
  <c r="W541" i="13"/>
  <c r="V541" i="13"/>
  <c r="X541" i="13" s="1"/>
  <c r="Y541" i="13" s="1"/>
  <c r="AF563" i="13"/>
  <c r="AD563" i="13"/>
  <c r="Y564" i="13"/>
  <c r="AH564" i="13" s="1"/>
  <c r="AG564" i="13"/>
  <c r="V298" i="13"/>
  <c r="X298" i="13" s="1"/>
  <c r="Y298" i="13" s="1"/>
  <c r="AB299" i="13"/>
  <c r="V306" i="13"/>
  <c r="X306" i="13" s="1"/>
  <c r="Y306" i="13" s="1"/>
  <c r="AB307" i="13"/>
  <c r="V314" i="13"/>
  <c r="X314" i="13" s="1"/>
  <c r="Y314" i="13" s="1"/>
  <c r="AB315" i="13"/>
  <c r="V322" i="13"/>
  <c r="X322" i="13" s="1"/>
  <c r="Y322" i="13" s="1"/>
  <c r="AB323" i="13"/>
  <c r="V330" i="13"/>
  <c r="X330" i="13" s="1"/>
  <c r="Y330" i="13" s="1"/>
  <c r="AB331" i="13"/>
  <c r="V338" i="13"/>
  <c r="X338" i="13" s="1"/>
  <c r="Y338" i="13" s="1"/>
  <c r="AB339" i="13"/>
  <c r="V346" i="13"/>
  <c r="X346" i="13" s="1"/>
  <c r="Y346" i="13" s="1"/>
  <c r="AB347" i="13"/>
  <c r="V354" i="13"/>
  <c r="X354" i="13" s="1"/>
  <c r="Y354" i="13" s="1"/>
  <c r="AB355" i="13"/>
  <c r="V362" i="13"/>
  <c r="X362" i="13" s="1"/>
  <c r="Y362" i="13" s="1"/>
  <c r="AB363" i="13"/>
  <c r="AC369" i="13"/>
  <c r="W374" i="13"/>
  <c r="AF374" i="13" s="1"/>
  <c r="V374" i="13"/>
  <c r="X374" i="13" s="1"/>
  <c r="Y374" i="13" s="1"/>
  <c r="AB376" i="13"/>
  <c r="AB382" i="13"/>
  <c r="V386" i="13"/>
  <c r="X386" i="13" s="1"/>
  <c r="Y386" i="13" s="1"/>
  <c r="AH386" i="13" s="1"/>
  <c r="AF390" i="13"/>
  <c r="AD390" i="13"/>
  <c r="AF399" i="13"/>
  <c r="W400" i="13"/>
  <c r="AF400" i="13" s="1"/>
  <c r="V400" i="13"/>
  <c r="X400" i="13" s="1"/>
  <c r="Y400" i="13" s="1"/>
  <c r="AC401" i="13"/>
  <c r="AB401" i="13"/>
  <c r="AE402" i="13"/>
  <c r="AD405" i="13"/>
  <c r="AB433" i="13"/>
  <c r="W446" i="13"/>
  <c r="AF446" i="13" s="1"/>
  <c r="V446" i="13"/>
  <c r="X446" i="13" s="1"/>
  <c r="Y446" i="13" s="1"/>
  <c r="W465" i="13"/>
  <c r="AF465" i="13" s="1"/>
  <c r="V465" i="13"/>
  <c r="X465" i="13" s="1"/>
  <c r="Y465" i="13" s="1"/>
  <c r="AD473" i="13"/>
  <c r="AC482" i="13"/>
  <c r="AB482" i="13"/>
  <c r="AD486" i="13"/>
  <c r="W492" i="13"/>
  <c r="AF492" i="13" s="1"/>
  <c r="V492" i="13"/>
  <c r="X492" i="13" s="1"/>
  <c r="Y492" i="13" s="1"/>
  <c r="Y512" i="13"/>
  <c r="AB518" i="13"/>
  <c r="AF528" i="13"/>
  <c r="AD528" i="13"/>
  <c r="AB548" i="13"/>
  <c r="V381" i="13"/>
  <c r="X381" i="13" s="1"/>
  <c r="Y381" i="13" s="1"/>
  <c r="AB390" i="13"/>
  <c r="AF396" i="13"/>
  <c r="AF398" i="13"/>
  <c r="AD398" i="13"/>
  <c r="AF407" i="13"/>
  <c r="W408" i="13"/>
  <c r="V408" i="13"/>
  <c r="X408" i="13" s="1"/>
  <c r="Y408" i="13" s="1"/>
  <c r="AC409" i="13"/>
  <c r="AB409" i="13"/>
  <c r="AD413" i="13"/>
  <c r="AC417" i="13"/>
  <c r="AB417" i="13"/>
  <c r="AD421" i="13"/>
  <c r="AC425" i="13"/>
  <c r="AB425" i="13"/>
  <c r="AF429" i="13"/>
  <c r="AD438" i="13"/>
  <c r="V457" i="13"/>
  <c r="X457" i="13" s="1"/>
  <c r="Y457" i="13" s="1"/>
  <c r="AD465" i="13"/>
  <c r="AC485" i="13"/>
  <c r="AB485" i="13"/>
  <c r="AD492" i="13"/>
  <c r="AD526" i="13"/>
  <c r="AD548" i="13"/>
  <c r="V562" i="13"/>
  <c r="X562" i="13" s="1"/>
  <c r="Y562" i="13" s="1"/>
  <c r="AH562" i="13" s="1"/>
  <c r="W574" i="13"/>
  <c r="AF574" i="13" s="1"/>
  <c r="V574" i="13"/>
  <c r="X574" i="13" s="1"/>
  <c r="Y574" i="13" s="1"/>
  <c r="W476" i="13"/>
  <c r="V476" i="13"/>
  <c r="X476" i="13" s="1"/>
  <c r="Y476" i="13" s="1"/>
  <c r="AD503" i="13"/>
  <c r="W525" i="13"/>
  <c r="V525" i="13"/>
  <c r="X525" i="13" s="1"/>
  <c r="Y525" i="13" s="1"/>
  <c r="AH525" i="13" s="1"/>
  <c r="W547" i="13"/>
  <c r="V547" i="13"/>
  <c r="X547" i="13" s="1"/>
  <c r="Y547" i="13" s="1"/>
  <c r="AF549" i="13"/>
  <c r="AD549" i="13"/>
  <c r="W452" i="13"/>
  <c r="AF452" i="13" s="1"/>
  <c r="V452" i="13"/>
  <c r="X452" i="13" s="1"/>
  <c r="Y452" i="13" s="1"/>
  <c r="AF497" i="13"/>
  <c r="W505" i="13"/>
  <c r="AF505" i="13" s="1"/>
  <c r="V505" i="13"/>
  <c r="X505" i="13" s="1"/>
  <c r="Y505" i="13" s="1"/>
  <c r="AC506" i="13"/>
  <c r="AB506" i="13"/>
  <c r="W539" i="13"/>
  <c r="V539" i="13"/>
  <c r="X539" i="13" s="1"/>
  <c r="Y539" i="13" s="1"/>
  <c r="AC566" i="13"/>
  <c r="AB566" i="13"/>
  <c r="V382" i="13"/>
  <c r="X382" i="13" s="1"/>
  <c r="Y382" i="13" s="1"/>
  <c r="AB383" i="13"/>
  <c r="V390" i="13"/>
  <c r="X390" i="13" s="1"/>
  <c r="Y390" i="13" s="1"/>
  <c r="AB391" i="13"/>
  <c r="V398" i="13"/>
  <c r="X398" i="13" s="1"/>
  <c r="Y398" i="13" s="1"/>
  <c r="AB399" i="13"/>
  <c r="V406" i="13"/>
  <c r="X406" i="13" s="1"/>
  <c r="Y406" i="13" s="1"/>
  <c r="AB407" i="13"/>
  <c r="V414" i="13"/>
  <c r="X414" i="13" s="1"/>
  <c r="Y414" i="13" s="1"/>
  <c r="AB415" i="13"/>
  <c r="V422" i="13"/>
  <c r="X422" i="13" s="1"/>
  <c r="Y422" i="13" s="1"/>
  <c r="AB423" i="13"/>
  <c r="V430" i="13"/>
  <c r="X430" i="13" s="1"/>
  <c r="Y430" i="13" s="1"/>
  <c r="AB431" i="13"/>
  <c r="V433" i="13"/>
  <c r="X433" i="13" s="1"/>
  <c r="Y433" i="13" s="1"/>
  <c r="AC440" i="13"/>
  <c r="V443" i="13"/>
  <c r="X443" i="13" s="1"/>
  <c r="Y443" i="13" s="1"/>
  <c r="V448" i="13"/>
  <c r="X448" i="13" s="1"/>
  <c r="Y448" i="13" s="1"/>
  <c r="AB455" i="13"/>
  <c r="AD456" i="13"/>
  <c r="AB465" i="13"/>
  <c r="AB466" i="13"/>
  <c r="AC477" i="13"/>
  <c r="AB477" i="13"/>
  <c r="AD479" i="13"/>
  <c r="AB489" i="13"/>
  <c r="AB490" i="13"/>
  <c r="AB495" i="13"/>
  <c r="AD497" i="13"/>
  <c r="AD511" i="13"/>
  <c r="AD519" i="13"/>
  <c r="W531" i="13"/>
  <c r="V531" i="13"/>
  <c r="X531" i="13" s="1"/>
  <c r="Y531" i="13" s="1"/>
  <c r="AC539" i="13"/>
  <c r="AB539" i="13"/>
  <c r="AD444" i="13"/>
  <c r="AB445" i="13"/>
  <c r="AC453" i="13"/>
  <c r="AB453" i="13"/>
  <c r="W460" i="13"/>
  <c r="AF460" i="13" s="1"/>
  <c r="V460" i="13"/>
  <c r="X460" i="13" s="1"/>
  <c r="Y460" i="13" s="1"/>
  <c r="V473" i="13"/>
  <c r="X473" i="13" s="1"/>
  <c r="Y473" i="13" s="1"/>
  <c r="W484" i="13"/>
  <c r="AF484" i="13" s="1"/>
  <c r="V484" i="13"/>
  <c r="X484" i="13" s="1"/>
  <c r="Y484" i="13" s="1"/>
  <c r="V510" i="13"/>
  <c r="X510" i="13" s="1"/>
  <c r="Y510" i="13" s="1"/>
  <c r="AB511" i="13"/>
  <c r="W513" i="13"/>
  <c r="V513" i="13"/>
  <c r="X513" i="13" s="1"/>
  <c r="Y513" i="13" s="1"/>
  <c r="AC514" i="13"/>
  <c r="AB514" i="13"/>
  <c r="V516" i="13"/>
  <c r="X516" i="13" s="1"/>
  <c r="Y516" i="13" s="1"/>
  <c r="W516" i="13"/>
  <c r="AC531" i="13"/>
  <c r="AB531" i="13"/>
  <c r="V546" i="13"/>
  <c r="X546" i="13" s="1"/>
  <c r="V565" i="13"/>
  <c r="X565" i="13" s="1"/>
  <c r="AG466" i="13"/>
  <c r="V552" i="13"/>
  <c r="X552" i="13" s="1"/>
  <c r="Y552" i="13" s="1"/>
  <c r="W552" i="13"/>
  <c r="AF555" i="13"/>
  <c r="AD555" i="13"/>
  <c r="AC567" i="13"/>
  <c r="AB567" i="13"/>
  <c r="V500" i="13"/>
  <c r="X500" i="13" s="1"/>
  <c r="Y500" i="13" s="1"/>
  <c r="AB501" i="13"/>
  <c r="V508" i="13"/>
  <c r="X508" i="13" s="1"/>
  <c r="Y508" i="13" s="1"/>
  <c r="AB509" i="13"/>
  <c r="V517" i="13"/>
  <c r="X517" i="13" s="1"/>
  <c r="Y517" i="13" s="1"/>
  <c r="AB519" i="13"/>
  <c r="W524" i="13"/>
  <c r="AB526" i="13"/>
  <c r="AB534" i="13"/>
  <c r="AB542" i="13"/>
  <c r="AB549" i="13"/>
  <c r="AG572" i="13"/>
  <c r="AB456" i="13"/>
  <c r="AB464" i="13"/>
  <c r="AB488" i="13"/>
  <c r="V523" i="13"/>
  <c r="X523" i="13" s="1"/>
  <c r="Y523" i="13" s="1"/>
  <c r="V570" i="13"/>
  <c r="X570" i="13" s="1"/>
  <c r="Y570" i="13" s="1"/>
  <c r="V573" i="13"/>
  <c r="X573" i="13" s="1"/>
  <c r="Y573" i="13" s="1"/>
  <c r="AD558" i="13"/>
  <c r="AC575" i="13"/>
  <c r="AB575" i="13"/>
  <c r="AC524" i="13"/>
  <c r="AB524" i="13"/>
  <c r="AC559" i="13"/>
  <c r="AB559" i="13"/>
  <c r="V551" i="13"/>
  <c r="X551" i="13" s="1"/>
  <c r="Y551" i="13" s="1"/>
  <c r="AB555" i="13"/>
  <c r="W560" i="13"/>
  <c r="AB574" i="13"/>
  <c r="W550" i="13"/>
  <c r="V550" i="13"/>
  <c r="X550" i="13" s="1"/>
  <c r="AC553" i="13"/>
  <c r="AE556" i="13"/>
  <c r="AH556" i="13" s="1"/>
  <c r="AD557" i="13"/>
  <c r="V559" i="13"/>
  <c r="X559" i="13" s="1"/>
  <c r="Y559" i="13" s="1"/>
  <c r="AB563" i="13"/>
  <c r="W568" i="13"/>
  <c r="AD574" i="13"/>
  <c r="W558" i="13"/>
  <c r="AF558" i="13" s="1"/>
  <c r="V558" i="13"/>
  <c r="X558" i="13" s="1"/>
  <c r="Y558" i="13" s="1"/>
  <c r="V549" i="13"/>
  <c r="X549" i="13" s="1"/>
  <c r="Y549" i="13" s="1"/>
  <c r="AC551" i="13"/>
  <c r="AB551" i="13"/>
  <c r="W566" i="13"/>
  <c r="V566" i="13"/>
  <c r="X566" i="13" s="1"/>
  <c r="Y566" i="13" s="1"/>
  <c r="AC569" i="13"/>
  <c r="AF213" i="13" l="1"/>
  <c r="AH402" i="13"/>
  <c r="AH223" i="13"/>
  <c r="AF487" i="13"/>
  <c r="AF525" i="13"/>
  <c r="AH541" i="13"/>
  <c r="AF552" i="13"/>
  <c r="AF541" i="13"/>
  <c r="AG402" i="13"/>
  <c r="AG226" i="13"/>
  <c r="AG431" i="13"/>
  <c r="AF350" i="13"/>
  <c r="AH488" i="13"/>
  <c r="AF273" i="13"/>
  <c r="AF550" i="13"/>
  <c r="AE568" i="13"/>
  <c r="AH568" i="13" s="1"/>
  <c r="AH399" i="13"/>
  <c r="AG370" i="13"/>
  <c r="AF436" i="13"/>
  <c r="AD573" i="13"/>
  <c r="AE573" i="13" s="1"/>
  <c r="AH573" i="13" s="1"/>
  <c r="AH467" i="13"/>
  <c r="AH515" i="13"/>
  <c r="AG561" i="13"/>
  <c r="AG435" i="13"/>
  <c r="AD508" i="13"/>
  <c r="AG508" i="13" s="1"/>
  <c r="AF516" i="13"/>
  <c r="AG512" i="13"/>
  <c r="AF463" i="13"/>
  <c r="AF522" i="13"/>
  <c r="AH512" i="13"/>
  <c r="AF443" i="13"/>
  <c r="AF246" i="13"/>
  <c r="AG299" i="13"/>
  <c r="AF311" i="13"/>
  <c r="AF515" i="13"/>
  <c r="AF435" i="13"/>
  <c r="AD449" i="13"/>
  <c r="AG449" i="13" s="1"/>
  <c r="AF215" i="13"/>
  <c r="AF324" i="13"/>
  <c r="AH416" i="13"/>
  <c r="AG420" i="13"/>
  <c r="AF561" i="13"/>
  <c r="AD571" i="13"/>
  <c r="AG571" i="13" s="1"/>
  <c r="AG527" i="13"/>
  <c r="AF513" i="13"/>
  <c r="AD281" i="13"/>
  <c r="AE281" i="13" s="1"/>
  <c r="AH281" i="13" s="1"/>
  <c r="AF370" i="13"/>
  <c r="AF388" i="13"/>
  <c r="AF424" i="13"/>
  <c r="AF378" i="13"/>
  <c r="AD351" i="13"/>
  <c r="AG351" i="13" s="1"/>
  <c r="AE394" i="13"/>
  <c r="AH394" i="13" s="1"/>
  <c r="AH436" i="13"/>
  <c r="AH294" i="13"/>
  <c r="AG317" i="13"/>
  <c r="AG407" i="13"/>
  <c r="AG360" i="13"/>
  <c r="AG396" i="13"/>
  <c r="AG502" i="13"/>
  <c r="AF491" i="13"/>
  <c r="AH527" i="13"/>
  <c r="AF333" i="13"/>
  <c r="AG242" i="13"/>
  <c r="AD387" i="13"/>
  <c r="AE387" i="13" s="1"/>
  <c r="AH387" i="13" s="1"/>
  <c r="AH507" i="13"/>
  <c r="AG535" i="13"/>
  <c r="AG543" i="13"/>
  <c r="AH370" i="13"/>
  <c r="AG399" i="13"/>
  <c r="AD243" i="13"/>
  <c r="AG243" i="13" s="1"/>
  <c r="AF366" i="13"/>
  <c r="AG418" i="13"/>
  <c r="AD504" i="13"/>
  <c r="AE504" i="13" s="1"/>
  <c r="AH504" i="13" s="1"/>
  <c r="AF476" i="13"/>
  <c r="AF568" i="13"/>
  <c r="AG538" i="13"/>
  <c r="AF216" i="13"/>
  <c r="AD389" i="13"/>
  <c r="AE389" i="13" s="1"/>
  <c r="AH389" i="13" s="1"/>
  <c r="AG344" i="13"/>
  <c r="AD314" i="13"/>
  <c r="AE314" i="13" s="1"/>
  <c r="AH314" i="13" s="1"/>
  <c r="AF270" i="13"/>
  <c r="AF272" i="13"/>
  <c r="AF521" i="13"/>
  <c r="AF447" i="13"/>
  <c r="AG416" i="13"/>
  <c r="AF475" i="13"/>
  <c r="AE426" i="13"/>
  <c r="AH426" i="13" s="1"/>
  <c r="AF512" i="13"/>
  <c r="AF395" i="13"/>
  <c r="AF408" i="13"/>
  <c r="AG507" i="13"/>
  <c r="AF529" i="13"/>
  <c r="AF543" i="13"/>
  <c r="AF533" i="13"/>
  <c r="AD373" i="13"/>
  <c r="AE373" i="13" s="1"/>
  <c r="AH373" i="13" s="1"/>
  <c r="AG522" i="13"/>
  <c r="AF547" i="13"/>
  <c r="AF368" i="13"/>
  <c r="AG530" i="13"/>
  <c r="AG325" i="13"/>
  <c r="AG266" i="13"/>
  <c r="AF537" i="13"/>
  <c r="AG447" i="13"/>
  <c r="AG285" i="13"/>
  <c r="AH285" i="13"/>
  <c r="AG250" i="13"/>
  <c r="AG261" i="13"/>
  <c r="AG215" i="13"/>
  <c r="AF206" i="13"/>
  <c r="AG333" i="13"/>
  <c r="AG488" i="13"/>
  <c r="AH258" i="13"/>
  <c r="AF507" i="13"/>
  <c r="Y509" i="13"/>
  <c r="AH509" i="13" s="1"/>
  <c r="AG443" i="13"/>
  <c r="AH261" i="13"/>
  <c r="AD521" i="13"/>
  <c r="AG521" i="13" s="1"/>
  <c r="AH213" i="13"/>
  <c r="AG404" i="13"/>
  <c r="AF535" i="13"/>
  <c r="AG372" i="13"/>
  <c r="AF432" i="13"/>
  <c r="AD448" i="13"/>
  <c r="AE448" i="13" s="1"/>
  <c r="AH448" i="13" s="1"/>
  <c r="AF565" i="13"/>
  <c r="AH552" i="13"/>
  <c r="AG515" i="13"/>
  <c r="AG309" i="13"/>
  <c r="AH533" i="13"/>
  <c r="AH215" i="13"/>
  <c r="AF527" i="13"/>
  <c r="AG459" i="13"/>
  <c r="AG552" i="13"/>
  <c r="AF545" i="13"/>
  <c r="AH410" i="13"/>
  <c r="AD298" i="13"/>
  <c r="AE298" i="13" s="1"/>
  <c r="AH298" i="13" s="1"/>
  <c r="AF554" i="13"/>
  <c r="AD554" i="13"/>
  <c r="AG490" i="13"/>
  <c r="AE459" i="13"/>
  <c r="AH459" i="13" s="1"/>
  <c r="AE480" i="13"/>
  <c r="AH480" i="13" s="1"/>
  <c r="AG480" i="13"/>
  <c r="AF334" i="13"/>
  <c r="AG245" i="13"/>
  <c r="AF394" i="13"/>
  <c r="AD428" i="13"/>
  <c r="AF428" i="13"/>
  <c r="AF451" i="13"/>
  <c r="AD451" i="13"/>
  <c r="AF462" i="13"/>
  <c r="AD462" i="13"/>
  <c r="AD500" i="13"/>
  <c r="AG500" i="13" s="1"/>
  <c r="Y435" i="13"/>
  <c r="AH435" i="13" s="1"/>
  <c r="AG423" i="13"/>
  <c r="AF560" i="13"/>
  <c r="AG388" i="13"/>
  <c r="AE502" i="13"/>
  <c r="AH502" i="13" s="1"/>
  <c r="AH418" i="13"/>
  <c r="AG491" i="13"/>
  <c r="AF510" i="13"/>
  <c r="AE368" i="13"/>
  <c r="AH368" i="13" s="1"/>
  <c r="AH352" i="13"/>
  <c r="AH272" i="13"/>
  <c r="AF278" i="13"/>
  <c r="AG258" i="13"/>
  <c r="AF209" i="13"/>
  <c r="AF318" i="13"/>
  <c r="AF317" i="13"/>
  <c r="AD570" i="13"/>
  <c r="AF570" i="13"/>
  <c r="Y474" i="13"/>
  <c r="AH474" i="13" s="1"/>
  <c r="AG474" i="13"/>
  <c r="AF520" i="13"/>
  <c r="AE415" i="13"/>
  <c r="AH415" i="13" s="1"/>
  <c r="AG415" i="13"/>
  <c r="AF426" i="13"/>
  <c r="AF480" i="13"/>
  <c r="AF418" i="13"/>
  <c r="AD232" i="13"/>
  <c r="AE232" i="13" s="1"/>
  <c r="AH232" i="13" s="1"/>
  <c r="AH282" i="13"/>
  <c r="AG496" i="13"/>
  <c r="AE496" i="13"/>
  <c r="AH496" i="13" s="1"/>
  <c r="AG520" i="13"/>
  <c r="AH429" i="13"/>
  <c r="AG454" i="13"/>
  <c r="AE520" i="13"/>
  <c r="AH520" i="13" s="1"/>
  <c r="AE447" i="13"/>
  <c r="AH447" i="13" s="1"/>
  <c r="AF282" i="13"/>
  <c r="AG352" i="13"/>
  <c r="AD326" i="13"/>
  <c r="AG326" i="13" s="1"/>
  <c r="AF483" i="13"/>
  <c r="AD483" i="13"/>
  <c r="AE412" i="13"/>
  <c r="AH412" i="13" s="1"/>
  <c r="AG412" i="13"/>
  <c r="AF496" i="13"/>
  <c r="AG429" i="13"/>
  <c r="AG533" i="13"/>
  <c r="AH443" i="13"/>
  <c r="AG410" i="13"/>
  <c r="AH505" i="13"/>
  <c r="AG386" i="13"/>
  <c r="AG301" i="13"/>
  <c r="AH491" i="13"/>
  <c r="AH476" i="13"/>
  <c r="AD306" i="13"/>
  <c r="AE306" i="13" s="1"/>
  <c r="AH306" i="13" s="1"/>
  <c r="AG274" i="13"/>
  <c r="AG288" i="13"/>
  <c r="AD310" i="13"/>
  <c r="AE310" i="13" s="1"/>
  <c r="AH310" i="13" s="1"/>
  <c r="AG234" i="13"/>
  <c r="AG334" i="13"/>
  <c r="AH334" i="13"/>
  <c r="AH372" i="13"/>
  <c r="AF410" i="13"/>
  <c r="AF441" i="13"/>
  <c r="AF523" i="13"/>
  <c r="AD523" i="13"/>
  <c r="AE523" i="13" s="1"/>
  <c r="AH523" i="13" s="1"/>
  <c r="AD517" i="13"/>
  <c r="AG517" i="13" s="1"/>
  <c r="AG476" i="13"/>
  <c r="AG467" i="13"/>
  <c r="AH363" i="13"/>
  <c r="AH251" i="13"/>
  <c r="AG269" i="13"/>
  <c r="AG282" i="13"/>
  <c r="AF472" i="13"/>
  <c r="AD472" i="13"/>
  <c r="AG363" i="13"/>
  <c r="AG357" i="13"/>
  <c r="AG302" i="13"/>
  <c r="AH302" i="13"/>
  <c r="AF342" i="13"/>
  <c r="AE333" i="13"/>
  <c r="AH333" i="13" s="1"/>
  <c r="AG315" i="13"/>
  <c r="AG223" i="13"/>
  <c r="AG307" i="13"/>
  <c r="AF258" i="13"/>
  <c r="AG294" i="13"/>
  <c r="AF357" i="13"/>
  <c r="AF262" i="13"/>
  <c r="AF358" i="13"/>
  <c r="AF228" i="13"/>
  <c r="AH214" i="13"/>
  <c r="AG213" i="13"/>
  <c r="AF214" i="13"/>
  <c r="AF251" i="13"/>
  <c r="AF223" i="13"/>
  <c r="AG264" i="13"/>
  <c r="AH318" i="13"/>
  <c r="AG210" i="13"/>
  <c r="AH254" i="13"/>
  <c r="AH227" i="13"/>
  <c r="AH206" i="13"/>
  <c r="AG342" i="13"/>
  <c r="AH345" i="13"/>
  <c r="AG347" i="13"/>
  <c r="AG248" i="13"/>
  <c r="AG345" i="13"/>
  <c r="AG214" i="13"/>
  <c r="AH278" i="13"/>
  <c r="AH295" i="13"/>
  <c r="AG278" i="13"/>
  <c r="AG251" i="13"/>
  <c r="AH270" i="13"/>
  <c r="AH342" i="13"/>
  <c r="AG270" i="13"/>
  <c r="AH315" i="13"/>
  <c r="AH355" i="13"/>
  <c r="AG206" i="13"/>
  <c r="AG438" i="13"/>
  <c r="AE438" i="13"/>
  <c r="AH438" i="13" s="1"/>
  <c r="AG486" i="13"/>
  <c r="AE486" i="13"/>
  <c r="AH486" i="13" s="1"/>
  <c r="AD461" i="13"/>
  <c r="AF461" i="13"/>
  <c r="AG414" i="13"/>
  <c r="AE414" i="13"/>
  <c r="AH414" i="13" s="1"/>
  <c r="AG328" i="13"/>
  <c r="AE328" i="13"/>
  <c r="AH328" i="13" s="1"/>
  <c r="AD377" i="13"/>
  <c r="AF377" i="13"/>
  <c r="AG442" i="13"/>
  <c r="AE442" i="13"/>
  <c r="AH442" i="13" s="1"/>
  <c r="AG367" i="13"/>
  <c r="AE367" i="13"/>
  <c r="AH367" i="13" s="1"/>
  <c r="AG358" i="13"/>
  <c r="AE358" i="13"/>
  <c r="AH358" i="13" s="1"/>
  <c r="AF255" i="13"/>
  <c r="AD255" i="13"/>
  <c r="AF457" i="13"/>
  <c r="AD457" i="13"/>
  <c r="AG265" i="13"/>
  <c r="AE265" i="13"/>
  <c r="AH265" i="13" s="1"/>
  <c r="AG557" i="13"/>
  <c r="AE557" i="13"/>
  <c r="AH557" i="13" s="1"/>
  <c r="AE545" i="13"/>
  <c r="AH545" i="13" s="1"/>
  <c r="AG545" i="13"/>
  <c r="AG525" i="13"/>
  <c r="AH522" i="13"/>
  <c r="AE519" i="13"/>
  <c r="AH519" i="13" s="1"/>
  <c r="AG519" i="13"/>
  <c r="AG549" i="13"/>
  <c r="AE549" i="13"/>
  <c r="AH549" i="13" s="1"/>
  <c r="AG548" i="13"/>
  <c r="AE548" i="13"/>
  <c r="AH548" i="13" s="1"/>
  <c r="AD485" i="13"/>
  <c r="AF485" i="13"/>
  <c r="AD493" i="13"/>
  <c r="AF493" i="13"/>
  <c r="AG436" i="13"/>
  <c r="AG353" i="13"/>
  <c r="AE353" i="13"/>
  <c r="AH353" i="13" s="1"/>
  <c r="AF481" i="13"/>
  <c r="AD481" i="13"/>
  <c r="AF322" i="13"/>
  <c r="AD322" i="13"/>
  <c r="AF430" i="13"/>
  <c r="AD430" i="13"/>
  <c r="AH384" i="13"/>
  <c r="AG303" i="13"/>
  <c r="AG225" i="13"/>
  <c r="AE225" i="13"/>
  <c r="AH225" i="13" s="1"/>
  <c r="AG283" i="13"/>
  <c r="AE283" i="13"/>
  <c r="AH283" i="13" s="1"/>
  <c r="AG268" i="13"/>
  <c r="AE268" i="13"/>
  <c r="AH268" i="13" s="1"/>
  <c r="AF271" i="13"/>
  <c r="AD271" i="13"/>
  <c r="AG460" i="13"/>
  <c r="AE460" i="13"/>
  <c r="AH460" i="13" s="1"/>
  <c r="AF375" i="13"/>
  <c r="AD375" i="13"/>
  <c r="AG355" i="13"/>
  <c r="AD320" i="13"/>
  <c r="AF320" i="13"/>
  <c r="AG275" i="13"/>
  <c r="AE275" i="13"/>
  <c r="AH275" i="13" s="1"/>
  <c r="AG218" i="13"/>
  <c r="Y218" i="13"/>
  <c r="AH218" i="13" s="1"/>
  <c r="AD292" i="13"/>
  <c r="AF292" i="13"/>
  <c r="AG238" i="13"/>
  <c r="AE238" i="13"/>
  <c r="AH238" i="13" s="1"/>
  <c r="AH246" i="13"/>
  <c r="AH210" i="13"/>
  <c r="AF567" i="13"/>
  <c r="AD567" i="13"/>
  <c r="AF514" i="13"/>
  <c r="AD514" i="13"/>
  <c r="AF417" i="13"/>
  <c r="AD417" i="13"/>
  <c r="AF338" i="13"/>
  <c r="AD338" i="13"/>
  <c r="AG335" i="13"/>
  <c r="AE335" i="13"/>
  <c r="AH335" i="13" s="1"/>
  <c r="AD231" i="13"/>
  <c r="AF231" i="13"/>
  <c r="AE217" i="13"/>
  <c r="AH217" i="13" s="1"/>
  <c r="AG217" i="13"/>
  <c r="AF559" i="13"/>
  <c r="AD559" i="13"/>
  <c r="AG547" i="13"/>
  <c r="AE547" i="13"/>
  <c r="AH547" i="13" s="1"/>
  <c r="AE479" i="13"/>
  <c r="AH479" i="13" s="1"/>
  <c r="AG479" i="13"/>
  <c r="AF566" i="13"/>
  <c r="AD566" i="13"/>
  <c r="AG413" i="13"/>
  <c r="AE413" i="13"/>
  <c r="AH413" i="13" s="1"/>
  <c r="AG405" i="13"/>
  <c r="AE405" i="13"/>
  <c r="AH405" i="13" s="1"/>
  <c r="AG505" i="13"/>
  <c r="AE455" i="13"/>
  <c r="AH455" i="13" s="1"/>
  <c r="AG455" i="13"/>
  <c r="AD239" i="13"/>
  <c r="AF239" i="13"/>
  <c r="AG259" i="13"/>
  <c r="AE259" i="13"/>
  <c r="AH259" i="13" s="1"/>
  <c r="AG257" i="13"/>
  <c r="AE257" i="13"/>
  <c r="AH257" i="13" s="1"/>
  <c r="AF531" i="13"/>
  <c r="AD531" i="13"/>
  <c r="AH441" i="13"/>
  <c r="AF362" i="13"/>
  <c r="AD362" i="13"/>
  <c r="AE471" i="13"/>
  <c r="AH471" i="13" s="1"/>
  <c r="AG471" i="13"/>
  <c r="AF221" i="13"/>
  <c r="AD221" i="13"/>
  <c r="AF551" i="13"/>
  <c r="AD551" i="13"/>
  <c r="AG497" i="13"/>
  <c r="AE497" i="13"/>
  <c r="AH497" i="13" s="1"/>
  <c r="AG503" i="13"/>
  <c r="AE503" i="13"/>
  <c r="AH503" i="13" s="1"/>
  <c r="AG526" i="13"/>
  <c r="AE526" i="13"/>
  <c r="AH526" i="13" s="1"/>
  <c r="AG473" i="13"/>
  <c r="AE473" i="13"/>
  <c r="AH473" i="13" s="1"/>
  <c r="AF401" i="13"/>
  <c r="AD401" i="13"/>
  <c r="AG518" i="13"/>
  <c r="AE518" i="13"/>
  <c r="AH518" i="13" s="1"/>
  <c r="AG441" i="13"/>
  <c r="AG382" i="13"/>
  <c r="AE382" i="13"/>
  <c r="AH382" i="13" s="1"/>
  <c r="AG371" i="13"/>
  <c r="AE371" i="13"/>
  <c r="AH371" i="13" s="1"/>
  <c r="AD540" i="13"/>
  <c r="AF540" i="13"/>
  <c r="AG432" i="13"/>
  <c r="AG542" i="13"/>
  <c r="AE542" i="13"/>
  <c r="AH542" i="13" s="1"/>
  <c r="AG395" i="13"/>
  <c r="AE395" i="13"/>
  <c r="AH395" i="13" s="1"/>
  <c r="AG319" i="13"/>
  <c r="AE319" i="13"/>
  <c r="AH319" i="13" s="1"/>
  <c r="AD532" i="13"/>
  <c r="AF532" i="13"/>
  <c r="AD296" i="13"/>
  <c r="AF296" i="13"/>
  <c r="AG452" i="13"/>
  <c r="AE452" i="13"/>
  <c r="AH452" i="13" s="1"/>
  <c r="AF316" i="13"/>
  <c r="AD316" i="13"/>
  <c r="AE228" i="13"/>
  <c r="AH228" i="13" s="1"/>
  <c r="AG228" i="13"/>
  <c r="AG267" i="13"/>
  <c r="AE267" i="13"/>
  <c r="AH267" i="13" s="1"/>
  <c r="AG244" i="13"/>
  <c r="AE244" i="13"/>
  <c r="AH244" i="13" s="1"/>
  <c r="AG241" i="13"/>
  <c r="AE241" i="13"/>
  <c r="AH241" i="13" s="1"/>
  <c r="AG384" i="13"/>
  <c r="AG276" i="13"/>
  <c r="AE276" i="13"/>
  <c r="AH276" i="13" s="1"/>
  <c r="AF207" i="13"/>
  <c r="AD207" i="13"/>
  <c r="AG235" i="13"/>
  <c r="AE235" i="13"/>
  <c r="AH235" i="13" s="1"/>
  <c r="AG536" i="13"/>
  <c r="AE536" i="13"/>
  <c r="AH536" i="13" s="1"/>
  <c r="AG422" i="13"/>
  <c r="AE422" i="13"/>
  <c r="AH422" i="13" s="1"/>
  <c r="AH311" i="13"/>
  <c r="AG246" i="13"/>
  <c r="AE205" i="13"/>
  <c r="AH205" i="13" s="1"/>
  <c r="AG205" i="13"/>
  <c r="AG227" i="13"/>
  <c r="AG528" i="13"/>
  <c r="AE528" i="13"/>
  <c r="AH528" i="13" s="1"/>
  <c r="AG390" i="13"/>
  <c r="AE390" i="13"/>
  <c r="AH390" i="13" s="1"/>
  <c r="AG563" i="13"/>
  <c r="AE563" i="13"/>
  <c r="AH563" i="13" s="1"/>
  <c r="AG378" i="13"/>
  <c r="AE378" i="13"/>
  <c r="AH378" i="13" s="1"/>
  <c r="AF290" i="13"/>
  <c r="AD290" i="13"/>
  <c r="AE487" i="13"/>
  <c r="AH487" i="13" s="1"/>
  <c r="AG487" i="13"/>
  <c r="AF287" i="13"/>
  <c r="AD287" i="13"/>
  <c r="AF247" i="13"/>
  <c r="AD247" i="13"/>
  <c r="AF575" i="13"/>
  <c r="AD575" i="13"/>
  <c r="AF211" i="13"/>
  <c r="AD211" i="13"/>
  <c r="AH303" i="13"/>
  <c r="AF332" i="13"/>
  <c r="AD332" i="13"/>
  <c r="AD569" i="13"/>
  <c r="AF569" i="13"/>
  <c r="AD553" i="13"/>
  <c r="AF553" i="13"/>
  <c r="AG541" i="13"/>
  <c r="AF524" i="13"/>
  <c r="AD524" i="13"/>
  <c r="Y565" i="13"/>
  <c r="AH565" i="13" s="1"/>
  <c r="AG565" i="13"/>
  <c r="AD453" i="13"/>
  <c r="AF453" i="13"/>
  <c r="AG465" i="13"/>
  <c r="AE465" i="13"/>
  <c r="AH465" i="13" s="1"/>
  <c r="AF425" i="13"/>
  <c r="AD425" i="13"/>
  <c r="AG397" i="13"/>
  <c r="AE397" i="13"/>
  <c r="AH397" i="13" s="1"/>
  <c r="AF468" i="13"/>
  <c r="AD468" i="13"/>
  <c r="AH424" i="13"/>
  <c r="AD434" i="13"/>
  <c r="AF434" i="13"/>
  <c r="AH329" i="13"/>
  <c r="AG343" i="13"/>
  <c r="AE343" i="13"/>
  <c r="AH343" i="13" s="1"/>
  <c r="AG406" i="13"/>
  <c r="AE406" i="13"/>
  <c r="AH406" i="13" s="1"/>
  <c r="AE463" i="13"/>
  <c r="AH463" i="13" s="1"/>
  <c r="AG463" i="13"/>
  <c r="AG427" i="13"/>
  <c r="AE427" i="13"/>
  <c r="AH427" i="13" s="1"/>
  <c r="AG273" i="13"/>
  <c r="AE273" i="13"/>
  <c r="AH273" i="13" s="1"/>
  <c r="AG286" i="13"/>
  <c r="AE286" i="13"/>
  <c r="AH286" i="13" s="1"/>
  <c r="AG516" i="13"/>
  <c r="AG295" i="13"/>
  <c r="AG254" i="13"/>
  <c r="AF354" i="13"/>
  <c r="AD354" i="13"/>
  <c r="AG361" i="13"/>
  <c r="AE361" i="13"/>
  <c r="AH361" i="13" s="1"/>
  <c r="AG216" i="13"/>
  <c r="AE216" i="13"/>
  <c r="AH216" i="13" s="1"/>
  <c r="AG339" i="13"/>
  <c r="AE339" i="13"/>
  <c r="AH339" i="13" s="1"/>
  <c r="AG366" i="13"/>
  <c r="AE366" i="13"/>
  <c r="AH366" i="13" s="1"/>
  <c r="AG311" i="13"/>
  <c r="AG260" i="13"/>
  <c r="AE260" i="13"/>
  <c r="AH260" i="13" s="1"/>
  <c r="AH331" i="13"/>
  <c r="AG403" i="13"/>
  <c r="AE403" i="13"/>
  <c r="AH403" i="13" s="1"/>
  <c r="AG249" i="13"/>
  <c r="AE249" i="13"/>
  <c r="AH249" i="13" s="1"/>
  <c r="AF506" i="13"/>
  <c r="AD506" i="13"/>
  <c r="AF393" i="13"/>
  <c r="AD393" i="13"/>
  <c r="AG495" i="13"/>
  <c r="AE495" i="13"/>
  <c r="AH495" i="13" s="1"/>
  <c r="AG446" i="13"/>
  <c r="AE446" i="13"/>
  <c r="AH446" i="13" s="1"/>
  <c r="AG327" i="13"/>
  <c r="AE327" i="13"/>
  <c r="AH327" i="13" s="1"/>
  <c r="AG433" i="13"/>
  <c r="AE433" i="13"/>
  <c r="AH433" i="13" s="1"/>
  <c r="AG240" i="13"/>
  <c r="AE240" i="13"/>
  <c r="AH240" i="13" s="1"/>
  <c r="AG411" i="13"/>
  <c r="AE411" i="13"/>
  <c r="AH411" i="13" s="1"/>
  <c r="AE529" i="13"/>
  <c r="AH529" i="13" s="1"/>
  <c r="AG529" i="13"/>
  <c r="AG262" i="13"/>
  <c r="AE262" i="13"/>
  <c r="AH262" i="13" s="1"/>
  <c r="AE220" i="13"/>
  <c r="AH220" i="13" s="1"/>
  <c r="AG220" i="13"/>
  <c r="AF229" i="13"/>
  <c r="AD229" i="13"/>
  <c r="AG484" i="13"/>
  <c r="AE484" i="13"/>
  <c r="AH484" i="13" s="1"/>
  <c r="AF439" i="13"/>
  <c r="AD439" i="13"/>
  <c r="AG381" i="13"/>
  <c r="AE381" i="13"/>
  <c r="AH381" i="13" s="1"/>
  <c r="AG284" i="13"/>
  <c r="AE284" i="13"/>
  <c r="AH284" i="13" s="1"/>
  <c r="AF539" i="13"/>
  <c r="AD539" i="13"/>
  <c r="AD477" i="13"/>
  <c r="AF477" i="13"/>
  <c r="AG475" i="13"/>
  <c r="AE475" i="13"/>
  <c r="AH475" i="13" s="1"/>
  <c r="AE574" i="13"/>
  <c r="AH574" i="13" s="1"/>
  <c r="AG574" i="13"/>
  <c r="Y550" i="13"/>
  <c r="AH550" i="13" s="1"/>
  <c r="AG550" i="13"/>
  <c r="AE537" i="13"/>
  <c r="AH537" i="13" s="1"/>
  <c r="AG537" i="13"/>
  <c r="AG562" i="13"/>
  <c r="Y546" i="13"/>
  <c r="AH546" i="13" s="1"/>
  <c r="AG546" i="13"/>
  <c r="AD440" i="13"/>
  <c r="AF440" i="13"/>
  <c r="AG421" i="13"/>
  <c r="AE421" i="13"/>
  <c r="AH421" i="13" s="1"/>
  <c r="AG513" i="13"/>
  <c r="AE513" i="13"/>
  <c r="AH513" i="13" s="1"/>
  <c r="AG379" i="13"/>
  <c r="AE379" i="13"/>
  <c r="AH379" i="13" s="1"/>
  <c r="AG424" i="13"/>
  <c r="AH400" i="13"/>
  <c r="AG329" i="13"/>
  <c r="AG489" i="13"/>
  <c r="AE489" i="13"/>
  <c r="AH489" i="13" s="1"/>
  <c r="AG419" i="13"/>
  <c r="AE419" i="13"/>
  <c r="AH419" i="13" s="1"/>
  <c r="AH337" i="13"/>
  <c r="AD312" i="13"/>
  <c r="AF312" i="13"/>
  <c r="AF291" i="13"/>
  <c r="AD291" i="13"/>
  <c r="AH494" i="13"/>
  <c r="AG318" i="13"/>
  <c r="AG350" i="13"/>
  <c r="AE350" i="13"/>
  <c r="AH350" i="13" s="1"/>
  <c r="AH516" i="13"/>
  <c r="AG340" i="13"/>
  <c r="AE340" i="13"/>
  <c r="AH340" i="13" s="1"/>
  <c r="AG233" i="13"/>
  <c r="AE233" i="13"/>
  <c r="AH233" i="13" s="1"/>
  <c r="AF279" i="13"/>
  <c r="AD279" i="13"/>
  <c r="AF237" i="13"/>
  <c r="AD237" i="13"/>
  <c r="AG534" i="13"/>
  <c r="AE534" i="13"/>
  <c r="AH534" i="13" s="1"/>
  <c r="AG331" i="13"/>
  <c r="AG230" i="13"/>
  <c r="AE230" i="13"/>
  <c r="AH230" i="13" s="1"/>
  <c r="AE208" i="13"/>
  <c r="AH208" i="13" s="1"/>
  <c r="AG208" i="13"/>
  <c r="AE456" i="13"/>
  <c r="AH456" i="13" s="1"/>
  <c r="AG456" i="13"/>
  <c r="AG398" i="13"/>
  <c r="AE398" i="13"/>
  <c r="AH398" i="13" s="1"/>
  <c r="AD369" i="13"/>
  <c r="AF369" i="13"/>
  <c r="Y464" i="13"/>
  <c r="AH464" i="13" s="1"/>
  <c r="AG464" i="13"/>
  <c r="AG555" i="13"/>
  <c r="AE555" i="13"/>
  <c r="AH555" i="13" s="1"/>
  <c r="AG560" i="13"/>
  <c r="AE560" i="13"/>
  <c r="AH560" i="13" s="1"/>
  <c r="AG408" i="13"/>
  <c r="AE408" i="13"/>
  <c r="AH408" i="13" s="1"/>
  <c r="AG300" i="13"/>
  <c r="AE300" i="13"/>
  <c r="AH300" i="13" s="1"/>
  <c r="AG356" i="13"/>
  <c r="AE356" i="13"/>
  <c r="AH356" i="13" s="1"/>
  <c r="AF263" i="13"/>
  <c r="AD263" i="13"/>
  <c r="AG392" i="13"/>
  <c r="AE392" i="13"/>
  <c r="AH392" i="13" s="1"/>
  <c r="AG323" i="13"/>
  <c r="AE323" i="13"/>
  <c r="AH323" i="13" s="1"/>
  <c r="AD482" i="13"/>
  <c r="AF482" i="13"/>
  <c r="Y219" i="13"/>
  <c r="AH219" i="13" s="1"/>
  <c r="AG219" i="13"/>
  <c r="AG544" i="13"/>
  <c r="AE544" i="13"/>
  <c r="AH544" i="13" s="1"/>
  <c r="AF409" i="13"/>
  <c r="AD409" i="13"/>
  <c r="AE558" i="13"/>
  <c r="AH558" i="13" s="1"/>
  <c r="AG558" i="13"/>
  <c r="AE444" i="13"/>
  <c r="AH444" i="13" s="1"/>
  <c r="AG444" i="13"/>
  <c r="AG511" i="13"/>
  <c r="AE511" i="13"/>
  <c r="AH511" i="13" s="1"/>
  <c r="AG492" i="13"/>
  <c r="AE492" i="13"/>
  <c r="AH492" i="13" s="1"/>
  <c r="AH432" i="13"/>
  <c r="AF498" i="13"/>
  <c r="AD498" i="13"/>
  <c r="AD458" i="13"/>
  <c r="AF458" i="13"/>
  <c r="AF385" i="13"/>
  <c r="AD385" i="13"/>
  <c r="AG470" i="13"/>
  <c r="AE470" i="13"/>
  <c r="AH470" i="13" s="1"/>
  <c r="AG400" i="13"/>
  <c r="AG324" i="13"/>
  <c r="AE324" i="13"/>
  <c r="AH324" i="13" s="1"/>
  <c r="AG383" i="13"/>
  <c r="AE383" i="13"/>
  <c r="AH383" i="13" s="1"/>
  <c r="AD469" i="13"/>
  <c r="AF469" i="13"/>
  <c r="AD304" i="13"/>
  <c r="AF304" i="13"/>
  <c r="AG337" i="13"/>
  <c r="AG510" i="13"/>
  <c r="AE510" i="13"/>
  <c r="AH510" i="13" s="1"/>
  <c r="AE450" i="13"/>
  <c r="AH450" i="13" s="1"/>
  <c r="AG450" i="13"/>
  <c r="AF346" i="13"/>
  <c r="AD346" i="13"/>
  <c r="AG494" i="13"/>
  <c r="AG308" i="13"/>
  <c r="AE308" i="13"/>
  <c r="AH308" i="13" s="1"/>
  <c r="AG252" i="13"/>
  <c r="AE252" i="13"/>
  <c r="AH252" i="13" s="1"/>
  <c r="AG348" i="13"/>
  <c r="AE348" i="13"/>
  <c r="AH348" i="13" s="1"/>
  <c r="AE374" i="13"/>
  <c r="AH374" i="13" s="1"/>
  <c r="AG374" i="13"/>
  <c r="Y236" i="13"/>
  <c r="AH236" i="13" s="1"/>
  <c r="AG236" i="13"/>
  <c r="AE209" i="13"/>
  <c r="AH209" i="13" s="1"/>
  <c r="AG209" i="13"/>
  <c r="AG272" i="13"/>
  <c r="AF330" i="13"/>
  <c r="AD330" i="13"/>
  <c r="AG359" i="13"/>
  <c r="AE359" i="13"/>
  <c r="AH359" i="13" s="1"/>
  <c r="AG313" i="13"/>
  <c r="AE313" i="13"/>
  <c r="AH313" i="13" s="1"/>
  <c r="AG364" i="13"/>
  <c r="AE364" i="13"/>
  <c r="AH364" i="13" s="1"/>
  <c r="AE212" i="13"/>
  <c r="AH212" i="13" s="1"/>
  <c r="AG212" i="13"/>
  <c r="AG389" i="13" l="1"/>
  <c r="AG281" i="13"/>
  <c r="AE508" i="13"/>
  <c r="AH508" i="13" s="1"/>
  <c r="AG573" i="13"/>
  <c r="AE449" i="13"/>
  <c r="AH449" i="13" s="1"/>
  <c r="AG504" i="13"/>
  <c r="D9" i="19"/>
  <c r="AG314" i="13"/>
  <c r="AG448" i="13"/>
  <c r="AG387" i="13"/>
  <c r="AG298" i="13"/>
  <c r="AE521" i="13"/>
  <c r="AH521" i="13" s="1"/>
  <c r="AE571" i="13"/>
  <c r="AH571" i="13" s="1"/>
  <c r="AE351" i="13"/>
  <c r="AH351" i="13" s="1"/>
  <c r="AG310" i="13"/>
  <c r="AE243" i="13"/>
  <c r="AH243" i="13" s="1"/>
  <c r="AG373" i="13"/>
  <c r="AG306" i="13"/>
  <c r="AG523" i="13"/>
  <c r="AE517" i="13"/>
  <c r="AH517" i="13" s="1"/>
  <c r="AG232" i="13"/>
  <c r="AG462" i="13"/>
  <c r="AE462" i="13"/>
  <c r="AH462" i="13" s="1"/>
  <c r="AE451" i="13"/>
  <c r="AH451" i="13" s="1"/>
  <c r="AG451" i="13"/>
  <c r="AE554" i="13"/>
  <c r="AH554" i="13" s="1"/>
  <c r="AG554" i="13"/>
  <c r="AE500" i="13"/>
  <c r="AH500" i="13" s="1"/>
  <c r="AE326" i="13"/>
  <c r="AH326" i="13" s="1"/>
  <c r="AG428" i="13"/>
  <c r="AE428" i="13"/>
  <c r="AH428" i="13" s="1"/>
  <c r="AE472" i="13"/>
  <c r="AH472" i="13" s="1"/>
  <c r="AG472" i="13"/>
  <c r="AG483" i="13"/>
  <c r="AE483" i="13"/>
  <c r="AH483" i="13" s="1"/>
  <c r="AE570" i="13"/>
  <c r="AH570" i="13" s="1"/>
  <c r="AG570" i="13"/>
  <c r="AE354" i="13"/>
  <c r="AH354" i="13" s="1"/>
  <c r="AG354" i="13"/>
  <c r="AG375" i="13"/>
  <c r="AE375" i="13"/>
  <c r="AH375" i="13" s="1"/>
  <c r="AE322" i="13"/>
  <c r="AH322" i="13" s="1"/>
  <c r="AG322" i="13"/>
  <c r="AE255" i="13"/>
  <c r="AH255" i="13" s="1"/>
  <c r="AG255" i="13"/>
  <c r="AE453" i="13"/>
  <c r="AH453" i="13" s="1"/>
  <c r="AG453" i="13"/>
  <c r="AG567" i="13"/>
  <c r="AE567" i="13"/>
  <c r="AH567" i="13" s="1"/>
  <c r="AE458" i="13"/>
  <c r="AH458" i="13" s="1"/>
  <c r="AG458" i="13"/>
  <c r="AE369" i="13"/>
  <c r="AH369" i="13" s="1"/>
  <c r="AG369" i="13"/>
  <c r="AG434" i="13"/>
  <c r="AE434" i="13"/>
  <c r="AH434" i="13" s="1"/>
  <c r="AE524" i="13"/>
  <c r="AH524" i="13" s="1"/>
  <c r="AG524" i="13"/>
  <c r="AE532" i="13"/>
  <c r="AH532" i="13" s="1"/>
  <c r="AG532" i="13"/>
  <c r="AG320" i="13"/>
  <c r="AE320" i="13"/>
  <c r="AH320" i="13" s="1"/>
  <c r="AG430" i="13"/>
  <c r="AE430" i="13"/>
  <c r="AH430" i="13" s="1"/>
  <c r="AG457" i="13"/>
  <c r="AE457" i="13"/>
  <c r="AH457" i="13" s="1"/>
  <c r="AE540" i="13"/>
  <c r="AH540" i="13" s="1"/>
  <c r="AG540" i="13"/>
  <c r="AE362" i="13"/>
  <c r="AH362" i="13" s="1"/>
  <c r="AG362" i="13"/>
  <c r="AE514" i="13"/>
  <c r="AH514" i="13" s="1"/>
  <c r="AG514" i="13"/>
  <c r="AG461" i="13"/>
  <c r="AE461" i="13"/>
  <c r="AH461" i="13" s="1"/>
  <c r="AE553" i="13"/>
  <c r="AH553" i="13" s="1"/>
  <c r="AG553" i="13"/>
  <c r="AE237" i="13"/>
  <c r="AH237" i="13" s="1"/>
  <c r="AG237" i="13"/>
  <c r="AG312" i="13"/>
  <c r="AE312" i="13"/>
  <c r="AH312" i="13" s="1"/>
  <c r="AG229" i="13"/>
  <c r="AE229" i="13"/>
  <c r="AH229" i="13" s="1"/>
  <c r="AE393" i="13"/>
  <c r="AH393" i="13" s="1"/>
  <c r="AG393" i="13"/>
  <c r="AG332" i="13"/>
  <c r="AE332" i="13"/>
  <c r="AH332" i="13" s="1"/>
  <c r="AG531" i="13"/>
  <c r="AE531" i="13"/>
  <c r="AH531" i="13" s="1"/>
  <c r="AG481" i="13"/>
  <c r="AE481" i="13"/>
  <c r="AH481" i="13" s="1"/>
  <c r="AG291" i="13"/>
  <c r="AE291" i="13"/>
  <c r="AH291" i="13" s="1"/>
  <c r="AE482" i="13"/>
  <c r="AH482" i="13" s="1"/>
  <c r="AG482" i="13"/>
  <c r="AE231" i="13"/>
  <c r="AH231" i="13" s="1"/>
  <c r="AG231" i="13"/>
  <c r="AG292" i="13"/>
  <c r="AE292" i="13"/>
  <c r="AH292" i="13" s="1"/>
  <c r="AE304" i="13"/>
  <c r="AH304" i="13" s="1"/>
  <c r="AG304" i="13"/>
  <c r="AE290" i="13"/>
  <c r="AH290" i="13" s="1"/>
  <c r="AG290" i="13"/>
  <c r="AG469" i="13"/>
  <c r="AE469" i="13"/>
  <c r="AH469" i="13" s="1"/>
  <c r="AE385" i="13"/>
  <c r="AH385" i="13" s="1"/>
  <c r="AG385" i="13"/>
  <c r="AG575" i="13"/>
  <c r="AE575" i="13"/>
  <c r="AH575" i="13" s="1"/>
  <c r="AG551" i="13"/>
  <c r="AE551" i="13"/>
  <c r="AH551" i="13" s="1"/>
  <c r="AG221" i="13"/>
  <c r="AE221" i="13"/>
  <c r="AH221" i="13" s="1"/>
  <c r="AG559" i="13"/>
  <c r="AE559" i="13"/>
  <c r="AH559" i="13" s="1"/>
  <c r="AE338" i="13"/>
  <c r="AH338" i="13" s="1"/>
  <c r="AG338" i="13"/>
  <c r="AE346" i="13"/>
  <c r="AH346" i="13" s="1"/>
  <c r="AG346" i="13"/>
  <c r="AG207" i="13"/>
  <c r="AE207" i="13"/>
  <c r="AH207" i="13" s="1"/>
  <c r="AE493" i="13"/>
  <c r="AH493" i="13" s="1"/>
  <c r="AG493" i="13"/>
  <c r="AE279" i="13"/>
  <c r="AH279" i="13" s="1"/>
  <c r="AG279" i="13"/>
  <c r="AE477" i="13"/>
  <c r="AH477" i="13" s="1"/>
  <c r="AG477" i="13"/>
  <c r="AE439" i="13"/>
  <c r="AH439" i="13" s="1"/>
  <c r="AG439" i="13"/>
  <c r="AE506" i="13"/>
  <c r="AH506" i="13" s="1"/>
  <c r="AG506" i="13"/>
  <c r="AE425" i="13"/>
  <c r="AH425" i="13" s="1"/>
  <c r="AG425" i="13"/>
  <c r="AE569" i="13"/>
  <c r="AH569" i="13" s="1"/>
  <c r="AG569" i="13"/>
  <c r="AE296" i="13"/>
  <c r="AH296" i="13" s="1"/>
  <c r="AG296" i="13"/>
  <c r="AE271" i="13"/>
  <c r="AH271" i="13" s="1"/>
  <c r="AG271" i="13"/>
  <c r="AG485" i="13"/>
  <c r="AE485" i="13"/>
  <c r="AH485" i="13" s="1"/>
  <c r="AE377" i="13"/>
  <c r="AH377" i="13" s="1"/>
  <c r="AG377" i="13"/>
  <c r="AE498" i="13"/>
  <c r="AH498" i="13" s="1"/>
  <c r="AG498" i="13"/>
  <c r="AE409" i="13"/>
  <c r="AH409" i="13" s="1"/>
  <c r="AG409" i="13"/>
  <c r="AG468" i="13"/>
  <c r="AE468" i="13"/>
  <c r="AH468" i="13" s="1"/>
  <c r="AE401" i="13"/>
  <c r="AH401" i="13" s="1"/>
  <c r="AG401" i="13"/>
  <c r="AE330" i="13"/>
  <c r="AH330" i="13" s="1"/>
  <c r="AG330" i="13"/>
  <c r="AE263" i="13"/>
  <c r="AH263" i="13" s="1"/>
  <c r="AG263" i="13"/>
  <c r="AE440" i="13"/>
  <c r="AH440" i="13" s="1"/>
  <c r="AG440" i="13"/>
  <c r="AG539" i="13"/>
  <c r="AE539" i="13"/>
  <c r="AH539" i="13" s="1"/>
  <c r="AG211" i="13"/>
  <c r="AE211" i="13"/>
  <c r="AH211" i="13" s="1"/>
  <c r="AE247" i="13"/>
  <c r="AH247" i="13" s="1"/>
  <c r="AG247" i="13"/>
  <c r="AE287" i="13"/>
  <c r="AH287" i="13" s="1"/>
  <c r="AG287" i="13"/>
  <c r="AG316" i="13"/>
  <c r="AE316" i="13"/>
  <c r="AH316" i="13" s="1"/>
  <c r="AE239" i="13"/>
  <c r="AH239" i="13" s="1"/>
  <c r="AG239" i="13"/>
  <c r="AE566" i="13"/>
  <c r="AH566" i="13" s="1"/>
  <c r="AG566" i="13"/>
  <c r="AE417" i="13"/>
  <c r="AH417" i="13" s="1"/>
  <c r="AG417" i="13"/>
  <c r="E9" i="19" l="1"/>
  <c r="F9" i="19" s="1"/>
  <c r="C16" i="19"/>
  <c r="G9" i="19"/>
  <c r="H9" i="19" s="1"/>
  <c r="AA204" i="13"/>
  <c r="AC204" i="13" s="1"/>
  <c r="U204" i="13"/>
  <c r="AA203" i="13"/>
  <c r="U203" i="13"/>
  <c r="W203" i="13" s="1"/>
  <c r="AA202" i="13"/>
  <c r="AC202" i="13" s="1"/>
  <c r="U202" i="13"/>
  <c r="V202" i="13" s="1"/>
  <c r="X202" i="13" s="1"/>
  <c r="Y202" i="13" s="1"/>
  <c r="AA201" i="13"/>
  <c r="AC201" i="13" s="1"/>
  <c r="U201" i="13"/>
  <c r="AA200" i="13"/>
  <c r="U200" i="13"/>
  <c r="W200" i="13" s="1"/>
  <c r="AA199" i="13"/>
  <c r="U199" i="13"/>
  <c r="V199" i="13" s="1"/>
  <c r="X199" i="13" s="1"/>
  <c r="Y199" i="13" s="1"/>
  <c r="AA198" i="13"/>
  <c r="AB198" i="13" s="1"/>
  <c r="U198" i="13"/>
  <c r="V198" i="13" s="1"/>
  <c r="X198" i="13" s="1"/>
  <c r="Y198" i="13" s="1"/>
  <c r="AA197" i="13"/>
  <c r="AB197" i="13" s="1"/>
  <c r="U197" i="13"/>
  <c r="AA196" i="13"/>
  <c r="AB196" i="13" s="1"/>
  <c r="U196" i="13"/>
  <c r="W196" i="13" s="1"/>
  <c r="AA195" i="13"/>
  <c r="AC195" i="13" s="1"/>
  <c r="U195" i="13"/>
  <c r="W195" i="13" s="1"/>
  <c r="AA194" i="13"/>
  <c r="AB194" i="13" s="1"/>
  <c r="U194" i="13"/>
  <c r="W194" i="13" s="1"/>
  <c r="AA193" i="13"/>
  <c r="AB193" i="13" s="1"/>
  <c r="U193" i="13"/>
  <c r="W193" i="13" s="1"/>
  <c r="AA192" i="13"/>
  <c r="U192" i="13"/>
  <c r="W192" i="13" s="1"/>
  <c r="AA191" i="13"/>
  <c r="AC191" i="13" s="1"/>
  <c r="U191" i="13"/>
  <c r="V191" i="13" s="1"/>
  <c r="X191" i="13" s="1"/>
  <c r="Y191" i="13" s="1"/>
  <c r="AA190" i="13"/>
  <c r="AB190" i="13" s="1"/>
  <c r="U190" i="13"/>
  <c r="V190" i="13" s="1"/>
  <c r="X190" i="13" s="1"/>
  <c r="Y190" i="13" s="1"/>
  <c r="AA189" i="13"/>
  <c r="AB189" i="13" s="1"/>
  <c r="U189" i="13"/>
  <c r="AA188" i="13"/>
  <c r="AB188" i="13" s="1"/>
  <c r="U188" i="13"/>
  <c r="AA187" i="13"/>
  <c r="AC187" i="13" s="1"/>
  <c r="U187" i="13"/>
  <c r="AA186" i="13"/>
  <c r="AB186" i="13" s="1"/>
  <c r="U186" i="13"/>
  <c r="W186" i="13" s="1"/>
  <c r="AA185" i="13"/>
  <c r="AB185" i="13" s="1"/>
  <c r="U185" i="13"/>
  <c r="W185" i="13" s="1"/>
  <c r="AA184" i="13"/>
  <c r="AC184" i="13" s="1"/>
  <c r="U184" i="13"/>
  <c r="W184" i="13" s="1"/>
  <c r="AA183" i="13"/>
  <c r="AC183" i="13" s="1"/>
  <c r="AD183" i="13" s="1"/>
  <c r="AE183" i="13" s="1"/>
  <c r="U183" i="13"/>
  <c r="V183" i="13" s="1"/>
  <c r="X183" i="13" s="1"/>
  <c r="Y183" i="13" s="1"/>
  <c r="AA182" i="13"/>
  <c r="AB182" i="13" s="1"/>
  <c r="U182" i="13"/>
  <c r="AA181" i="13"/>
  <c r="AB181" i="13" s="1"/>
  <c r="U181" i="13"/>
  <c r="V181" i="13" s="1"/>
  <c r="X181" i="13" s="1"/>
  <c r="Y181" i="13" s="1"/>
  <c r="AA180" i="13"/>
  <c r="AB180" i="13" s="1"/>
  <c r="U180" i="13"/>
  <c r="V180" i="13" s="1"/>
  <c r="X180" i="13" s="1"/>
  <c r="Y180" i="13" s="1"/>
  <c r="AA179" i="13"/>
  <c r="AC179" i="13" s="1"/>
  <c r="AD179" i="13" s="1"/>
  <c r="U179" i="13"/>
  <c r="W179" i="13" s="1"/>
  <c r="AA178" i="13"/>
  <c r="U178" i="13"/>
  <c r="W178" i="13" s="1"/>
  <c r="AA177" i="13"/>
  <c r="AC177" i="13" s="1"/>
  <c r="U177" i="13"/>
  <c r="W177" i="13" s="1"/>
  <c r="AA176" i="13"/>
  <c r="AC176" i="13" s="1"/>
  <c r="U176" i="13"/>
  <c r="W176" i="13" s="1"/>
  <c r="AA175" i="13"/>
  <c r="AC175" i="13" s="1"/>
  <c r="AD175" i="13" s="1"/>
  <c r="U175" i="13"/>
  <c r="V175" i="13" s="1"/>
  <c r="X175" i="13" s="1"/>
  <c r="Y175" i="13" s="1"/>
  <c r="AA174" i="13"/>
  <c r="AB174" i="13" s="1"/>
  <c r="U174" i="13"/>
  <c r="V174" i="13" s="1"/>
  <c r="X174" i="13" s="1"/>
  <c r="Y174" i="13" s="1"/>
  <c r="AA173" i="13"/>
  <c r="AB173" i="13" s="1"/>
  <c r="U173" i="13"/>
  <c r="V173" i="13" s="1"/>
  <c r="X173" i="13" s="1"/>
  <c r="Y173" i="13" s="1"/>
  <c r="AA172" i="13"/>
  <c r="AB172" i="13" s="1"/>
  <c r="U172" i="13"/>
  <c r="W172" i="13" s="1"/>
  <c r="AA171" i="13"/>
  <c r="AC171" i="13" s="1"/>
  <c r="U171" i="13"/>
  <c r="AA170" i="13"/>
  <c r="AB170" i="13" s="1"/>
  <c r="U170" i="13"/>
  <c r="W170" i="13" s="1"/>
  <c r="AA169" i="13"/>
  <c r="AC169" i="13" s="1"/>
  <c r="U169" i="13"/>
  <c r="W169" i="13" s="1"/>
  <c r="AA168" i="13"/>
  <c r="AC168" i="13" s="1"/>
  <c r="U168" i="13"/>
  <c r="AA167" i="13"/>
  <c r="AC167" i="13" s="1"/>
  <c r="AD167" i="13" s="1"/>
  <c r="U167" i="13"/>
  <c r="V167" i="13" s="1"/>
  <c r="X167" i="13" s="1"/>
  <c r="Y167" i="13" s="1"/>
  <c r="AA166" i="13"/>
  <c r="AB166" i="13" s="1"/>
  <c r="U166" i="13"/>
  <c r="V166" i="13" s="1"/>
  <c r="X166" i="13" s="1"/>
  <c r="Y166" i="13" s="1"/>
  <c r="AA165" i="13"/>
  <c r="AB165" i="13" s="1"/>
  <c r="U165" i="13"/>
  <c r="V165" i="13" s="1"/>
  <c r="X165" i="13" s="1"/>
  <c r="Y165" i="13" s="1"/>
  <c r="AA164" i="13"/>
  <c r="AB164" i="13" s="1"/>
  <c r="U164" i="13"/>
  <c r="W164" i="13" s="1"/>
  <c r="AA163" i="13"/>
  <c r="AC163" i="13" s="1"/>
  <c r="AD163" i="13" s="1"/>
  <c r="U163" i="13"/>
  <c r="AA162" i="13"/>
  <c r="AB162" i="13" s="1"/>
  <c r="U162" i="13"/>
  <c r="W162" i="13" s="1"/>
  <c r="AA161" i="13"/>
  <c r="AC161" i="13" s="1"/>
  <c r="AD161" i="13" s="1"/>
  <c r="AE161" i="13" s="1"/>
  <c r="U161" i="13"/>
  <c r="W161" i="13" s="1"/>
  <c r="AA160" i="13"/>
  <c r="AC160" i="13" s="1"/>
  <c r="U160" i="13"/>
  <c r="W160" i="13" s="1"/>
  <c r="AA159" i="13"/>
  <c r="AC159" i="13" s="1"/>
  <c r="AD159" i="13" s="1"/>
  <c r="U159" i="13"/>
  <c r="V159" i="13" s="1"/>
  <c r="X159" i="13" s="1"/>
  <c r="Y159" i="13" s="1"/>
  <c r="AA158" i="13"/>
  <c r="AB158" i="13" s="1"/>
  <c r="U158" i="13"/>
  <c r="V158" i="13" s="1"/>
  <c r="X158" i="13" s="1"/>
  <c r="Y158" i="13" s="1"/>
  <c r="AA157" i="13"/>
  <c r="AB157" i="13" s="1"/>
  <c r="U157" i="13"/>
  <c r="V157" i="13" s="1"/>
  <c r="X157" i="13" s="1"/>
  <c r="Y157" i="13" s="1"/>
  <c r="AA156" i="13"/>
  <c r="AB156" i="13" s="1"/>
  <c r="U156" i="13"/>
  <c r="V156" i="13" s="1"/>
  <c r="X156" i="13" s="1"/>
  <c r="Y156" i="13" s="1"/>
  <c r="AA155" i="13"/>
  <c r="AC155" i="13" s="1"/>
  <c r="U155" i="13"/>
  <c r="V155" i="13" s="1"/>
  <c r="X155" i="13" s="1"/>
  <c r="Y155" i="13" s="1"/>
  <c r="AA154" i="13"/>
  <c r="AB154" i="13" s="1"/>
  <c r="U154" i="13"/>
  <c r="W154" i="13" s="1"/>
  <c r="AA153" i="13"/>
  <c r="U153" i="13"/>
  <c r="W153" i="13" s="1"/>
  <c r="AA152" i="13"/>
  <c r="AC152" i="13" s="1"/>
  <c r="U152" i="13"/>
  <c r="W152" i="13" s="1"/>
  <c r="AA151" i="13"/>
  <c r="AC151" i="13" s="1"/>
  <c r="AD151" i="13" s="1"/>
  <c r="U151" i="13"/>
  <c r="V151" i="13" s="1"/>
  <c r="X151" i="13" s="1"/>
  <c r="Y151" i="13" s="1"/>
  <c r="AA150" i="13"/>
  <c r="AB150" i="13" s="1"/>
  <c r="U150" i="13"/>
  <c r="V150" i="13" s="1"/>
  <c r="X150" i="13" s="1"/>
  <c r="Y150" i="13" s="1"/>
  <c r="AA149" i="13"/>
  <c r="AB149" i="13" s="1"/>
  <c r="U149" i="13"/>
  <c r="AA148" i="13"/>
  <c r="AB148" i="13" s="1"/>
  <c r="U148" i="13"/>
  <c r="W148" i="13" s="1"/>
  <c r="AA147" i="13"/>
  <c r="U147" i="13"/>
  <c r="W147" i="13" s="1"/>
  <c r="AA146" i="13"/>
  <c r="AC146" i="13" s="1"/>
  <c r="AD146" i="13" s="1"/>
  <c r="U146" i="13"/>
  <c r="V146" i="13" s="1"/>
  <c r="X146" i="13" s="1"/>
  <c r="Y146" i="13" s="1"/>
  <c r="AA145" i="13"/>
  <c r="U145" i="13"/>
  <c r="V145" i="13" s="1"/>
  <c r="X145" i="13" s="1"/>
  <c r="Y145" i="13" s="1"/>
  <c r="AA144" i="13"/>
  <c r="AB144" i="13" s="1"/>
  <c r="U144" i="13"/>
  <c r="AA143" i="13"/>
  <c r="U143" i="13"/>
  <c r="W143" i="13" s="1"/>
  <c r="AA142" i="13"/>
  <c r="AB142" i="13" s="1"/>
  <c r="U142" i="13"/>
  <c r="W142" i="13" s="1"/>
  <c r="AA141" i="13"/>
  <c r="AC141" i="13" s="1"/>
  <c r="U141" i="13"/>
  <c r="W141" i="13" s="1"/>
  <c r="AA140" i="13"/>
  <c r="AC140" i="13" s="1"/>
  <c r="AD140" i="13" s="1"/>
  <c r="AE140" i="13" s="1"/>
  <c r="U140" i="13"/>
  <c r="AA139" i="13"/>
  <c r="U139" i="13"/>
  <c r="W139" i="13" s="1"/>
  <c r="AA138" i="13"/>
  <c r="AC138" i="13" s="1"/>
  <c r="AD138" i="13" s="1"/>
  <c r="U138" i="13"/>
  <c r="V138" i="13" s="1"/>
  <c r="X138" i="13" s="1"/>
  <c r="Y138" i="13" s="1"/>
  <c r="AA137" i="13"/>
  <c r="AB137" i="13" s="1"/>
  <c r="U137" i="13"/>
  <c r="V137" i="13" s="1"/>
  <c r="X137" i="13" s="1"/>
  <c r="Y137" i="13" s="1"/>
  <c r="AA136" i="13"/>
  <c r="AB136" i="13" s="1"/>
  <c r="U136" i="13"/>
  <c r="AA135" i="13"/>
  <c r="U135" i="13"/>
  <c r="AA134" i="13"/>
  <c r="AC134" i="13" s="1"/>
  <c r="AD134" i="13" s="1"/>
  <c r="U134" i="13"/>
  <c r="W134" i="13" s="1"/>
  <c r="AA133" i="13"/>
  <c r="AC133" i="13" s="1"/>
  <c r="U133" i="13"/>
  <c r="W133" i="13" s="1"/>
  <c r="AA132" i="13"/>
  <c r="AC132" i="13" s="1"/>
  <c r="AD132" i="13" s="1"/>
  <c r="AE132" i="13" s="1"/>
  <c r="U132" i="13"/>
  <c r="AA131" i="13"/>
  <c r="U131" i="13"/>
  <c r="AA130" i="13"/>
  <c r="AC130" i="13" s="1"/>
  <c r="AD130" i="13" s="1"/>
  <c r="U130" i="13"/>
  <c r="W130" i="13" s="1"/>
  <c r="AA129" i="13"/>
  <c r="AC129" i="13" s="1"/>
  <c r="AD129" i="13" s="1"/>
  <c r="AE129" i="13" s="1"/>
  <c r="U129" i="13"/>
  <c r="W129" i="13" s="1"/>
  <c r="AA128" i="13"/>
  <c r="AC128" i="13" s="1"/>
  <c r="AD128" i="13" s="1"/>
  <c r="U128" i="13"/>
  <c r="AA127" i="13"/>
  <c r="U127" i="13"/>
  <c r="V127" i="13" s="1"/>
  <c r="X127" i="13" s="1"/>
  <c r="Y127" i="13" s="1"/>
  <c r="AA126" i="13"/>
  <c r="AC126" i="13" s="1"/>
  <c r="U126" i="13"/>
  <c r="V126" i="13" s="1"/>
  <c r="X126" i="13" s="1"/>
  <c r="Y126" i="13" s="1"/>
  <c r="AA125" i="13"/>
  <c r="AC125" i="13" s="1"/>
  <c r="U125" i="13"/>
  <c r="AA124" i="13"/>
  <c r="AB124" i="13" s="1"/>
  <c r="U124" i="13"/>
  <c r="W124" i="13" s="1"/>
  <c r="AA123" i="13"/>
  <c r="AC123" i="13" s="1"/>
  <c r="U123" i="13"/>
  <c r="W123" i="13" s="1"/>
  <c r="AA122" i="13"/>
  <c r="U122" i="13"/>
  <c r="W122" i="13" s="1"/>
  <c r="AA121" i="13"/>
  <c r="AC121" i="13" s="1"/>
  <c r="AD121" i="13" s="1"/>
  <c r="AE121" i="13" s="1"/>
  <c r="U121" i="13"/>
  <c r="AA120" i="13"/>
  <c r="AC120" i="13" s="1"/>
  <c r="U120" i="13"/>
  <c r="AA119" i="13"/>
  <c r="U119" i="13"/>
  <c r="W119" i="13" s="1"/>
  <c r="AA118" i="13"/>
  <c r="AB118" i="13" s="1"/>
  <c r="U118" i="13"/>
  <c r="W118" i="13" s="1"/>
  <c r="AA117" i="13"/>
  <c r="U117" i="13"/>
  <c r="W117" i="13" s="1"/>
  <c r="AA116" i="13"/>
  <c r="AC116" i="13" s="1"/>
  <c r="AD116" i="13" s="1"/>
  <c r="U116" i="13"/>
  <c r="W116" i="13" s="1"/>
  <c r="AA115" i="13"/>
  <c r="AC115" i="13" s="1"/>
  <c r="U115" i="13"/>
  <c r="V115" i="13" s="1"/>
  <c r="X115" i="13" s="1"/>
  <c r="Y115" i="13" s="1"/>
  <c r="AA114" i="13"/>
  <c r="AB114" i="13" s="1"/>
  <c r="U114" i="13"/>
  <c r="W114" i="13" s="1"/>
  <c r="AA113" i="13"/>
  <c r="AC113" i="13" s="1"/>
  <c r="U113" i="13"/>
  <c r="W113" i="13" s="1"/>
  <c r="AA112" i="13"/>
  <c r="AC112" i="13" s="1"/>
  <c r="U112" i="13"/>
  <c r="W112" i="13" s="1"/>
  <c r="AA111" i="13"/>
  <c r="AC111" i="13" s="1"/>
  <c r="U111" i="13"/>
  <c r="AA110" i="13"/>
  <c r="AB110" i="13" s="1"/>
  <c r="U110" i="13"/>
  <c r="AA109" i="13"/>
  <c r="U109" i="13"/>
  <c r="W109" i="13" s="1"/>
  <c r="AA108" i="13"/>
  <c r="AC108" i="13" s="1"/>
  <c r="U108" i="13"/>
  <c r="V108" i="13" s="1"/>
  <c r="X108" i="13" s="1"/>
  <c r="Y108" i="13" s="1"/>
  <c r="AA107" i="13"/>
  <c r="AC107" i="13" s="1"/>
  <c r="U107" i="13"/>
  <c r="W107" i="13" s="1"/>
  <c r="AA106" i="13"/>
  <c r="AB106" i="13" s="1"/>
  <c r="U106" i="13"/>
  <c r="W106" i="13" s="1"/>
  <c r="AA105" i="13"/>
  <c r="AB105" i="13" s="1"/>
  <c r="U105" i="13"/>
  <c r="W105" i="13" s="1"/>
  <c r="AA104" i="13"/>
  <c r="AC104" i="13" s="1"/>
  <c r="U104" i="13"/>
  <c r="W104" i="13" s="1"/>
  <c r="AA103" i="13"/>
  <c r="AC103" i="13" s="1"/>
  <c r="U103" i="13"/>
  <c r="W103" i="13" s="1"/>
  <c r="AA102" i="13"/>
  <c r="AC102" i="13" s="1"/>
  <c r="AD102" i="13" s="1"/>
  <c r="U102" i="13"/>
  <c r="AA101" i="13"/>
  <c r="U101" i="13"/>
  <c r="W101" i="13" s="1"/>
  <c r="AA100" i="13"/>
  <c r="AC100" i="13" s="1"/>
  <c r="AD100" i="13" s="1"/>
  <c r="U100" i="13"/>
  <c r="W100" i="13" s="1"/>
  <c r="AA99" i="13"/>
  <c r="AB99" i="13" s="1"/>
  <c r="U99" i="13"/>
  <c r="W99" i="13" s="1"/>
  <c r="AA98" i="13"/>
  <c r="AC98" i="13" s="1"/>
  <c r="U98" i="13"/>
  <c r="W98" i="13" s="1"/>
  <c r="AA97" i="13"/>
  <c r="AC97" i="13" s="1"/>
  <c r="U97" i="13"/>
  <c r="W97" i="13" s="1"/>
  <c r="AA96" i="13"/>
  <c r="U96" i="13"/>
  <c r="V96" i="13" s="1"/>
  <c r="X96" i="13" s="1"/>
  <c r="Y96" i="13" s="1"/>
  <c r="AA95" i="13"/>
  <c r="AB95" i="13" s="1"/>
  <c r="U95" i="13"/>
  <c r="V95" i="13" s="1"/>
  <c r="X95" i="13" s="1"/>
  <c r="Y95" i="13" s="1"/>
  <c r="AA94" i="13"/>
  <c r="AB94" i="13" s="1"/>
  <c r="U94" i="13"/>
  <c r="AA93" i="13"/>
  <c r="U93" i="13"/>
  <c r="W93" i="13" s="1"/>
  <c r="AA92" i="13"/>
  <c r="AC92" i="13" s="1"/>
  <c r="U92" i="13"/>
  <c r="AA91" i="13"/>
  <c r="AC91" i="13" s="1"/>
  <c r="U91" i="13"/>
  <c r="W91" i="13" s="1"/>
  <c r="AA90" i="13"/>
  <c r="AC90" i="13" s="1"/>
  <c r="U90" i="13"/>
  <c r="W90" i="13" s="1"/>
  <c r="AA89" i="13"/>
  <c r="AC89" i="13" s="1"/>
  <c r="U89" i="13"/>
  <c r="W89" i="13" s="1"/>
  <c r="AA88" i="13"/>
  <c r="AC88" i="13" s="1"/>
  <c r="U88" i="13"/>
  <c r="V88" i="13" s="1"/>
  <c r="X88" i="13" s="1"/>
  <c r="Y88" i="13" s="1"/>
  <c r="AA87" i="13"/>
  <c r="AB87" i="13" s="1"/>
  <c r="U87" i="13"/>
  <c r="V87" i="13" s="1"/>
  <c r="X87" i="13" s="1"/>
  <c r="Y87" i="13" s="1"/>
  <c r="AA86" i="13"/>
  <c r="AB86" i="13" s="1"/>
  <c r="U86" i="13"/>
  <c r="AA85" i="13"/>
  <c r="U85" i="13"/>
  <c r="W85" i="13" s="1"/>
  <c r="AA84" i="13"/>
  <c r="AB84" i="13" s="1"/>
  <c r="U84" i="13"/>
  <c r="V84" i="13" s="1"/>
  <c r="X84" i="13" s="1"/>
  <c r="Y84" i="13" s="1"/>
  <c r="AA83" i="13"/>
  <c r="AB83" i="13" s="1"/>
  <c r="U83" i="13"/>
  <c r="W83" i="13" s="1"/>
  <c r="AA82" i="13"/>
  <c r="AC82" i="13" s="1"/>
  <c r="U82" i="13"/>
  <c r="W82" i="13" s="1"/>
  <c r="AA81" i="13"/>
  <c r="AC81" i="13" s="1"/>
  <c r="U81" i="13"/>
  <c r="W81" i="13" s="1"/>
  <c r="AA80" i="13"/>
  <c r="U80" i="13"/>
  <c r="V80" i="13" s="1"/>
  <c r="X80" i="13" s="1"/>
  <c r="Y80" i="13" s="1"/>
  <c r="AA79" i="13"/>
  <c r="AC79" i="13" s="1"/>
  <c r="AD79" i="13" s="1"/>
  <c r="AE79" i="13" s="1"/>
  <c r="U79" i="13"/>
  <c r="V79" i="13" s="1"/>
  <c r="X79" i="13" s="1"/>
  <c r="Y79" i="13" s="1"/>
  <c r="AA78" i="13"/>
  <c r="AB78" i="13" s="1"/>
  <c r="U78" i="13"/>
  <c r="AA77" i="13"/>
  <c r="U77" i="13"/>
  <c r="V77" i="13" s="1"/>
  <c r="X77" i="13" s="1"/>
  <c r="Y77" i="13" s="1"/>
  <c r="AA76" i="13"/>
  <c r="AC76" i="13" s="1"/>
  <c r="AD76" i="13" s="1"/>
  <c r="U76" i="13"/>
  <c r="AA75" i="13"/>
  <c r="AB75" i="13" s="1"/>
  <c r="U75" i="13"/>
  <c r="W75" i="13" s="1"/>
  <c r="AA74" i="13"/>
  <c r="AC74" i="13" s="1"/>
  <c r="U74" i="13"/>
  <c r="W74" i="13" s="1"/>
  <c r="AA73" i="13"/>
  <c r="AC73" i="13" s="1"/>
  <c r="U73" i="13"/>
  <c r="W73" i="13" s="1"/>
  <c r="AA72" i="13"/>
  <c r="AC72" i="13" s="1"/>
  <c r="U72" i="13"/>
  <c r="W72" i="13" s="1"/>
  <c r="AA71" i="13"/>
  <c r="U71" i="13"/>
  <c r="V71" i="13" s="1"/>
  <c r="X71" i="13" s="1"/>
  <c r="AA70" i="13"/>
  <c r="AB70" i="13" s="1"/>
  <c r="U70" i="13"/>
  <c r="W70" i="13" s="1"/>
  <c r="AA69" i="13"/>
  <c r="AB69" i="13" s="1"/>
  <c r="U69" i="13"/>
  <c r="V69" i="13" s="1"/>
  <c r="X69" i="13" s="1"/>
  <c r="Y69" i="13" s="1"/>
  <c r="AA68" i="13"/>
  <c r="AB68" i="13" s="1"/>
  <c r="U68" i="13"/>
  <c r="AA67" i="13"/>
  <c r="U67" i="13"/>
  <c r="W67" i="13" s="1"/>
  <c r="AA66" i="13"/>
  <c r="AC66" i="13" s="1"/>
  <c r="AD66" i="13" s="1"/>
  <c r="AE66" i="13" s="1"/>
  <c r="U66" i="13"/>
  <c r="W66" i="13" s="1"/>
  <c r="AA65" i="13"/>
  <c r="U65" i="13"/>
  <c r="V65" i="13" s="1"/>
  <c r="X65" i="13" s="1"/>
  <c r="Y65" i="13" s="1"/>
  <c r="AA64" i="13"/>
  <c r="AC64" i="13" s="1"/>
  <c r="U64" i="13"/>
  <c r="V64" i="13" s="1"/>
  <c r="X64" i="13" s="1"/>
  <c r="Y64" i="13" s="1"/>
  <c r="AA63" i="13"/>
  <c r="AB63" i="13" s="1"/>
  <c r="U63" i="13"/>
  <c r="W63" i="13" s="1"/>
  <c r="AA62" i="13"/>
  <c r="AC62" i="13" s="1"/>
  <c r="U62" i="13"/>
  <c r="W62" i="13" s="1"/>
  <c r="AA61" i="13"/>
  <c r="AC61" i="13" s="1"/>
  <c r="AD61" i="13" s="1"/>
  <c r="AE61" i="13" s="1"/>
  <c r="U61" i="13"/>
  <c r="AA60" i="13"/>
  <c r="AB60" i="13" s="1"/>
  <c r="U60" i="13"/>
  <c r="AA59" i="13"/>
  <c r="U59" i="13"/>
  <c r="V59" i="13" s="1"/>
  <c r="X59" i="13" s="1"/>
  <c r="Y59" i="13" s="1"/>
  <c r="AA58" i="13"/>
  <c r="AB58" i="13" s="1"/>
  <c r="U58" i="13"/>
  <c r="W58" i="13" s="1"/>
  <c r="AA57" i="13"/>
  <c r="U57" i="13"/>
  <c r="V57" i="13" s="1"/>
  <c r="X57" i="13" s="1"/>
  <c r="Y57" i="13" s="1"/>
  <c r="AA56" i="13"/>
  <c r="AB56" i="13" s="1"/>
  <c r="U56" i="13"/>
  <c r="W56" i="13" s="1"/>
  <c r="AA55" i="13"/>
  <c r="AC55" i="13" s="1"/>
  <c r="U55" i="13"/>
  <c r="W55" i="13" s="1"/>
  <c r="AA54" i="13"/>
  <c r="AC54" i="13" s="1"/>
  <c r="U54" i="13"/>
  <c r="W54" i="13" s="1"/>
  <c r="AA53" i="13"/>
  <c r="AB53" i="13" s="1"/>
  <c r="U53" i="13"/>
  <c r="V53" i="13" s="1"/>
  <c r="X53" i="13" s="1"/>
  <c r="Y53" i="13" s="1"/>
  <c r="AA52" i="13"/>
  <c r="U52" i="13"/>
  <c r="AA51" i="13"/>
  <c r="U51" i="13"/>
  <c r="W51" i="13" s="1"/>
  <c r="AA50" i="13"/>
  <c r="AC50" i="13" s="1"/>
  <c r="AD50" i="13" s="1"/>
  <c r="U50" i="13"/>
  <c r="AA49" i="13"/>
  <c r="AB49" i="13" s="1"/>
  <c r="U49" i="13"/>
  <c r="V49" i="13" s="1"/>
  <c r="X49" i="13" s="1"/>
  <c r="Y49" i="13" s="1"/>
  <c r="AA48" i="13"/>
  <c r="AC48" i="13" s="1"/>
  <c r="U48" i="13"/>
  <c r="V48" i="13" s="1"/>
  <c r="X48" i="13" s="1"/>
  <c r="Y48" i="13" s="1"/>
  <c r="AA47" i="13"/>
  <c r="AB47" i="13" s="1"/>
  <c r="U47" i="13"/>
  <c r="W47" i="13" s="1"/>
  <c r="AA46" i="13"/>
  <c r="AC46" i="13" s="1"/>
  <c r="U46" i="13"/>
  <c r="W46" i="13" s="1"/>
  <c r="AA45" i="13"/>
  <c r="AC45" i="13" s="1"/>
  <c r="AD45" i="13" s="1"/>
  <c r="AE45" i="13" s="1"/>
  <c r="U45" i="13"/>
  <c r="W45" i="13" s="1"/>
  <c r="AA44" i="13"/>
  <c r="AB44" i="13" s="1"/>
  <c r="U44" i="13"/>
  <c r="AA43" i="13"/>
  <c r="U43" i="13"/>
  <c r="W43" i="13" s="1"/>
  <c r="AA42" i="13"/>
  <c r="AC42" i="13" s="1"/>
  <c r="AD42" i="13" s="1"/>
  <c r="AE42" i="13" s="1"/>
  <c r="U42" i="13"/>
  <c r="V42" i="13" s="1"/>
  <c r="X42" i="13" s="1"/>
  <c r="Y42" i="13" s="1"/>
  <c r="AA41" i="13"/>
  <c r="AC41" i="13" s="1"/>
  <c r="U41" i="13"/>
  <c r="W41" i="13" s="1"/>
  <c r="AA40" i="13"/>
  <c r="AC40" i="13" s="1"/>
  <c r="U40" i="13"/>
  <c r="V40" i="13" s="1"/>
  <c r="X40" i="13" s="1"/>
  <c r="Y40" i="13" s="1"/>
  <c r="AA39" i="13"/>
  <c r="AB39" i="13" s="1"/>
  <c r="U39" i="13"/>
  <c r="W39" i="13" s="1"/>
  <c r="AA38" i="13"/>
  <c r="AC38" i="13" s="1"/>
  <c r="U38" i="13"/>
  <c r="W38" i="13" s="1"/>
  <c r="AA37" i="13"/>
  <c r="AC37" i="13" s="1"/>
  <c r="AD37" i="13" s="1"/>
  <c r="AE37" i="13" s="1"/>
  <c r="U37" i="13"/>
  <c r="W37" i="13" s="1"/>
  <c r="AA36" i="13"/>
  <c r="AB36" i="13" s="1"/>
  <c r="U36" i="13"/>
  <c r="AA35" i="13"/>
  <c r="U35" i="13"/>
  <c r="W35" i="13" s="1"/>
  <c r="AA34" i="13"/>
  <c r="AC34" i="13" s="1"/>
  <c r="AD34" i="13" s="1"/>
  <c r="U34" i="13"/>
  <c r="W34" i="13" s="1"/>
  <c r="AA33" i="13"/>
  <c r="AC33" i="13" s="1"/>
  <c r="U33" i="13"/>
  <c r="W33" i="13" s="1"/>
  <c r="AA32" i="13"/>
  <c r="AC32" i="13" s="1"/>
  <c r="U32" i="13"/>
  <c r="V32" i="13" s="1"/>
  <c r="X32" i="13" s="1"/>
  <c r="Y32" i="13" s="1"/>
  <c r="AA31" i="13"/>
  <c r="AB31" i="13" s="1"/>
  <c r="U31" i="13"/>
  <c r="W31" i="13" s="1"/>
  <c r="AA30" i="13"/>
  <c r="AC30" i="13" s="1"/>
  <c r="U30" i="13"/>
  <c r="V30" i="13" s="1"/>
  <c r="X30" i="13" s="1"/>
  <c r="Y30" i="13" s="1"/>
  <c r="AA29" i="13"/>
  <c r="AB29" i="13" s="1"/>
  <c r="U29" i="13"/>
  <c r="W29" i="13" s="1"/>
  <c r="AA28" i="13"/>
  <c r="U28" i="13"/>
  <c r="AA27" i="13"/>
  <c r="U27" i="13"/>
  <c r="W27" i="13" s="1"/>
  <c r="AA26" i="13"/>
  <c r="U26" i="13"/>
  <c r="V26" i="13" s="1"/>
  <c r="X26" i="13" s="1"/>
  <c r="Y26" i="13" s="1"/>
  <c r="AA25" i="13"/>
  <c r="AC25" i="13" s="1"/>
  <c r="U25" i="13"/>
  <c r="W25" i="13" s="1"/>
  <c r="AA24" i="13"/>
  <c r="AC24" i="13" s="1"/>
  <c r="U24" i="13"/>
  <c r="V24" i="13" s="1"/>
  <c r="X24" i="13" s="1"/>
  <c r="Y24" i="13" s="1"/>
  <c r="AA23" i="13"/>
  <c r="U23" i="13"/>
  <c r="W23" i="13" s="1"/>
  <c r="AA22" i="13"/>
  <c r="AC22" i="13" s="1"/>
  <c r="U22" i="13"/>
  <c r="W22" i="13" s="1"/>
  <c r="AA21" i="13"/>
  <c r="AC21" i="13" s="1"/>
  <c r="AD21" i="13" s="1"/>
  <c r="AE21" i="13" s="1"/>
  <c r="U21" i="13"/>
  <c r="V21" i="13" s="1"/>
  <c r="X21" i="13" s="1"/>
  <c r="AA20" i="13"/>
  <c r="AB20" i="13" s="1"/>
  <c r="U20" i="13"/>
  <c r="AA19" i="13"/>
  <c r="U19" i="13"/>
  <c r="W19" i="13" s="1"/>
  <c r="AA18" i="13"/>
  <c r="AC18" i="13" s="1"/>
  <c r="AD18" i="13" s="1"/>
  <c r="AE18" i="13" s="1"/>
  <c r="U18" i="13"/>
  <c r="W18" i="13" s="1"/>
  <c r="AA17" i="13"/>
  <c r="AB17" i="13" s="1"/>
  <c r="U17" i="13"/>
  <c r="W17" i="13" s="1"/>
  <c r="AA16" i="13"/>
  <c r="AC16" i="13" s="1"/>
  <c r="U16" i="13"/>
  <c r="V16" i="13" s="1"/>
  <c r="X16" i="13" s="1"/>
  <c r="Y16" i="13" s="1"/>
  <c r="AA15" i="13"/>
  <c r="AB15" i="13" s="1"/>
  <c r="U15" i="13"/>
  <c r="W15" i="13" s="1"/>
  <c r="AA14" i="13"/>
  <c r="AC14" i="13" s="1"/>
  <c r="U14" i="13"/>
  <c r="V14" i="13" s="1"/>
  <c r="X14" i="13" s="1"/>
  <c r="Y14" i="13" s="1"/>
  <c r="AA13" i="13"/>
  <c r="AC13" i="13" s="1"/>
  <c r="U13" i="13"/>
  <c r="W13" i="13" s="1"/>
  <c r="AA12" i="13"/>
  <c r="AC12" i="13" s="1"/>
  <c r="U12" i="13"/>
  <c r="V12" i="13" s="1"/>
  <c r="X12" i="13" s="1"/>
  <c r="Y12" i="13" s="1"/>
  <c r="AA11" i="13"/>
  <c r="AC11" i="13" s="1"/>
  <c r="AD11" i="13" s="1"/>
  <c r="U11" i="13"/>
  <c r="V11" i="13" s="1"/>
  <c r="X11" i="13" s="1"/>
  <c r="Y11" i="13" s="1"/>
  <c r="AA10" i="13"/>
  <c r="AB10" i="13" s="1"/>
  <c r="U10" i="13"/>
  <c r="V10" i="13" s="1"/>
  <c r="X10" i="13" s="1"/>
  <c r="Y10" i="13" s="1"/>
  <c r="AA9" i="13"/>
  <c r="AB9" i="13" s="1"/>
  <c r="U9" i="13"/>
  <c r="W9" i="13" s="1"/>
  <c r="AA8" i="13"/>
  <c r="AC8" i="13" s="1"/>
  <c r="U8" i="13"/>
  <c r="W8" i="13" s="1"/>
  <c r="AA7" i="13"/>
  <c r="AC7" i="13" s="1"/>
  <c r="U7" i="13"/>
  <c r="V7" i="13" s="1"/>
  <c r="X7" i="13" s="1"/>
  <c r="Y7" i="13" s="1"/>
  <c r="AA6" i="13"/>
  <c r="AC6" i="13" s="1"/>
  <c r="U6" i="13"/>
  <c r="W6" i="13" s="1"/>
  <c r="Q141" i="13"/>
  <c r="L141" i="13"/>
  <c r="E172" i="13"/>
  <c r="D172" i="13"/>
  <c r="C172" i="13"/>
  <c r="B172" i="13"/>
  <c r="E171" i="13"/>
  <c r="D171" i="13"/>
  <c r="C171" i="13"/>
  <c r="B171" i="13"/>
  <c r="E170" i="13"/>
  <c r="D170" i="13"/>
  <c r="C170" i="13"/>
  <c r="B170" i="13"/>
  <c r="E169" i="13"/>
  <c r="D169" i="13"/>
  <c r="C169" i="13"/>
  <c r="B169" i="13"/>
  <c r="E168" i="13"/>
  <c r="D168" i="13"/>
  <c r="C168" i="13"/>
  <c r="B168" i="13"/>
  <c r="E167" i="13"/>
  <c r="D167" i="13"/>
  <c r="C167" i="13"/>
  <c r="B167" i="13"/>
  <c r="E165" i="13"/>
  <c r="D165" i="13"/>
  <c r="C165" i="13"/>
  <c r="B165" i="13"/>
  <c r="E164" i="13"/>
  <c r="D164" i="13"/>
  <c r="C164" i="13"/>
  <c r="B164" i="13"/>
  <c r="E163" i="13"/>
  <c r="D163" i="13"/>
  <c r="C163" i="13"/>
  <c r="B163" i="13"/>
  <c r="E162" i="13"/>
  <c r="D162" i="13"/>
  <c r="C162" i="13"/>
  <c r="B162" i="13"/>
  <c r="E161" i="13"/>
  <c r="D161" i="13"/>
  <c r="C161" i="13"/>
  <c r="B161" i="13"/>
  <c r="E160" i="13"/>
  <c r="D160" i="13"/>
  <c r="C160" i="13"/>
  <c r="B160" i="13"/>
  <c r="E159" i="13"/>
  <c r="D159" i="13"/>
  <c r="C159" i="13"/>
  <c r="B159" i="13"/>
  <c r="E158" i="13"/>
  <c r="D158" i="13"/>
  <c r="C158" i="13"/>
  <c r="B158" i="13"/>
  <c r="E157" i="13"/>
  <c r="D157" i="13"/>
  <c r="C157" i="13"/>
  <c r="B157" i="13"/>
  <c r="E156" i="13"/>
  <c r="D156" i="13"/>
  <c r="C156" i="13"/>
  <c r="B156" i="13"/>
  <c r="E155" i="13"/>
  <c r="D155" i="13"/>
  <c r="C155" i="13"/>
  <c r="B155" i="13"/>
  <c r="E154" i="13"/>
  <c r="D154" i="13"/>
  <c r="C154" i="13"/>
  <c r="B154" i="13"/>
  <c r="E153" i="13"/>
  <c r="D153" i="13"/>
  <c r="C153" i="13"/>
  <c r="B153" i="13"/>
  <c r="E152" i="13"/>
  <c r="D152" i="13"/>
  <c r="C152" i="13"/>
  <c r="B152" i="13"/>
  <c r="E151" i="13"/>
  <c r="D151" i="13"/>
  <c r="C151" i="13"/>
  <c r="B151" i="13"/>
  <c r="E150" i="13"/>
  <c r="D150" i="13"/>
  <c r="C150" i="13"/>
  <c r="B150" i="13"/>
  <c r="E149" i="13"/>
  <c r="D149" i="13"/>
  <c r="C149" i="13"/>
  <c r="B149" i="13"/>
  <c r="E148" i="13"/>
  <c r="D148" i="13"/>
  <c r="C148" i="13"/>
  <c r="B148" i="13"/>
  <c r="E147" i="13"/>
  <c r="D147" i="13"/>
  <c r="C147" i="13"/>
  <c r="B147" i="13"/>
  <c r="E146" i="13"/>
  <c r="D146" i="13"/>
  <c r="C146" i="13"/>
  <c r="B146" i="13"/>
  <c r="E145" i="13"/>
  <c r="D145" i="13"/>
  <c r="C145" i="13"/>
  <c r="B145" i="13"/>
  <c r="E144" i="13"/>
  <c r="D144" i="13"/>
  <c r="C144" i="13"/>
  <c r="B144" i="13"/>
  <c r="E143" i="13"/>
  <c r="D143" i="13"/>
  <c r="C143" i="13"/>
  <c r="B143" i="13"/>
  <c r="E142" i="13"/>
  <c r="D142" i="13"/>
  <c r="C142" i="13"/>
  <c r="B142" i="13"/>
  <c r="E141" i="13"/>
  <c r="D141" i="13"/>
  <c r="C141" i="13"/>
  <c r="B141" i="13"/>
  <c r="E140" i="13"/>
  <c r="D140" i="13"/>
  <c r="C140" i="13"/>
  <c r="B140" i="13"/>
  <c r="E139" i="13"/>
  <c r="D139" i="13"/>
  <c r="C139" i="13"/>
  <c r="B139" i="13"/>
  <c r="E138" i="13"/>
  <c r="D138" i="13"/>
  <c r="C138" i="13"/>
  <c r="B138" i="13"/>
  <c r="E137" i="13"/>
  <c r="D137" i="13"/>
  <c r="C137" i="13"/>
  <c r="B137" i="13"/>
  <c r="E136" i="13"/>
  <c r="D136" i="13"/>
  <c r="C136" i="13"/>
  <c r="B136" i="13"/>
  <c r="E135" i="13"/>
  <c r="D135" i="13"/>
  <c r="C135" i="13"/>
  <c r="B135" i="13"/>
  <c r="E134" i="13"/>
  <c r="D134" i="13"/>
  <c r="C134" i="13"/>
  <c r="B134" i="13"/>
  <c r="E133" i="13"/>
  <c r="D133" i="13"/>
  <c r="C133" i="13"/>
  <c r="B133" i="13"/>
  <c r="E132" i="13"/>
  <c r="D132" i="13"/>
  <c r="C132" i="13"/>
  <c r="B132" i="13"/>
  <c r="E131" i="13"/>
  <c r="D131" i="13"/>
  <c r="C131" i="13"/>
  <c r="B131" i="13"/>
  <c r="E130" i="13"/>
  <c r="D130" i="13"/>
  <c r="C130" i="13"/>
  <c r="B130" i="13"/>
  <c r="E129" i="13"/>
  <c r="D129" i="13"/>
  <c r="C129" i="13"/>
  <c r="B129" i="13"/>
  <c r="E128" i="13"/>
  <c r="D128" i="13"/>
  <c r="C128" i="13"/>
  <c r="B128" i="13"/>
  <c r="E127" i="13"/>
  <c r="D127" i="13"/>
  <c r="C127" i="13"/>
  <c r="B127" i="13"/>
  <c r="E126" i="13"/>
  <c r="D126" i="13"/>
  <c r="C126" i="13"/>
  <c r="B126" i="13"/>
  <c r="E125" i="13"/>
  <c r="D125" i="13"/>
  <c r="C125" i="13"/>
  <c r="B125" i="13"/>
  <c r="E124" i="13"/>
  <c r="D124" i="13"/>
  <c r="C124" i="13"/>
  <c r="B124" i="13"/>
  <c r="E123" i="13"/>
  <c r="D123" i="13"/>
  <c r="C123" i="13"/>
  <c r="B123" i="13"/>
  <c r="E122" i="13"/>
  <c r="D122" i="13"/>
  <c r="C122" i="13"/>
  <c r="B122" i="13"/>
  <c r="E121" i="13"/>
  <c r="D121" i="13"/>
  <c r="C121" i="13"/>
  <c r="B121" i="13"/>
  <c r="E120" i="13"/>
  <c r="D120" i="13"/>
  <c r="C120" i="13"/>
  <c r="B120" i="13"/>
  <c r="E119" i="13"/>
  <c r="D119" i="13"/>
  <c r="C119" i="13"/>
  <c r="B119" i="13"/>
  <c r="E118" i="13"/>
  <c r="D118" i="13"/>
  <c r="C118" i="13"/>
  <c r="B118" i="13"/>
  <c r="E117" i="13"/>
  <c r="D117" i="13"/>
  <c r="C117" i="13"/>
  <c r="B117" i="13"/>
  <c r="E116" i="13"/>
  <c r="D116" i="13"/>
  <c r="C116" i="13"/>
  <c r="B116" i="13"/>
  <c r="E115" i="13"/>
  <c r="D115" i="13"/>
  <c r="C115" i="13"/>
  <c r="B115" i="13"/>
  <c r="E114" i="13"/>
  <c r="D114" i="13"/>
  <c r="C114" i="13"/>
  <c r="B114" i="13"/>
  <c r="E113" i="13"/>
  <c r="D113" i="13"/>
  <c r="C113" i="13"/>
  <c r="B113" i="13"/>
  <c r="E112" i="13"/>
  <c r="D112" i="13"/>
  <c r="C112" i="13"/>
  <c r="B112" i="13"/>
  <c r="E111" i="13"/>
  <c r="D111" i="13"/>
  <c r="C111" i="13"/>
  <c r="B111" i="13"/>
  <c r="E110" i="13"/>
  <c r="D110" i="13"/>
  <c r="C110" i="13"/>
  <c r="B110" i="13"/>
  <c r="E109" i="13"/>
  <c r="D109" i="13"/>
  <c r="C109" i="13"/>
  <c r="B109" i="13"/>
  <c r="E108" i="13"/>
  <c r="D108" i="13"/>
  <c r="C108" i="13"/>
  <c r="B108" i="13"/>
  <c r="E107" i="13"/>
  <c r="D107" i="13"/>
  <c r="C107" i="13"/>
  <c r="B107" i="13"/>
  <c r="E106" i="13"/>
  <c r="D106" i="13"/>
  <c r="C106" i="13"/>
  <c r="B106" i="13"/>
  <c r="E105" i="13"/>
  <c r="D105" i="13"/>
  <c r="C105" i="13"/>
  <c r="B105" i="13"/>
  <c r="E104" i="13"/>
  <c r="D104" i="13"/>
  <c r="C104" i="13"/>
  <c r="B104" i="13"/>
  <c r="E103" i="13"/>
  <c r="D103" i="13"/>
  <c r="C103" i="13"/>
  <c r="B103" i="13"/>
  <c r="E102" i="13"/>
  <c r="D102" i="13"/>
  <c r="C102" i="13"/>
  <c r="B102" i="13"/>
  <c r="E101" i="13"/>
  <c r="D101" i="13"/>
  <c r="C101" i="13"/>
  <c r="B101" i="13"/>
  <c r="E100" i="13"/>
  <c r="D100" i="13"/>
  <c r="C100" i="13"/>
  <c r="B100" i="13"/>
  <c r="E99" i="13"/>
  <c r="D99" i="13"/>
  <c r="C99" i="13"/>
  <c r="B99" i="13"/>
  <c r="E98" i="13"/>
  <c r="D98" i="13"/>
  <c r="C98" i="13"/>
  <c r="B98" i="13"/>
  <c r="E97" i="13"/>
  <c r="D97" i="13"/>
  <c r="C97" i="13"/>
  <c r="B97" i="13"/>
  <c r="E96" i="13"/>
  <c r="D96" i="13"/>
  <c r="C96" i="13"/>
  <c r="B96" i="13"/>
  <c r="E95" i="13"/>
  <c r="D95" i="13"/>
  <c r="C95" i="13"/>
  <c r="B95" i="13"/>
  <c r="E94" i="13"/>
  <c r="D94" i="13"/>
  <c r="C94" i="13"/>
  <c r="B94" i="13"/>
  <c r="E93" i="13"/>
  <c r="D93" i="13"/>
  <c r="C93" i="13"/>
  <c r="B93" i="13"/>
  <c r="E92" i="13"/>
  <c r="D92" i="13"/>
  <c r="C92" i="13"/>
  <c r="B92" i="13"/>
  <c r="E91" i="13"/>
  <c r="D91" i="13"/>
  <c r="C91" i="13"/>
  <c r="B91" i="13"/>
  <c r="E90" i="13"/>
  <c r="D90" i="13"/>
  <c r="C90" i="13"/>
  <c r="B90" i="13"/>
  <c r="E89" i="13"/>
  <c r="D89" i="13"/>
  <c r="C89" i="13"/>
  <c r="B89" i="13"/>
  <c r="E88" i="13"/>
  <c r="D88" i="13"/>
  <c r="C88" i="13"/>
  <c r="B88" i="13"/>
  <c r="E87" i="13"/>
  <c r="D87" i="13"/>
  <c r="C87" i="13"/>
  <c r="B87" i="13"/>
  <c r="E86" i="13"/>
  <c r="D86" i="13"/>
  <c r="C86" i="13"/>
  <c r="B86" i="13"/>
  <c r="E85" i="13"/>
  <c r="D85" i="13"/>
  <c r="C85" i="13"/>
  <c r="B85" i="13"/>
  <c r="E84" i="13"/>
  <c r="D84" i="13"/>
  <c r="C84" i="13"/>
  <c r="B84" i="13"/>
  <c r="E83" i="13"/>
  <c r="D83" i="13"/>
  <c r="C83" i="13"/>
  <c r="B83" i="13"/>
  <c r="E82" i="13"/>
  <c r="D82" i="13"/>
  <c r="C82" i="13"/>
  <c r="B82" i="13"/>
  <c r="E81" i="13"/>
  <c r="D81" i="13"/>
  <c r="C81" i="13"/>
  <c r="B81" i="13"/>
  <c r="E80" i="13"/>
  <c r="D80" i="13"/>
  <c r="C80" i="13"/>
  <c r="B80" i="13"/>
  <c r="E79" i="13"/>
  <c r="D79" i="13"/>
  <c r="C79" i="13"/>
  <c r="B79" i="13"/>
  <c r="E78" i="13"/>
  <c r="D78" i="13"/>
  <c r="C78" i="13"/>
  <c r="B78" i="13"/>
  <c r="E77" i="13"/>
  <c r="D77" i="13"/>
  <c r="C77" i="13"/>
  <c r="B77" i="13"/>
  <c r="E76" i="13"/>
  <c r="D76" i="13"/>
  <c r="C76" i="13"/>
  <c r="B76" i="13"/>
  <c r="E75" i="13"/>
  <c r="D75" i="13"/>
  <c r="C75" i="13"/>
  <c r="B75" i="13"/>
  <c r="E74" i="13"/>
  <c r="D74" i="13"/>
  <c r="C74" i="13"/>
  <c r="B74" i="13"/>
  <c r="E73" i="13"/>
  <c r="D73" i="13"/>
  <c r="C73" i="13"/>
  <c r="B73" i="13"/>
  <c r="E72" i="13"/>
  <c r="D72" i="13"/>
  <c r="C72" i="13"/>
  <c r="B72" i="13"/>
  <c r="E71" i="13"/>
  <c r="D71" i="13"/>
  <c r="C71" i="13"/>
  <c r="B71" i="13"/>
  <c r="E70" i="13"/>
  <c r="D70" i="13"/>
  <c r="C70" i="13"/>
  <c r="B70" i="13"/>
  <c r="E69" i="13"/>
  <c r="D69" i="13"/>
  <c r="C69" i="13"/>
  <c r="B69" i="13"/>
  <c r="E68" i="13"/>
  <c r="D68" i="13"/>
  <c r="C68" i="13"/>
  <c r="B68" i="13"/>
  <c r="E67" i="13"/>
  <c r="D67" i="13"/>
  <c r="C67" i="13"/>
  <c r="B67" i="13"/>
  <c r="E66" i="13"/>
  <c r="D66" i="13"/>
  <c r="C66" i="13"/>
  <c r="B66" i="13"/>
  <c r="E65" i="13"/>
  <c r="D65" i="13"/>
  <c r="C65" i="13"/>
  <c r="B65" i="13"/>
  <c r="E64" i="13"/>
  <c r="D64" i="13"/>
  <c r="C64" i="13"/>
  <c r="B64" i="13"/>
  <c r="E63" i="13"/>
  <c r="D63" i="13"/>
  <c r="C63" i="13"/>
  <c r="B63" i="13"/>
  <c r="E62" i="13"/>
  <c r="D62" i="13"/>
  <c r="C62" i="13"/>
  <c r="B62" i="13"/>
  <c r="E61" i="13"/>
  <c r="D61" i="13"/>
  <c r="C61" i="13"/>
  <c r="B61" i="13"/>
  <c r="E60" i="13"/>
  <c r="D60" i="13"/>
  <c r="C60" i="13"/>
  <c r="B60" i="13"/>
  <c r="E59" i="13"/>
  <c r="D59" i="13"/>
  <c r="C59" i="13"/>
  <c r="B59" i="13"/>
  <c r="E58" i="13"/>
  <c r="D58" i="13"/>
  <c r="C58" i="13"/>
  <c r="B58" i="13"/>
  <c r="E57" i="13"/>
  <c r="D57" i="13"/>
  <c r="C57" i="13"/>
  <c r="B57" i="13"/>
  <c r="E56" i="13"/>
  <c r="D56" i="13"/>
  <c r="C56" i="13"/>
  <c r="B56" i="13"/>
  <c r="E55" i="13"/>
  <c r="D55" i="13"/>
  <c r="C55" i="13"/>
  <c r="B55" i="13"/>
  <c r="E54" i="13"/>
  <c r="D54" i="13"/>
  <c r="C54" i="13"/>
  <c r="B54" i="13"/>
  <c r="E53" i="13"/>
  <c r="D53" i="13"/>
  <c r="C53" i="13"/>
  <c r="B53" i="13"/>
  <c r="E52" i="13"/>
  <c r="D52" i="13"/>
  <c r="C52" i="13"/>
  <c r="B52" i="13"/>
  <c r="E51" i="13"/>
  <c r="D51" i="13"/>
  <c r="C51" i="13"/>
  <c r="B51" i="13"/>
  <c r="E50" i="13"/>
  <c r="D50" i="13"/>
  <c r="C50" i="13"/>
  <c r="B50" i="13"/>
  <c r="E49" i="13"/>
  <c r="D49" i="13"/>
  <c r="C49" i="13"/>
  <c r="B49" i="13"/>
  <c r="E48" i="13"/>
  <c r="D48" i="13"/>
  <c r="C48" i="13"/>
  <c r="B48" i="13"/>
  <c r="E47" i="13"/>
  <c r="D47" i="13"/>
  <c r="C47" i="13"/>
  <c r="B47" i="13"/>
  <c r="E46" i="13"/>
  <c r="D46" i="13"/>
  <c r="C46" i="13"/>
  <c r="B46" i="13"/>
  <c r="E45" i="13"/>
  <c r="D45" i="13"/>
  <c r="C45" i="13"/>
  <c r="B45" i="13"/>
  <c r="E44" i="13"/>
  <c r="D44" i="13"/>
  <c r="C44" i="13"/>
  <c r="B44" i="13"/>
  <c r="E43" i="13"/>
  <c r="D43" i="13"/>
  <c r="C43" i="13"/>
  <c r="B43" i="13"/>
  <c r="E42" i="13"/>
  <c r="D42" i="13"/>
  <c r="C42" i="13"/>
  <c r="B42" i="13"/>
  <c r="E41" i="13"/>
  <c r="D41" i="13"/>
  <c r="C41" i="13"/>
  <c r="B41" i="13"/>
  <c r="E40" i="13"/>
  <c r="D40" i="13"/>
  <c r="C40" i="13"/>
  <c r="B40" i="13"/>
  <c r="E39" i="13"/>
  <c r="D39" i="13"/>
  <c r="C39" i="13"/>
  <c r="B39" i="13"/>
  <c r="E38" i="13"/>
  <c r="D38" i="13"/>
  <c r="C38" i="13"/>
  <c r="B38" i="13"/>
  <c r="E37" i="13"/>
  <c r="D37" i="13"/>
  <c r="C37" i="13"/>
  <c r="B37" i="13"/>
  <c r="E36" i="13"/>
  <c r="D36" i="13"/>
  <c r="C36" i="13"/>
  <c r="B36" i="13"/>
  <c r="E35" i="13"/>
  <c r="D35" i="13"/>
  <c r="C35" i="13"/>
  <c r="B35" i="13"/>
  <c r="E34" i="13"/>
  <c r="D34" i="13"/>
  <c r="C34" i="13"/>
  <c r="B34" i="13"/>
  <c r="E33" i="13"/>
  <c r="D33" i="13"/>
  <c r="C33" i="13"/>
  <c r="B33" i="13"/>
  <c r="E32" i="13"/>
  <c r="D32" i="13"/>
  <c r="C32" i="13"/>
  <c r="B32" i="13"/>
  <c r="E31" i="13"/>
  <c r="D31" i="13"/>
  <c r="C31" i="13"/>
  <c r="B31" i="13"/>
  <c r="E30" i="13"/>
  <c r="D30" i="13"/>
  <c r="C30" i="13"/>
  <c r="B30" i="13"/>
  <c r="E29" i="13"/>
  <c r="D29" i="13"/>
  <c r="C29" i="13"/>
  <c r="B29" i="13"/>
  <c r="E28" i="13"/>
  <c r="D28" i="13"/>
  <c r="C28" i="13"/>
  <c r="B28" i="13"/>
  <c r="E27" i="13"/>
  <c r="D27" i="13"/>
  <c r="C27" i="13"/>
  <c r="B27" i="13"/>
  <c r="E26" i="13"/>
  <c r="D26" i="13"/>
  <c r="C26" i="13"/>
  <c r="B26" i="13"/>
  <c r="E25" i="13"/>
  <c r="D25" i="13"/>
  <c r="C25" i="13"/>
  <c r="B25" i="13"/>
  <c r="E24" i="13"/>
  <c r="D24" i="13"/>
  <c r="C24" i="13"/>
  <c r="B24" i="13"/>
  <c r="E23" i="13"/>
  <c r="D23" i="13"/>
  <c r="C23" i="13"/>
  <c r="B23" i="13"/>
  <c r="E22" i="13"/>
  <c r="D22" i="13"/>
  <c r="C22" i="13"/>
  <c r="B22" i="13"/>
  <c r="E21" i="13"/>
  <c r="D21" i="13"/>
  <c r="C21" i="13"/>
  <c r="B21" i="13"/>
  <c r="E20" i="13"/>
  <c r="D20" i="13"/>
  <c r="C20" i="13"/>
  <c r="B20" i="13"/>
  <c r="E19" i="13"/>
  <c r="D19" i="13"/>
  <c r="C19" i="13"/>
  <c r="B19" i="13"/>
  <c r="E18" i="13"/>
  <c r="D18" i="13"/>
  <c r="C18" i="13"/>
  <c r="B18" i="13"/>
  <c r="E17" i="13"/>
  <c r="D17" i="13"/>
  <c r="C17" i="13"/>
  <c r="B17" i="13"/>
  <c r="E16" i="13"/>
  <c r="D16" i="13"/>
  <c r="C16" i="13"/>
  <c r="B16" i="13"/>
  <c r="E15" i="13"/>
  <c r="D15" i="13"/>
  <c r="C15" i="13"/>
  <c r="B15" i="13"/>
  <c r="E14" i="13"/>
  <c r="D14" i="13"/>
  <c r="C14" i="13"/>
  <c r="B14" i="13"/>
  <c r="E13" i="13"/>
  <c r="D13" i="13"/>
  <c r="C13" i="13"/>
  <c r="B13" i="13"/>
  <c r="E12" i="13"/>
  <c r="D12" i="13"/>
  <c r="C12" i="13"/>
  <c r="B12" i="13"/>
  <c r="E11" i="13"/>
  <c r="D11" i="13"/>
  <c r="C11" i="13"/>
  <c r="B11" i="13"/>
  <c r="E10" i="13"/>
  <c r="D10" i="13"/>
  <c r="C10" i="13"/>
  <c r="B10" i="13"/>
  <c r="E9" i="13"/>
  <c r="D9" i="13"/>
  <c r="C9" i="13"/>
  <c r="B9" i="13"/>
  <c r="E8" i="13"/>
  <c r="D8" i="13"/>
  <c r="C8" i="13"/>
  <c r="B8" i="13"/>
  <c r="E7" i="13"/>
  <c r="D7" i="13"/>
  <c r="C7" i="13"/>
  <c r="B7" i="13"/>
  <c r="E6" i="13"/>
  <c r="D6" i="13"/>
  <c r="C6" i="13"/>
  <c r="B6" i="13"/>
  <c r="E5" i="13"/>
  <c r="D5" i="13"/>
  <c r="C5" i="13"/>
  <c r="B5" i="13"/>
  <c r="AB79" i="13" l="1"/>
  <c r="W146" i="13"/>
  <c r="W150" i="13"/>
  <c r="AC53" i="13"/>
  <c r="AD53" i="13" s="1"/>
  <c r="AE53" i="13" s="1"/>
  <c r="AH53" i="13" s="1"/>
  <c r="W57" i="13"/>
  <c r="AB163" i="13"/>
  <c r="AB121" i="13"/>
  <c r="AC154" i="13"/>
  <c r="AF154" i="13" s="1"/>
  <c r="AF161" i="13"/>
  <c r="V119" i="13"/>
  <c r="X119" i="13" s="1"/>
  <c r="Y119" i="13" s="1"/>
  <c r="V152" i="13"/>
  <c r="X152" i="13" s="1"/>
  <c r="Y152" i="13" s="1"/>
  <c r="V193" i="13"/>
  <c r="X193" i="13" s="1"/>
  <c r="Y193" i="13" s="1"/>
  <c r="AB187" i="13"/>
  <c r="AC142" i="13"/>
  <c r="AD142" i="13" s="1"/>
  <c r="AE142" i="13" s="1"/>
  <c r="AC137" i="13"/>
  <c r="AD137" i="13" s="1"/>
  <c r="AE137" i="13" s="1"/>
  <c r="AH137" i="13" s="1"/>
  <c r="V141" i="13"/>
  <c r="X141" i="13" s="1"/>
  <c r="Y141" i="13" s="1"/>
  <c r="AF152" i="13"/>
  <c r="AB161" i="13"/>
  <c r="AB123" i="13"/>
  <c r="V142" i="13"/>
  <c r="X142" i="13" s="1"/>
  <c r="Y142" i="13" s="1"/>
  <c r="AF177" i="13"/>
  <c r="W145" i="13"/>
  <c r="V148" i="13"/>
  <c r="X148" i="13" s="1"/>
  <c r="Y148" i="13" s="1"/>
  <c r="AC166" i="13"/>
  <c r="V178" i="13"/>
  <c r="X178" i="13" s="1"/>
  <c r="Y178" i="13" s="1"/>
  <c r="AC84" i="13"/>
  <c r="AD84" i="13" s="1"/>
  <c r="W156" i="13"/>
  <c r="W198" i="13"/>
  <c r="AD155" i="13"/>
  <c r="AE155" i="13" s="1"/>
  <c r="AH155" i="13" s="1"/>
  <c r="V13" i="13"/>
  <c r="X13" i="13" s="1"/>
  <c r="Y13" i="13" s="1"/>
  <c r="AB91" i="13"/>
  <c r="V113" i="13"/>
  <c r="X113" i="13" s="1"/>
  <c r="Y113" i="13" s="1"/>
  <c r="V143" i="13"/>
  <c r="X143" i="13" s="1"/>
  <c r="Y143" i="13" s="1"/>
  <c r="AC150" i="13"/>
  <c r="W166" i="13"/>
  <c r="AC197" i="13"/>
  <c r="AD197" i="13" s="1"/>
  <c r="AE197" i="13" s="1"/>
  <c r="AF37" i="13"/>
  <c r="AB88" i="13"/>
  <c r="W95" i="13"/>
  <c r="AC148" i="13"/>
  <c r="AD148" i="13" s="1"/>
  <c r="V153" i="13"/>
  <c r="X153" i="13" s="1"/>
  <c r="Y153" i="13" s="1"/>
  <c r="W155" i="13"/>
  <c r="AF155" i="13" s="1"/>
  <c r="V162" i="13"/>
  <c r="X162" i="13" s="1"/>
  <c r="Y162" i="13" s="1"/>
  <c r="V164" i="13"/>
  <c r="X164" i="13" s="1"/>
  <c r="Y164" i="13" s="1"/>
  <c r="AB168" i="13"/>
  <c r="V185" i="13"/>
  <c r="X185" i="13" s="1"/>
  <c r="Y185" i="13" s="1"/>
  <c r="AC193" i="13"/>
  <c r="AF193" i="13" s="1"/>
  <c r="AB195" i="13"/>
  <c r="W7" i="13"/>
  <c r="AF7" i="13" s="1"/>
  <c r="V34" i="13"/>
  <c r="X34" i="13" s="1"/>
  <c r="Y34" i="13" s="1"/>
  <c r="AB41" i="13"/>
  <c r="AC58" i="13"/>
  <c r="AD58" i="13" s="1"/>
  <c r="AE58" i="13" s="1"/>
  <c r="AB151" i="13"/>
  <c r="AB155" i="13"/>
  <c r="AF176" i="13"/>
  <c r="AB179" i="13"/>
  <c r="V194" i="13"/>
  <c r="X194" i="13" s="1"/>
  <c r="Y194" i="13" s="1"/>
  <c r="V196" i="13"/>
  <c r="X196" i="13" s="1"/>
  <c r="Y196" i="13" s="1"/>
  <c r="AB201" i="13"/>
  <c r="W96" i="13"/>
  <c r="AB103" i="13"/>
  <c r="V118" i="13"/>
  <c r="X118" i="13" s="1"/>
  <c r="Y118" i="13" s="1"/>
  <c r="V154" i="13"/>
  <c r="X154" i="13" s="1"/>
  <c r="Y154" i="13" s="1"/>
  <c r="AC162" i="13"/>
  <c r="AF162" i="13" s="1"/>
  <c r="W167" i="13"/>
  <c r="AF167" i="13" s="1"/>
  <c r="AC189" i="13"/>
  <c r="AD189" i="13" s="1"/>
  <c r="AE189" i="13" s="1"/>
  <c r="W79" i="13"/>
  <c r="W59" i="13"/>
  <c r="AC49" i="13"/>
  <c r="AD49" i="13" s="1"/>
  <c r="AC78" i="13"/>
  <c r="AD78" i="13" s="1"/>
  <c r="AE78" i="13" s="1"/>
  <c r="AC87" i="13"/>
  <c r="AD87" i="13" s="1"/>
  <c r="AE87" i="13" s="1"/>
  <c r="AH87" i="13" s="1"/>
  <c r="AB115" i="13"/>
  <c r="AC165" i="13"/>
  <c r="AD165" i="13" s="1"/>
  <c r="AC170" i="13"/>
  <c r="AF170" i="13" s="1"/>
  <c r="W180" i="13"/>
  <c r="W190" i="13"/>
  <c r="AC194" i="13"/>
  <c r="AD194" i="13" s="1"/>
  <c r="AC75" i="13"/>
  <c r="AF75" i="13" s="1"/>
  <c r="V73" i="13"/>
  <c r="X73" i="13" s="1"/>
  <c r="Y73" i="13" s="1"/>
  <c r="AB125" i="13"/>
  <c r="AB128" i="13"/>
  <c r="AB11" i="13"/>
  <c r="AB25" i="13"/>
  <c r="W42" i="13"/>
  <c r="AF42" i="13" s="1"/>
  <c r="AB48" i="13"/>
  <c r="W69" i="13"/>
  <c r="AC83" i="13"/>
  <c r="AF83" i="13" s="1"/>
  <c r="AB98" i="13"/>
  <c r="AC114" i="13"/>
  <c r="AF114" i="13" s="1"/>
  <c r="AB133" i="13"/>
  <c r="V134" i="13"/>
  <c r="X134" i="13" s="1"/>
  <c r="Y134" i="13" s="1"/>
  <c r="AB13" i="13"/>
  <c r="AB6" i="13"/>
  <c r="W26" i="13"/>
  <c r="AC36" i="13"/>
  <c r="AD36" i="13" s="1"/>
  <c r="AB46" i="13"/>
  <c r="AC69" i="13"/>
  <c r="AD69" i="13" s="1"/>
  <c r="AE69" i="13" s="1"/>
  <c r="AH69" i="13" s="1"/>
  <c r="V81" i="13"/>
  <c r="X81" i="13" s="1"/>
  <c r="Y81" i="13" s="1"/>
  <c r="AB102" i="13"/>
  <c r="AB126" i="13"/>
  <c r="V129" i="13"/>
  <c r="X129" i="13" s="1"/>
  <c r="Y129" i="13" s="1"/>
  <c r="AH129" i="13" s="1"/>
  <c r="AC136" i="13"/>
  <c r="AD136" i="13" s="1"/>
  <c r="AC9" i="13"/>
  <c r="AD9" i="13" s="1"/>
  <c r="AE9" i="13" s="1"/>
  <c r="AB76" i="13"/>
  <c r="V97" i="13"/>
  <c r="X97" i="13" s="1"/>
  <c r="Y97" i="13" s="1"/>
  <c r="AC124" i="13"/>
  <c r="AD124" i="13" s="1"/>
  <c r="AE124" i="13" s="1"/>
  <c r="AB129" i="13"/>
  <c r="AB132" i="13"/>
  <c r="AB134" i="13"/>
  <c r="W137" i="13"/>
  <c r="V104" i="13"/>
  <c r="X104" i="13" s="1"/>
  <c r="Y104" i="13" s="1"/>
  <c r="AB107" i="13"/>
  <c r="V56" i="13"/>
  <c r="X56" i="13" s="1"/>
  <c r="Y56" i="13" s="1"/>
  <c r="W65" i="13"/>
  <c r="W77" i="13"/>
  <c r="W127" i="13"/>
  <c r="W12" i="13"/>
  <c r="AF12" i="13" s="1"/>
  <c r="V99" i="13"/>
  <c r="X99" i="13" s="1"/>
  <c r="Y99" i="13" s="1"/>
  <c r="W108" i="13"/>
  <c r="AF108" i="13" s="1"/>
  <c r="W30" i="13"/>
  <c r="AF30" i="13" s="1"/>
  <c r="V54" i="13"/>
  <c r="X54" i="13" s="1"/>
  <c r="Y54" i="13" s="1"/>
  <c r="W80" i="13"/>
  <c r="V85" i="13"/>
  <c r="X85" i="13" s="1"/>
  <c r="Y85" i="13" s="1"/>
  <c r="W126" i="13"/>
  <c r="AF126" i="13" s="1"/>
  <c r="V37" i="13"/>
  <c r="X37" i="13" s="1"/>
  <c r="Y37" i="13" s="1"/>
  <c r="AH37" i="13" s="1"/>
  <c r="AF55" i="13"/>
  <c r="W84" i="13"/>
  <c r="V116" i="13"/>
  <c r="X116" i="13" s="1"/>
  <c r="Y116" i="13" s="1"/>
  <c r="V130" i="13"/>
  <c r="X130" i="13" s="1"/>
  <c r="Y130" i="13" s="1"/>
  <c r="AF100" i="13"/>
  <c r="AG11" i="13"/>
  <c r="AF130" i="13"/>
  <c r="AC26" i="13"/>
  <c r="AD26" i="13" s="1"/>
  <c r="AE26" i="13" s="1"/>
  <c r="AH26" i="13" s="1"/>
  <c r="AB26" i="13"/>
  <c r="V61" i="13"/>
  <c r="X61" i="13" s="1"/>
  <c r="Y61" i="13" s="1"/>
  <c r="AH61" i="13" s="1"/>
  <c r="W61" i="13"/>
  <c r="AF61" i="13" s="1"/>
  <c r="AB112" i="13"/>
  <c r="V147" i="13"/>
  <c r="X147" i="13" s="1"/>
  <c r="Y147" i="13" s="1"/>
  <c r="W168" i="13"/>
  <c r="AF168" i="13" s="1"/>
  <c r="V168" i="13"/>
  <c r="X168" i="13" s="1"/>
  <c r="Y168" i="13" s="1"/>
  <c r="AD176" i="13"/>
  <c r="AE176" i="13" s="1"/>
  <c r="V18" i="13"/>
  <c r="X18" i="13" s="1"/>
  <c r="Y18" i="13" s="1"/>
  <c r="AH18" i="13" s="1"/>
  <c r="V76" i="13"/>
  <c r="X76" i="13" s="1"/>
  <c r="Y76" i="13" s="1"/>
  <c r="W76" i="13"/>
  <c r="AF76" i="13" s="1"/>
  <c r="V83" i="13"/>
  <c r="X83" i="13" s="1"/>
  <c r="Y83" i="13" s="1"/>
  <c r="AC96" i="13"/>
  <c r="AB96" i="13"/>
  <c r="V107" i="13"/>
  <c r="X107" i="13" s="1"/>
  <c r="Y107" i="13" s="1"/>
  <c r="V125" i="13"/>
  <c r="X125" i="13" s="1"/>
  <c r="Y125" i="13" s="1"/>
  <c r="W125" i="13"/>
  <c r="AF125" i="13" s="1"/>
  <c r="W135" i="13"/>
  <c r="V135" i="13"/>
  <c r="X135" i="13" s="1"/>
  <c r="Y135" i="13" s="1"/>
  <c r="W171" i="13"/>
  <c r="AF171" i="13" s="1"/>
  <c r="V171" i="13"/>
  <c r="X171" i="13" s="1"/>
  <c r="Y171" i="13" s="1"/>
  <c r="V189" i="13"/>
  <c r="X189" i="13" s="1"/>
  <c r="Y189" i="13" s="1"/>
  <c r="W189" i="13"/>
  <c r="V188" i="13"/>
  <c r="X188" i="13" s="1"/>
  <c r="Y188" i="13" s="1"/>
  <c r="W188" i="13"/>
  <c r="AD195" i="13"/>
  <c r="AF195" i="13"/>
  <c r="AC80" i="13"/>
  <c r="AB80" i="13"/>
  <c r="AD171" i="13"/>
  <c r="AE171" i="13" s="1"/>
  <c r="V182" i="13"/>
  <c r="X182" i="13" s="1"/>
  <c r="Y182" i="13" s="1"/>
  <c r="W182" i="13"/>
  <c r="V6" i="13"/>
  <c r="X6" i="13" s="1"/>
  <c r="Y6" i="13" s="1"/>
  <c r="AB28" i="13"/>
  <c r="AC28" i="13"/>
  <c r="AD28" i="13" s="1"/>
  <c r="AE28" i="13" s="1"/>
  <c r="AC94" i="13"/>
  <c r="AD94" i="13" s="1"/>
  <c r="AE94" i="13" s="1"/>
  <c r="AB145" i="13"/>
  <c r="AC145" i="13"/>
  <c r="W163" i="13"/>
  <c r="AF163" i="13" s="1"/>
  <c r="V163" i="13"/>
  <c r="X163" i="13" s="1"/>
  <c r="Y163" i="13" s="1"/>
  <c r="AC20" i="13"/>
  <c r="AD20" i="13" s="1"/>
  <c r="AB52" i="13"/>
  <c r="AC52" i="13"/>
  <c r="AD52" i="13" s="1"/>
  <c r="AE52" i="13" s="1"/>
  <c r="AC65" i="13"/>
  <c r="AB65" i="13"/>
  <c r="V111" i="13"/>
  <c r="X111" i="13" s="1"/>
  <c r="Y111" i="13" s="1"/>
  <c r="W111" i="13"/>
  <c r="AF111" i="13" s="1"/>
  <c r="V172" i="13"/>
  <c r="X172" i="13" s="1"/>
  <c r="Y172" i="13" s="1"/>
  <c r="V184" i="13"/>
  <c r="X184" i="13" s="1"/>
  <c r="Y184" i="13" s="1"/>
  <c r="W187" i="13"/>
  <c r="AF187" i="13" s="1"/>
  <c r="V187" i="13"/>
  <c r="X187" i="13" s="1"/>
  <c r="Y187" i="13" s="1"/>
  <c r="AC192" i="13"/>
  <c r="AB192" i="13"/>
  <c r="AC57" i="13"/>
  <c r="AD57" i="13" s="1"/>
  <c r="AB57" i="13"/>
  <c r="V63" i="13"/>
  <c r="X63" i="13" s="1"/>
  <c r="Y63" i="13" s="1"/>
  <c r="AB71" i="13"/>
  <c r="AC71" i="13"/>
  <c r="AD71" i="13" s="1"/>
  <c r="AE71" i="13" s="1"/>
  <c r="V89" i="13"/>
  <c r="X89" i="13" s="1"/>
  <c r="Y89" i="13" s="1"/>
  <c r="W92" i="13"/>
  <c r="AF92" i="13" s="1"/>
  <c r="V92" i="13"/>
  <c r="X92" i="13" s="1"/>
  <c r="Y92" i="13" s="1"/>
  <c r="AC105" i="13"/>
  <c r="V139" i="13"/>
  <c r="X139" i="13" s="1"/>
  <c r="Y139" i="13" s="1"/>
  <c r="W165" i="13"/>
  <c r="AB169" i="13"/>
  <c r="AC178" i="13"/>
  <c r="AF178" i="13" s="1"/>
  <c r="AB178" i="13"/>
  <c r="AD187" i="13"/>
  <c r="AE187" i="13" s="1"/>
  <c r="W50" i="13"/>
  <c r="AF50" i="13" s="1"/>
  <c r="V50" i="13"/>
  <c r="X50" i="13" s="1"/>
  <c r="Y50" i="13" s="1"/>
  <c r="AC23" i="13"/>
  <c r="AD23" i="13" s="1"/>
  <c r="AE23" i="13" s="1"/>
  <c r="AB23" i="13"/>
  <c r="AC29" i="13"/>
  <c r="AD29" i="13" s="1"/>
  <c r="AE29" i="13" s="1"/>
  <c r="AB55" i="13"/>
  <c r="V100" i="13"/>
  <c r="X100" i="13" s="1"/>
  <c r="Y100" i="13" s="1"/>
  <c r="AD108" i="13"/>
  <c r="AE108" i="13" s="1"/>
  <c r="AH108" i="13" s="1"/>
  <c r="AD126" i="13"/>
  <c r="AE126" i="13" s="1"/>
  <c r="AH126" i="13" s="1"/>
  <c r="V149" i="13"/>
  <c r="X149" i="13" s="1"/>
  <c r="Y149" i="13" s="1"/>
  <c r="W149" i="13"/>
  <c r="AC153" i="13"/>
  <c r="AF153" i="13" s="1"/>
  <c r="AB153" i="13"/>
  <c r="AE163" i="13"/>
  <c r="V197" i="13"/>
  <c r="X197" i="13" s="1"/>
  <c r="Y197" i="13" s="1"/>
  <c r="W197" i="13"/>
  <c r="AC17" i="13"/>
  <c r="AF17" i="13" s="1"/>
  <c r="AB22" i="13"/>
  <c r="W24" i="13"/>
  <c r="AF24" i="13" s="1"/>
  <c r="AC60" i="13"/>
  <c r="AD60" i="13" s="1"/>
  <c r="AB62" i="13"/>
  <c r="AC99" i="13"/>
  <c r="AF99" i="13" s="1"/>
  <c r="V105" i="13"/>
  <c r="X105" i="13" s="1"/>
  <c r="Y105" i="13" s="1"/>
  <c r="AC106" i="13"/>
  <c r="AF106" i="13" s="1"/>
  <c r="AC110" i="13"/>
  <c r="AD110" i="13" s="1"/>
  <c r="V112" i="13"/>
  <c r="X112" i="13" s="1"/>
  <c r="Y112" i="13" s="1"/>
  <c r="V114" i="13"/>
  <c r="X114" i="13" s="1"/>
  <c r="Y114" i="13" s="1"/>
  <c r="W115" i="13"/>
  <c r="AF115" i="13" s="1"/>
  <c r="AF116" i="13"/>
  <c r="AC118" i="13"/>
  <c r="AF118" i="13" s="1"/>
  <c r="AC164" i="13"/>
  <c r="AD164" i="13" s="1"/>
  <c r="AB167" i="13"/>
  <c r="V169" i="13"/>
  <c r="X169" i="13" s="1"/>
  <c r="Y169" i="13" s="1"/>
  <c r="W181" i="13"/>
  <c r="AC185" i="13"/>
  <c r="AC186" i="13"/>
  <c r="AF186" i="13" s="1"/>
  <c r="W191" i="13"/>
  <c r="AF191" i="13" s="1"/>
  <c r="AC196" i="13"/>
  <c r="AD196" i="13" s="1"/>
  <c r="W202" i="13"/>
  <c r="AF202" i="13" s="1"/>
  <c r="AF160" i="13"/>
  <c r="AF184" i="13"/>
  <c r="V186" i="13"/>
  <c r="X186" i="13" s="1"/>
  <c r="Y186" i="13" s="1"/>
  <c r="AB191" i="13"/>
  <c r="V195" i="13"/>
  <c r="X195" i="13" s="1"/>
  <c r="Y195" i="13" s="1"/>
  <c r="AC198" i="13"/>
  <c r="W10" i="13"/>
  <c r="W21" i="13"/>
  <c r="AF21" i="13" s="1"/>
  <c r="AF34" i="13"/>
  <c r="AC44" i="13"/>
  <c r="AD44" i="13" s="1"/>
  <c r="AD160" i="13"/>
  <c r="AE160" i="13" s="1"/>
  <c r="V170" i="13"/>
  <c r="X170" i="13" s="1"/>
  <c r="Y170" i="13" s="1"/>
  <c r="AC190" i="13"/>
  <c r="AD191" i="13"/>
  <c r="AG191" i="13" s="1"/>
  <c r="AF6" i="13"/>
  <c r="V27" i="13"/>
  <c r="X27" i="13" s="1"/>
  <c r="Y27" i="13" s="1"/>
  <c r="V29" i="13"/>
  <c r="X29" i="13" s="1"/>
  <c r="Y29" i="13" s="1"/>
  <c r="AB33" i="13"/>
  <c r="V45" i="13"/>
  <c r="X45" i="13" s="1"/>
  <c r="Y45" i="13" s="1"/>
  <c r="AH45" i="13" s="1"/>
  <c r="V47" i="13"/>
  <c r="X47" i="13" s="1"/>
  <c r="Y47" i="13" s="1"/>
  <c r="W49" i="13"/>
  <c r="W53" i="13"/>
  <c r="V58" i="13"/>
  <c r="X58" i="13" s="1"/>
  <c r="Y58" i="13" s="1"/>
  <c r="V66" i="13"/>
  <c r="X66" i="13" s="1"/>
  <c r="Y66" i="13" s="1"/>
  <c r="AH66" i="13" s="1"/>
  <c r="AC68" i="13"/>
  <c r="AD68" i="13" s="1"/>
  <c r="AB72" i="13"/>
  <c r="AB74" i="13"/>
  <c r="AG79" i="13"/>
  <c r="W88" i="13"/>
  <c r="AF88" i="13" s="1"/>
  <c r="V103" i="13"/>
  <c r="X103" i="13" s="1"/>
  <c r="Y103" i="13" s="1"/>
  <c r="AB104" i="13"/>
  <c r="AB111" i="13"/>
  <c r="AB113" i="13"/>
  <c r="V122" i="13"/>
  <c r="X122" i="13" s="1"/>
  <c r="Y122" i="13" s="1"/>
  <c r="V133" i="13"/>
  <c r="X133" i="13" s="1"/>
  <c r="Y133" i="13" s="1"/>
  <c r="AF134" i="13"/>
  <c r="AB140" i="13"/>
  <c r="AB141" i="13"/>
  <c r="AC144" i="13"/>
  <c r="AD144" i="13" s="1"/>
  <c r="AE144" i="13" s="1"/>
  <c r="AC149" i="13"/>
  <c r="AD149" i="13" s="1"/>
  <c r="W151" i="13"/>
  <c r="AF151" i="13" s="1"/>
  <c r="AB152" i="13"/>
  <c r="AD168" i="13"/>
  <c r="AB171" i="13"/>
  <c r="AB177" i="13"/>
  <c r="V179" i="13"/>
  <c r="X179" i="13" s="1"/>
  <c r="Y179" i="13" s="1"/>
  <c r="W183" i="13"/>
  <c r="AF183" i="13" s="1"/>
  <c r="AC188" i="13"/>
  <c r="W199" i="13"/>
  <c r="AH79" i="13"/>
  <c r="AB12" i="13"/>
  <c r="AB30" i="13"/>
  <c r="AC56" i="13"/>
  <c r="AD56" i="13" s="1"/>
  <c r="AE56" i="13" s="1"/>
  <c r="AC95" i="13"/>
  <c r="AD95" i="13" s="1"/>
  <c r="AE95" i="13" s="1"/>
  <c r="AH95" i="13" s="1"/>
  <c r="W138" i="13"/>
  <c r="AF138" i="13" s="1"/>
  <c r="AD152" i="13"/>
  <c r="AD177" i="13"/>
  <c r="AE177" i="13" s="1"/>
  <c r="V192" i="13"/>
  <c r="X192" i="13" s="1"/>
  <c r="Y192" i="13" s="1"/>
  <c r="Y21" i="13"/>
  <c r="AH21" i="13" s="1"/>
  <c r="AG21" i="13"/>
  <c r="AD7" i="13"/>
  <c r="AD8" i="13"/>
  <c r="AF8" i="13"/>
  <c r="AF13" i="13"/>
  <c r="AD12" i="13"/>
  <c r="AC27" i="13"/>
  <c r="AB27" i="13"/>
  <c r="AF38" i="13"/>
  <c r="AD38" i="13"/>
  <c r="AF41" i="13"/>
  <c r="AD41" i="13"/>
  <c r="AF81" i="13"/>
  <c r="AD81" i="13"/>
  <c r="AF90" i="13"/>
  <c r="AD90" i="13"/>
  <c r="AD6" i="13"/>
  <c r="AB8" i="13"/>
  <c r="V9" i="13"/>
  <c r="X9" i="13" s="1"/>
  <c r="Y9" i="13" s="1"/>
  <c r="W14" i="13"/>
  <c r="AF14" i="13" s="1"/>
  <c r="AF18" i="13"/>
  <c r="AF22" i="13"/>
  <c r="AD22" i="13"/>
  <c r="AD30" i="13"/>
  <c r="AF33" i="13"/>
  <c r="AD33" i="13"/>
  <c r="AB38" i="13"/>
  <c r="AC43" i="13"/>
  <c r="AB43" i="13"/>
  <c r="AD48" i="13"/>
  <c r="AD55" i="13"/>
  <c r="AD64" i="13"/>
  <c r="AC67" i="13"/>
  <c r="AB67" i="13"/>
  <c r="AD92" i="13"/>
  <c r="AC59" i="13"/>
  <c r="AB59" i="13"/>
  <c r="AD32" i="13"/>
  <c r="V39" i="13"/>
  <c r="X39" i="13" s="1"/>
  <c r="Y39" i="13" s="1"/>
  <c r="AB7" i="13"/>
  <c r="V8" i="13"/>
  <c r="X8" i="13" s="1"/>
  <c r="Y8" i="13" s="1"/>
  <c r="AC10" i="13"/>
  <c r="W11" i="13"/>
  <c r="AF11" i="13" s="1"/>
  <c r="AD13" i="13"/>
  <c r="AB14" i="13"/>
  <c r="AC19" i="13"/>
  <c r="AB19" i="13"/>
  <c r="V23" i="13"/>
  <c r="X23" i="13" s="1"/>
  <c r="Y23" i="13" s="1"/>
  <c r="V31" i="13"/>
  <c r="X31" i="13" s="1"/>
  <c r="Y31" i="13" s="1"/>
  <c r="W36" i="13"/>
  <c r="V36" i="13"/>
  <c r="X36" i="13" s="1"/>
  <c r="Y36" i="13" s="1"/>
  <c r="AG42" i="13"/>
  <c r="AF45" i="13"/>
  <c r="W52" i="13"/>
  <c r="V52" i="13"/>
  <c r="X52" i="13" s="1"/>
  <c r="Y52" i="13" s="1"/>
  <c r="AB54" i="13"/>
  <c r="W60" i="13"/>
  <c r="V60" i="13"/>
  <c r="X60" i="13" s="1"/>
  <c r="Y60" i="13" s="1"/>
  <c r="AC101" i="13"/>
  <c r="AB101" i="13"/>
  <c r="AC51" i="13"/>
  <c r="AB51" i="13"/>
  <c r="AD88" i="13"/>
  <c r="AE11" i="13"/>
  <c r="AH11" i="13" s="1"/>
  <c r="W44" i="13"/>
  <c r="V44" i="13"/>
  <c r="X44" i="13" s="1"/>
  <c r="Y44" i="13" s="1"/>
  <c r="AD16" i="13"/>
  <c r="AF25" i="13"/>
  <c r="AD25" i="13"/>
  <c r="AH42" i="13"/>
  <c r="W121" i="13"/>
  <c r="AF121" i="13" s="1"/>
  <c r="V121" i="13"/>
  <c r="X121" i="13" s="1"/>
  <c r="Y121" i="13" s="1"/>
  <c r="AH121" i="13" s="1"/>
  <c r="W28" i="13"/>
  <c r="V28" i="13"/>
  <c r="X28" i="13" s="1"/>
  <c r="Y28" i="13" s="1"/>
  <c r="AC35" i="13"/>
  <c r="AB35" i="13"/>
  <c r="AD40" i="13"/>
  <c r="Y71" i="13"/>
  <c r="AF104" i="13"/>
  <c r="AD104" i="13"/>
  <c r="AD14" i="13"/>
  <c r="AF54" i="13"/>
  <c r="AD54" i="13"/>
  <c r="W68" i="13"/>
  <c r="V68" i="13"/>
  <c r="X68" i="13" s="1"/>
  <c r="Y68" i="13" s="1"/>
  <c r="V15" i="13"/>
  <c r="X15" i="13" s="1"/>
  <c r="Y15" i="13" s="1"/>
  <c r="W20" i="13"/>
  <c r="V20" i="13"/>
  <c r="X20" i="13" s="1"/>
  <c r="Y20" i="13" s="1"/>
  <c r="AE34" i="13"/>
  <c r="AE50" i="13"/>
  <c r="V55" i="13"/>
  <c r="X55" i="13" s="1"/>
  <c r="Y55" i="13" s="1"/>
  <c r="AF66" i="13"/>
  <c r="W131" i="13"/>
  <c r="V131" i="13"/>
  <c r="X131" i="13" s="1"/>
  <c r="Y131" i="13" s="1"/>
  <c r="AD24" i="13"/>
  <c r="AF46" i="13"/>
  <c r="AD46" i="13"/>
  <c r="AF62" i="13"/>
  <c r="AD62" i="13"/>
  <c r="AC15" i="13"/>
  <c r="W16" i="13"/>
  <c r="AF16" i="13" s="1"/>
  <c r="AC31" i="13"/>
  <c r="W32" i="13"/>
  <c r="AF32" i="13" s="1"/>
  <c r="AC39" i="13"/>
  <c r="W40" i="13"/>
  <c r="AF40" i="13" s="1"/>
  <c r="AC47" i="13"/>
  <c r="W48" i="13"/>
  <c r="AF48" i="13" s="1"/>
  <c r="AC63" i="13"/>
  <c r="W64" i="13"/>
  <c r="AF64" i="13" s="1"/>
  <c r="AF72" i="13"/>
  <c r="AF74" i="13"/>
  <c r="AD74" i="13"/>
  <c r="AE76" i="13"/>
  <c r="AF112" i="13"/>
  <c r="AD112" i="13"/>
  <c r="AE116" i="13"/>
  <c r="AD120" i="13"/>
  <c r="W102" i="13"/>
  <c r="AF102" i="13" s="1"/>
  <c r="V102" i="13"/>
  <c r="X102" i="13" s="1"/>
  <c r="Y102" i="13" s="1"/>
  <c r="AC109" i="13"/>
  <c r="AB109" i="13"/>
  <c r="AD111" i="13"/>
  <c r="AC117" i="13"/>
  <c r="AB117" i="13"/>
  <c r="AB16" i="13"/>
  <c r="V17" i="13"/>
  <c r="X17" i="13" s="1"/>
  <c r="Y17" i="13" s="1"/>
  <c r="AB24" i="13"/>
  <c r="V25" i="13"/>
  <c r="X25" i="13" s="1"/>
  <c r="Y25" i="13" s="1"/>
  <c r="AB32" i="13"/>
  <c r="V33" i="13"/>
  <c r="X33" i="13" s="1"/>
  <c r="Y33" i="13" s="1"/>
  <c r="AB40" i="13"/>
  <c r="V41" i="13"/>
  <c r="X41" i="13" s="1"/>
  <c r="Y41" i="13" s="1"/>
  <c r="AB64" i="13"/>
  <c r="V70" i="13"/>
  <c r="X70" i="13" s="1"/>
  <c r="Y70" i="13" s="1"/>
  <c r="AF73" i="13"/>
  <c r="AD73" i="13"/>
  <c r="AF98" i="13"/>
  <c r="AD103" i="13"/>
  <c r="AF103" i="13"/>
  <c r="AF107" i="13"/>
  <c r="AD107" i="13"/>
  <c r="W110" i="13"/>
  <c r="V110" i="13"/>
  <c r="X110" i="13" s="1"/>
  <c r="Y110" i="13" s="1"/>
  <c r="AF113" i="13"/>
  <c r="AD113" i="13"/>
  <c r="AD115" i="13"/>
  <c r="AC122" i="13"/>
  <c r="AB122" i="13"/>
  <c r="AB21" i="13"/>
  <c r="V22" i="13"/>
  <c r="X22" i="13" s="1"/>
  <c r="Y22" i="13" s="1"/>
  <c r="AB37" i="13"/>
  <c r="V38" i="13"/>
  <c r="X38" i="13" s="1"/>
  <c r="Y38" i="13" s="1"/>
  <c r="AB45" i="13"/>
  <c r="V46" i="13"/>
  <c r="X46" i="13" s="1"/>
  <c r="Y46" i="13" s="1"/>
  <c r="AB61" i="13"/>
  <c r="V62" i="13"/>
  <c r="X62" i="13" s="1"/>
  <c r="Y62" i="13" s="1"/>
  <c r="AF89" i="13"/>
  <c r="AD89" i="13"/>
  <c r="AC93" i="13"/>
  <c r="AB93" i="13"/>
  <c r="AE159" i="13"/>
  <c r="AH159" i="13" s="1"/>
  <c r="AG159" i="13"/>
  <c r="AB18" i="13"/>
  <c r="V19" i="13"/>
  <c r="X19" i="13" s="1"/>
  <c r="Y19" i="13" s="1"/>
  <c r="AB34" i="13"/>
  <c r="V35" i="13"/>
  <c r="X35" i="13" s="1"/>
  <c r="Y35" i="13" s="1"/>
  <c r="AB42" i="13"/>
  <c r="V43" i="13"/>
  <c r="X43" i="13" s="1"/>
  <c r="Y43" i="13" s="1"/>
  <c r="AB50" i="13"/>
  <c r="V51" i="13"/>
  <c r="X51" i="13" s="1"/>
  <c r="Y51" i="13" s="1"/>
  <c r="AB66" i="13"/>
  <c r="V67" i="13"/>
  <c r="X67" i="13" s="1"/>
  <c r="Y67" i="13" s="1"/>
  <c r="AC77" i="13"/>
  <c r="AB77" i="13"/>
  <c r="AF82" i="13"/>
  <c r="AD82" i="13"/>
  <c r="AC85" i="13"/>
  <c r="AB85" i="13"/>
  <c r="AF91" i="13"/>
  <c r="AD91" i="13"/>
  <c r="W94" i="13"/>
  <c r="V94" i="13"/>
  <c r="X94" i="13" s="1"/>
  <c r="Y94" i="13" s="1"/>
  <c r="AF97" i="13"/>
  <c r="AD97" i="13"/>
  <c r="AF123" i="13"/>
  <c r="AD123" i="13"/>
  <c r="W128" i="13"/>
  <c r="AF128" i="13" s="1"/>
  <c r="V128" i="13"/>
  <c r="X128" i="13" s="1"/>
  <c r="Y128" i="13" s="1"/>
  <c r="W78" i="13"/>
  <c r="V78" i="13"/>
  <c r="X78" i="13" s="1"/>
  <c r="Y78" i="13" s="1"/>
  <c r="W86" i="13"/>
  <c r="V86" i="13"/>
  <c r="X86" i="13" s="1"/>
  <c r="Y86" i="13" s="1"/>
  <c r="AE100" i="13"/>
  <c r="AE102" i="13"/>
  <c r="AD125" i="13"/>
  <c r="AB147" i="13"/>
  <c r="AC147" i="13"/>
  <c r="AC70" i="13"/>
  <c r="W71" i="13"/>
  <c r="AF79" i="13"/>
  <c r="AC86" i="13"/>
  <c r="W87" i="13"/>
  <c r="W120" i="13"/>
  <c r="AF120" i="13" s="1"/>
  <c r="V120" i="13"/>
  <c r="X120" i="13" s="1"/>
  <c r="Y120" i="13" s="1"/>
  <c r="AB139" i="13"/>
  <c r="AC139" i="13"/>
  <c r="AC143" i="13"/>
  <c r="AB143" i="13"/>
  <c r="AD72" i="13"/>
  <c r="V75" i="13"/>
  <c r="X75" i="13" s="1"/>
  <c r="Y75" i="13" s="1"/>
  <c r="AB82" i="13"/>
  <c r="AB90" i="13"/>
  <c r="V91" i="13"/>
  <c r="X91" i="13" s="1"/>
  <c r="Y91" i="13" s="1"/>
  <c r="AB131" i="13"/>
  <c r="AC131" i="13"/>
  <c r="AC135" i="13"/>
  <c r="AB135" i="13"/>
  <c r="AE175" i="13"/>
  <c r="AH175" i="13" s="1"/>
  <c r="AG175" i="13"/>
  <c r="V72" i="13"/>
  <c r="X72" i="13" s="1"/>
  <c r="Y72" i="13" s="1"/>
  <c r="AF141" i="13"/>
  <c r="AD141" i="13"/>
  <c r="AG146" i="13"/>
  <c r="AE146" i="13"/>
  <c r="AH146" i="13" s="1"/>
  <c r="AE151" i="13"/>
  <c r="AH151" i="13" s="1"/>
  <c r="AG151" i="13"/>
  <c r="AH183" i="13"/>
  <c r="AB92" i="13"/>
  <c r="V93" i="13"/>
  <c r="X93" i="13" s="1"/>
  <c r="Y93" i="13" s="1"/>
  <c r="AD98" i="13"/>
  <c r="AB100" i="13"/>
  <c r="V101" i="13"/>
  <c r="X101" i="13" s="1"/>
  <c r="Y101" i="13" s="1"/>
  <c r="AB108" i="13"/>
  <c r="V109" i="13"/>
  <c r="X109" i="13" s="1"/>
  <c r="Y109" i="13" s="1"/>
  <c r="AB116" i="13"/>
  <c r="V117" i="13"/>
  <c r="X117" i="13" s="1"/>
  <c r="Y117" i="13" s="1"/>
  <c r="AC119" i="13"/>
  <c r="AB119" i="13"/>
  <c r="AB120" i="13"/>
  <c r="AF133" i="13"/>
  <c r="AD133" i="13"/>
  <c r="AE134" i="13"/>
  <c r="AG138" i="13"/>
  <c r="AE138" i="13"/>
  <c r="AH138" i="13" s="1"/>
  <c r="V140" i="13"/>
  <c r="X140" i="13" s="1"/>
  <c r="W140" i="13"/>
  <c r="AF140" i="13" s="1"/>
  <c r="W144" i="13"/>
  <c r="V144" i="13"/>
  <c r="X144" i="13" s="1"/>
  <c r="Y144" i="13" s="1"/>
  <c r="AB146" i="13"/>
  <c r="AB73" i="13"/>
  <c r="V74" i="13"/>
  <c r="X74" i="13" s="1"/>
  <c r="Y74" i="13" s="1"/>
  <c r="AB81" i="13"/>
  <c r="V82" i="13"/>
  <c r="X82" i="13" s="1"/>
  <c r="Y82" i="13" s="1"/>
  <c r="AB89" i="13"/>
  <c r="V90" i="13"/>
  <c r="X90" i="13" s="1"/>
  <c r="Y90" i="13" s="1"/>
  <c r="AB97" i="13"/>
  <c r="V98" i="13"/>
  <c r="X98" i="13" s="1"/>
  <c r="Y98" i="13" s="1"/>
  <c r="V106" i="13"/>
  <c r="X106" i="13" s="1"/>
  <c r="Y106" i="13" s="1"/>
  <c r="V124" i="13"/>
  <c r="X124" i="13" s="1"/>
  <c r="Y124" i="13" s="1"/>
  <c r="AC127" i="13"/>
  <c r="AB127" i="13"/>
  <c r="AE128" i="13"/>
  <c r="AE130" i="13"/>
  <c r="V132" i="13"/>
  <c r="X132" i="13" s="1"/>
  <c r="Y132" i="13" s="1"/>
  <c r="AH132" i="13" s="1"/>
  <c r="W132" i="13"/>
  <c r="AF132" i="13" s="1"/>
  <c r="W136" i="13"/>
  <c r="V136" i="13"/>
  <c r="X136" i="13" s="1"/>
  <c r="Y136" i="13" s="1"/>
  <c r="AB138" i="13"/>
  <c r="AF146" i="13"/>
  <c r="AD150" i="13"/>
  <c r="AE167" i="13"/>
  <c r="AH167" i="13" s="1"/>
  <c r="AG167" i="13"/>
  <c r="AF169" i="13"/>
  <c r="AD169" i="13"/>
  <c r="AG183" i="13"/>
  <c r="V123" i="13"/>
  <c r="X123" i="13" s="1"/>
  <c r="Y123" i="13" s="1"/>
  <c r="AF129" i="13"/>
  <c r="AB130" i="13"/>
  <c r="AC156" i="13"/>
  <c r="AC157" i="13"/>
  <c r="AC158" i="13"/>
  <c r="AB159" i="13"/>
  <c r="AB160" i="13"/>
  <c r="AC172" i="13"/>
  <c r="AC173" i="13"/>
  <c r="AC174" i="13"/>
  <c r="AB175" i="13"/>
  <c r="AB176" i="13"/>
  <c r="AF179" i="13"/>
  <c r="AD184" i="13"/>
  <c r="AD204" i="13"/>
  <c r="AC200" i="13"/>
  <c r="AB200" i="13"/>
  <c r="AD202" i="13"/>
  <c r="W157" i="13"/>
  <c r="W158" i="13"/>
  <c r="W159" i="13"/>
  <c r="AF159" i="13" s="1"/>
  <c r="V160" i="13"/>
  <c r="X160" i="13" s="1"/>
  <c r="Y160" i="13" s="1"/>
  <c r="V161" i="13"/>
  <c r="X161" i="13" s="1"/>
  <c r="W173" i="13"/>
  <c r="W174" i="13"/>
  <c r="W175" i="13"/>
  <c r="AF175" i="13" s="1"/>
  <c r="V176" i="13"/>
  <c r="X176" i="13" s="1"/>
  <c r="Y176" i="13" s="1"/>
  <c r="V177" i="13"/>
  <c r="X177" i="13" s="1"/>
  <c r="Y177" i="13" s="1"/>
  <c r="AC203" i="13"/>
  <c r="AB203" i="13"/>
  <c r="AE179" i="13"/>
  <c r="AC180" i="13"/>
  <c r="AC181" i="13"/>
  <c r="AC182" i="13"/>
  <c r="AB183" i="13"/>
  <c r="AB184" i="13"/>
  <c r="AC199" i="13"/>
  <c r="AB199" i="13"/>
  <c r="AD201" i="13"/>
  <c r="W204" i="13"/>
  <c r="AF204" i="13" s="1"/>
  <c r="V204" i="13"/>
  <c r="X204" i="13" s="1"/>
  <c r="Y204" i="13" s="1"/>
  <c r="W201" i="13"/>
  <c r="AF201" i="13" s="1"/>
  <c r="V201" i="13"/>
  <c r="X201" i="13" s="1"/>
  <c r="Y201" i="13" s="1"/>
  <c r="AB202" i="13"/>
  <c r="V203" i="13"/>
  <c r="X203" i="13" s="1"/>
  <c r="Y203" i="13" s="1"/>
  <c r="V200" i="13"/>
  <c r="X200" i="13" s="1"/>
  <c r="Y200" i="13" s="1"/>
  <c r="AB204" i="13"/>
  <c r="AF84" i="13" l="1"/>
  <c r="AF165" i="13"/>
  <c r="AD114" i="13"/>
  <c r="AE114" i="13" s="1"/>
  <c r="AH114" i="13" s="1"/>
  <c r="AD154" i="13"/>
  <c r="AE154" i="13" s="1"/>
  <c r="AH154" i="13" s="1"/>
  <c r="AH134" i="13"/>
  <c r="AD162" i="13"/>
  <c r="AG162" i="13" s="1"/>
  <c r="AF150" i="13"/>
  <c r="AF57" i="13"/>
  <c r="AG168" i="13"/>
  <c r="AF53" i="13"/>
  <c r="AF28" i="13"/>
  <c r="AG84" i="13"/>
  <c r="AE84" i="13"/>
  <c r="AH84" i="13" s="1"/>
  <c r="AF96" i="13"/>
  <c r="AF197" i="13"/>
  <c r="AF194" i="13"/>
  <c r="AG149" i="13"/>
  <c r="AG197" i="13"/>
  <c r="AF137" i="13"/>
  <c r="AG53" i="13"/>
  <c r="AH176" i="13"/>
  <c r="AF9" i="13"/>
  <c r="AG100" i="13"/>
  <c r="AH100" i="13"/>
  <c r="AH163" i="13"/>
  <c r="AG155" i="13"/>
  <c r="AG134" i="13"/>
  <c r="AG152" i="13"/>
  <c r="AF142" i="13"/>
  <c r="AH197" i="13"/>
  <c r="AF148" i="13"/>
  <c r="AG108" i="13"/>
  <c r="AE168" i="13"/>
  <c r="AH168" i="13" s="1"/>
  <c r="AG187" i="13"/>
  <c r="AG34" i="13"/>
  <c r="AF65" i="13"/>
  <c r="AD186" i="13"/>
  <c r="AE186" i="13" s="1"/>
  <c r="AH186" i="13" s="1"/>
  <c r="AH34" i="13"/>
  <c r="AG130" i="13"/>
  <c r="AF94" i="13"/>
  <c r="AF80" i="13"/>
  <c r="AG69" i="13"/>
  <c r="AF44" i="13"/>
  <c r="AF166" i="13"/>
  <c r="AG137" i="13"/>
  <c r="AG87" i="13"/>
  <c r="AD75" i="13"/>
  <c r="AG75" i="13" s="1"/>
  <c r="AG163" i="13"/>
  <c r="AF189" i="13"/>
  <c r="AF49" i="13"/>
  <c r="AH179" i="13"/>
  <c r="AF56" i="13"/>
  <c r="AG142" i="13"/>
  <c r="AF58" i="13"/>
  <c r="AD166" i="13"/>
  <c r="AE166" i="13" s="1"/>
  <c r="AH166" i="13" s="1"/>
  <c r="AD193" i="13"/>
  <c r="AE193" i="13" s="1"/>
  <c r="AH193" i="13" s="1"/>
  <c r="AF78" i="13"/>
  <c r="AH142" i="13"/>
  <c r="AG18" i="13"/>
  <c r="AF149" i="13"/>
  <c r="AF71" i="13"/>
  <c r="AG36" i="13"/>
  <c r="AD153" i="13"/>
  <c r="AG153" i="13" s="1"/>
  <c r="AD106" i="13"/>
  <c r="AE106" i="13" s="1"/>
  <c r="AH106" i="13" s="1"/>
  <c r="AF68" i="13"/>
  <c r="AG171" i="13"/>
  <c r="AG179" i="13"/>
  <c r="AD170" i="13"/>
  <c r="AG170" i="13" s="1"/>
  <c r="AE149" i="13"/>
  <c r="AH149" i="13" s="1"/>
  <c r="AH56" i="13"/>
  <c r="AG60" i="13"/>
  <c r="AE152" i="13"/>
  <c r="AH152" i="13" s="1"/>
  <c r="AF69" i="13"/>
  <c r="AD178" i="13"/>
  <c r="AG178" i="13" s="1"/>
  <c r="AD96" i="13"/>
  <c r="AG96" i="13" s="1"/>
  <c r="AH130" i="13"/>
  <c r="AF87" i="13"/>
  <c r="AG50" i="13"/>
  <c r="AH76" i="13"/>
  <c r="AG37" i="13"/>
  <c r="AF124" i="13"/>
  <c r="AE60" i="13"/>
  <c r="AH60" i="13" s="1"/>
  <c r="AE36" i="13"/>
  <c r="AH36" i="13" s="1"/>
  <c r="AG26" i="13"/>
  <c r="AG129" i="13"/>
  <c r="AF136" i="13"/>
  <c r="AD83" i="13"/>
  <c r="AE83" i="13" s="1"/>
  <c r="AH83" i="13" s="1"/>
  <c r="AF60" i="13"/>
  <c r="AF36" i="13"/>
  <c r="AG126" i="13"/>
  <c r="AF23" i="13"/>
  <c r="AD65" i="13"/>
  <c r="AG65" i="13" s="1"/>
  <c r="AG116" i="13"/>
  <c r="AH124" i="13"/>
  <c r="AG56" i="13"/>
  <c r="AH9" i="13"/>
  <c r="AG76" i="13"/>
  <c r="AH116" i="13"/>
  <c r="AG102" i="13"/>
  <c r="AD99" i="13"/>
  <c r="AE99" i="13" s="1"/>
  <c r="AH99" i="13" s="1"/>
  <c r="AG71" i="13"/>
  <c r="AG110" i="13"/>
  <c r="AH102" i="13"/>
  <c r="AH71" i="13"/>
  <c r="AG66" i="13"/>
  <c r="AG45" i="13"/>
  <c r="AF105" i="13"/>
  <c r="AD105" i="13"/>
  <c r="AF29" i="13"/>
  <c r="AE191" i="13"/>
  <c r="AH191" i="13" s="1"/>
  <c r="AD118" i="13"/>
  <c r="AG118" i="13" s="1"/>
  <c r="AG94" i="13"/>
  <c r="AH52" i="13"/>
  <c r="AH29" i="13"/>
  <c r="AG58" i="13"/>
  <c r="AD145" i="13"/>
  <c r="AF145" i="13"/>
  <c r="AH128" i="13"/>
  <c r="AH189" i="13"/>
  <c r="AG95" i="13"/>
  <c r="AD80" i="13"/>
  <c r="AE80" i="13" s="1"/>
  <c r="AH80" i="13" s="1"/>
  <c r="AF52" i="13"/>
  <c r="AG29" i="13"/>
  <c r="AF95" i="13"/>
  <c r="AF185" i="13"/>
  <c r="AD185" i="13"/>
  <c r="AF26" i="13"/>
  <c r="AF192" i="13"/>
  <c r="AD192" i="13"/>
  <c r="AH58" i="13"/>
  <c r="AG195" i="13"/>
  <c r="AE195" i="13"/>
  <c r="AH195" i="13" s="1"/>
  <c r="AF144" i="13"/>
  <c r="AF190" i="13"/>
  <c r="AD190" i="13"/>
  <c r="AG128" i="13"/>
  <c r="AF196" i="13"/>
  <c r="AF164" i="13"/>
  <c r="AG189" i="13"/>
  <c r="AE110" i="13"/>
  <c r="AH110" i="13" s="1"/>
  <c r="AH50" i="13"/>
  <c r="AF20" i="13"/>
  <c r="AG61" i="13"/>
  <c r="AD17" i="13"/>
  <c r="AG17" i="13" s="1"/>
  <c r="AH187" i="13"/>
  <c r="AH171" i="13"/>
  <c r="AG176" i="13"/>
  <c r="AF110" i="13"/>
  <c r="AD188" i="13"/>
  <c r="AF188" i="13"/>
  <c r="AF198" i="13"/>
  <c r="AD198" i="13"/>
  <c r="AE111" i="13"/>
  <c r="AH111" i="13" s="1"/>
  <c r="AG111" i="13"/>
  <c r="AG14" i="13"/>
  <c r="AE14" i="13"/>
  <c r="AH14" i="13" s="1"/>
  <c r="AE16" i="13"/>
  <c r="AH16" i="13" s="1"/>
  <c r="AG16" i="13"/>
  <c r="AD172" i="13"/>
  <c r="AF172" i="13"/>
  <c r="AD182" i="13"/>
  <c r="AF182" i="13"/>
  <c r="Y161" i="13"/>
  <c r="AH161" i="13" s="1"/>
  <c r="AG161" i="13"/>
  <c r="AG202" i="13"/>
  <c r="AE202" i="13"/>
  <c r="AH202" i="13" s="1"/>
  <c r="AD119" i="13"/>
  <c r="AF119" i="13"/>
  <c r="AF131" i="13"/>
  <c r="AD131" i="13"/>
  <c r="AG121" i="13"/>
  <c r="AE103" i="13"/>
  <c r="AH103" i="13" s="1"/>
  <c r="AG103" i="13"/>
  <c r="AG112" i="13"/>
  <c r="AE112" i="13"/>
  <c r="AH112" i="13" s="1"/>
  <c r="AF39" i="13"/>
  <c r="AD39" i="13"/>
  <c r="AG62" i="13"/>
  <c r="AE62" i="13"/>
  <c r="AH62" i="13" s="1"/>
  <c r="AG52" i="13"/>
  <c r="AE40" i="13"/>
  <c r="AH40" i="13" s="1"/>
  <c r="AG40" i="13"/>
  <c r="AG88" i="13"/>
  <c r="AE88" i="13"/>
  <c r="AH88" i="13" s="1"/>
  <c r="AG92" i="13"/>
  <c r="AE92" i="13"/>
  <c r="AH92" i="13" s="1"/>
  <c r="AG30" i="13"/>
  <c r="AE30" i="13"/>
  <c r="AH30" i="13" s="1"/>
  <c r="AF19" i="13"/>
  <c r="AD19" i="13"/>
  <c r="AH78" i="13"/>
  <c r="AF139" i="13"/>
  <c r="AD139" i="13"/>
  <c r="AF70" i="13"/>
  <c r="AD70" i="13"/>
  <c r="AF31" i="13"/>
  <c r="AD31" i="13"/>
  <c r="AE32" i="13"/>
  <c r="AH32" i="13" s="1"/>
  <c r="AG32" i="13"/>
  <c r="AF27" i="13"/>
  <c r="AD27" i="13"/>
  <c r="AE201" i="13"/>
  <c r="AH201" i="13" s="1"/>
  <c r="AG201" i="13"/>
  <c r="AE194" i="13"/>
  <c r="AH194" i="13" s="1"/>
  <c r="AG194" i="13"/>
  <c r="AD157" i="13"/>
  <c r="AF157" i="13"/>
  <c r="AF127" i="13"/>
  <c r="AD127" i="13"/>
  <c r="AG132" i="13"/>
  <c r="AD147" i="13"/>
  <c r="AF147" i="13"/>
  <c r="AF85" i="13"/>
  <c r="AD85" i="13"/>
  <c r="AF93" i="13"/>
  <c r="AD93" i="13"/>
  <c r="AF109" i="13"/>
  <c r="AD109" i="13"/>
  <c r="AF63" i="13"/>
  <c r="AD63" i="13"/>
  <c r="AG44" i="13"/>
  <c r="AE44" i="13"/>
  <c r="AH44" i="13" s="1"/>
  <c r="AG104" i="13"/>
  <c r="AE104" i="13"/>
  <c r="AH104" i="13" s="1"/>
  <c r="AH28" i="13"/>
  <c r="AF51" i="13"/>
  <c r="AD51" i="13"/>
  <c r="AG13" i="13"/>
  <c r="AE13" i="13"/>
  <c r="AH13" i="13" s="1"/>
  <c r="AH23" i="13"/>
  <c r="AG23" i="13"/>
  <c r="AD180" i="13"/>
  <c r="AF180" i="13"/>
  <c r="AF158" i="13"/>
  <c r="AD158" i="13"/>
  <c r="AE98" i="13"/>
  <c r="AH98" i="13" s="1"/>
  <c r="AG98" i="13"/>
  <c r="AG97" i="13"/>
  <c r="AE97" i="13"/>
  <c r="AH97" i="13" s="1"/>
  <c r="AG136" i="13"/>
  <c r="AE136" i="13"/>
  <c r="AH136" i="13" s="1"/>
  <c r="AF35" i="13"/>
  <c r="AD35" i="13"/>
  <c r="AF67" i="13"/>
  <c r="AD67" i="13"/>
  <c r="AE48" i="13"/>
  <c r="AH48" i="13" s="1"/>
  <c r="AG48" i="13"/>
  <c r="AE7" i="13"/>
  <c r="AH7" i="13" s="1"/>
  <c r="AG7" i="13"/>
  <c r="AF199" i="13"/>
  <c r="AD199" i="13"/>
  <c r="AD156" i="13"/>
  <c r="AF156" i="13"/>
  <c r="AG196" i="13"/>
  <c r="AE196" i="13"/>
  <c r="AH196" i="13" s="1"/>
  <c r="AE82" i="13"/>
  <c r="AH82" i="13" s="1"/>
  <c r="AG82" i="13"/>
  <c r="AG89" i="13"/>
  <c r="AE89" i="13"/>
  <c r="AH89" i="13" s="1"/>
  <c r="AG124" i="13"/>
  <c r="AG73" i="13"/>
  <c r="AE73" i="13"/>
  <c r="AH73" i="13" s="1"/>
  <c r="AH144" i="13"/>
  <c r="AG120" i="13"/>
  <c r="AE120" i="13"/>
  <c r="AH120" i="13" s="1"/>
  <c r="AF15" i="13"/>
  <c r="AD15" i="13"/>
  <c r="AG57" i="13"/>
  <c r="AE57" i="13"/>
  <c r="AH57" i="13" s="1"/>
  <c r="AG28" i="13"/>
  <c r="AE64" i="13"/>
  <c r="AH64" i="13" s="1"/>
  <c r="AG64" i="13"/>
  <c r="AF43" i="13"/>
  <c r="AD43" i="13"/>
  <c r="AG22" i="13"/>
  <c r="AE22" i="13"/>
  <c r="AH22" i="13" s="1"/>
  <c r="AE6" i="13"/>
  <c r="AH6" i="13" s="1"/>
  <c r="AG6" i="13"/>
  <c r="AF143" i="13"/>
  <c r="AD143" i="13"/>
  <c r="AG113" i="13"/>
  <c r="AE113" i="13"/>
  <c r="AH113" i="13" s="1"/>
  <c r="AD203" i="13"/>
  <c r="AF203" i="13"/>
  <c r="AG78" i="13"/>
  <c r="AF174" i="13"/>
  <c r="AD174" i="13"/>
  <c r="AH160" i="13"/>
  <c r="Y140" i="13"/>
  <c r="AH140" i="13" s="1"/>
  <c r="AG140" i="13"/>
  <c r="AG164" i="13"/>
  <c r="AE164" i="13"/>
  <c r="AH164" i="13" s="1"/>
  <c r="AE125" i="13"/>
  <c r="AH125" i="13" s="1"/>
  <c r="AG125" i="13"/>
  <c r="AG123" i="13"/>
  <c r="AE123" i="13"/>
  <c r="AH123" i="13" s="1"/>
  <c r="AG107" i="13"/>
  <c r="AE107" i="13"/>
  <c r="AH107" i="13" s="1"/>
  <c r="AG144" i="13"/>
  <c r="AH94" i="13"/>
  <c r="AG68" i="13"/>
  <c r="AE68" i="13"/>
  <c r="AH68" i="13" s="1"/>
  <c r="AG165" i="13"/>
  <c r="AE165" i="13"/>
  <c r="AH165" i="13" s="1"/>
  <c r="AG25" i="13"/>
  <c r="AE25" i="13"/>
  <c r="AH25" i="13" s="1"/>
  <c r="AF101" i="13"/>
  <c r="AD101" i="13"/>
  <c r="AF10" i="13"/>
  <c r="AD10" i="13"/>
  <c r="AE90" i="13"/>
  <c r="AH90" i="13" s="1"/>
  <c r="AG90" i="13"/>
  <c r="AG41" i="13"/>
  <c r="AE41" i="13"/>
  <c r="AH41" i="13" s="1"/>
  <c r="AD181" i="13"/>
  <c r="AF181" i="13"/>
  <c r="AG169" i="13"/>
  <c r="AE169" i="13"/>
  <c r="AH169" i="13" s="1"/>
  <c r="AF77" i="13"/>
  <c r="AD77" i="13"/>
  <c r="AG8" i="13"/>
  <c r="AE8" i="13"/>
  <c r="AH8" i="13" s="1"/>
  <c r="AF200" i="13"/>
  <c r="AD200" i="13"/>
  <c r="AF173" i="13"/>
  <c r="AD173" i="13"/>
  <c r="AE150" i="13"/>
  <c r="AH150" i="13" s="1"/>
  <c r="AG150" i="13"/>
  <c r="AH177" i="13"/>
  <c r="AE141" i="13"/>
  <c r="AH141" i="13" s="1"/>
  <c r="AG141" i="13"/>
  <c r="AG72" i="13"/>
  <c r="AE72" i="13"/>
  <c r="AH72" i="13" s="1"/>
  <c r="AF86" i="13"/>
  <c r="AD86" i="13"/>
  <c r="AD122" i="13"/>
  <c r="AF122" i="13"/>
  <c r="AF47" i="13"/>
  <c r="AD47" i="13"/>
  <c r="AE24" i="13"/>
  <c r="AH24" i="13" s="1"/>
  <c r="AG24" i="13"/>
  <c r="AG54" i="13"/>
  <c r="AE54" i="13"/>
  <c r="AH54" i="13" s="1"/>
  <c r="AF59" i="13"/>
  <c r="AD59" i="13"/>
  <c r="AG55" i="13"/>
  <c r="AE55" i="13"/>
  <c r="AH55" i="13" s="1"/>
  <c r="AG33" i="13"/>
  <c r="AE33" i="13"/>
  <c r="AH33" i="13" s="1"/>
  <c r="AG20" i="13"/>
  <c r="AE20" i="13"/>
  <c r="AH20" i="13" s="1"/>
  <c r="AG12" i="13"/>
  <c r="AE12" i="13"/>
  <c r="AH12" i="13" s="1"/>
  <c r="AG184" i="13"/>
  <c r="AE184" i="13"/>
  <c r="AH184" i="13" s="1"/>
  <c r="AE133" i="13"/>
  <c r="AH133" i="13" s="1"/>
  <c r="AG133" i="13"/>
  <c r="AG46" i="13"/>
  <c r="AE46" i="13"/>
  <c r="AH46" i="13" s="1"/>
  <c r="AG204" i="13"/>
  <c r="AE204" i="13"/>
  <c r="AH204" i="13" s="1"/>
  <c r="AG160" i="13"/>
  <c r="AG177" i="13"/>
  <c r="AF135" i="13"/>
  <c r="AD135" i="13"/>
  <c r="AG91" i="13"/>
  <c r="AE91" i="13"/>
  <c r="AH91" i="13" s="1"/>
  <c r="AG148" i="13"/>
  <c r="AE148" i="13"/>
  <c r="AH148" i="13" s="1"/>
  <c r="AG115" i="13"/>
  <c r="AE115" i="13"/>
  <c r="AH115" i="13" s="1"/>
  <c r="AD117" i="13"/>
  <c r="AF117" i="13"/>
  <c r="AE74" i="13"/>
  <c r="AH74" i="13" s="1"/>
  <c r="AG74" i="13"/>
  <c r="AG49" i="13"/>
  <c r="AE49" i="13"/>
  <c r="AH49" i="13" s="1"/>
  <c r="AG81" i="13"/>
  <c r="AE81" i="13"/>
  <c r="AH81" i="13" s="1"/>
  <c r="AG38" i="13"/>
  <c r="AE38" i="13"/>
  <c r="AH38" i="13" s="1"/>
  <c r="AG9" i="13"/>
  <c r="AG114" i="13" l="1"/>
  <c r="AG154" i="13"/>
  <c r="AE162" i="13"/>
  <c r="AH162" i="13" s="1"/>
  <c r="D8" i="19"/>
  <c r="AG186" i="13"/>
  <c r="AE75" i="13"/>
  <c r="AH75" i="13" s="1"/>
  <c r="AE17" i="13"/>
  <c r="AH17" i="13" s="1"/>
  <c r="AE96" i="13"/>
  <c r="AH96" i="13" s="1"/>
  <c r="AG80" i="13"/>
  <c r="AG106" i="13"/>
  <c r="AE65" i="13"/>
  <c r="AH65" i="13" s="1"/>
  <c r="AE178" i="13"/>
  <c r="AH178" i="13" s="1"/>
  <c r="AE153" i="13"/>
  <c r="AH153" i="13" s="1"/>
  <c r="AG193" i="13"/>
  <c r="AG99" i="13"/>
  <c r="AG166" i="13"/>
  <c r="AG83" i="13"/>
  <c r="AE170" i="13"/>
  <c r="AH170" i="13" s="1"/>
  <c r="AE118" i="13"/>
  <c r="AH118" i="13" s="1"/>
  <c r="AG188" i="13"/>
  <c r="AE188" i="13"/>
  <c r="AH188" i="13" s="1"/>
  <c r="AG185" i="13"/>
  <c r="AE185" i="13"/>
  <c r="AH185" i="13" s="1"/>
  <c r="AE190" i="13"/>
  <c r="AH190" i="13" s="1"/>
  <c r="AG190" i="13"/>
  <c r="AE145" i="13"/>
  <c r="AH145" i="13" s="1"/>
  <c r="AG145" i="13"/>
  <c r="AE105" i="13"/>
  <c r="AH105" i="13" s="1"/>
  <c r="AG105" i="13"/>
  <c r="AE198" i="13"/>
  <c r="AH198" i="13" s="1"/>
  <c r="AG198" i="13"/>
  <c r="AG192" i="13"/>
  <c r="AE192" i="13"/>
  <c r="AH192" i="13" s="1"/>
  <c r="AE27" i="13"/>
  <c r="AH27" i="13" s="1"/>
  <c r="AG27" i="13"/>
  <c r="AG39" i="13"/>
  <c r="AE39" i="13"/>
  <c r="AH39" i="13" s="1"/>
  <c r="AG101" i="13"/>
  <c r="AE101" i="13"/>
  <c r="AH101" i="13" s="1"/>
  <c r="AG109" i="13"/>
  <c r="AE109" i="13"/>
  <c r="AH109" i="13" s="1"/>
  <c r="AG131" i="13"/>
  <c r="AE131" i="13"/>
  <c r="AH131" i="13" s="1"/>
  <c r="AG47" i="13"/>
  <c r="AE47" i="13"/>
  <c r="AH47" i="13" s="1"/>
  <c r="AG86" i="13"/>
  <c r="AE86" i="13"/>
  <c r="AH86" i="13" s="1"/>
  <c r="AG77" i="13"/>
  <c r="AE77" i="13"/>
  <c r="AH77" i="13" s="1"/>
  <c r="AE158" i="13"/>
  <c r="AH158" i="13" s="1"/>
  <c r="AG158" i="13"/>
  <c r="AG93" i="13"/>
  <c r="AE93" i="13"/>
  <c r="AH93" i="13" s="1"/>
  <c r="AG139" i="13"/>
  <c r="AE139" i="13"/>
  <c r="AH139" i="13" s="1"/>
  <c r="AE174" i="13"/>
  <c r="AH174" i="13" s="1"/>
  <c r="AG174" i="13"/>
  <c r="AG127" i="13"/>
  <c r="AE127" i="13"/>
  <c r="AH127" i="13" s="1"/>
  <c r="AE117" i="13"/>
  <c r="AH117" i="13" s="1"/>
  <c r="AG117" i="13"/>
  <c r="AE59" i="13"/>
  <c r="AH59" i="13" s="1"/>
  <c r="AG59" i="13"/>
  <c r="AG203" i="13"/>
  <c r="AE203" i="13"/>
  <c r="AH203" i="13" s="1"/>
  <c r="AG15" i="13"/>
  <c r="AE15" i="13"/>
  <c r="AH15" i="13" s="1"/>
  <c r="AG199" i="13"/>
  <c r="AE199" i="13"/>
  <c r="AH199" i="13" s="1"/>
  <c r="AE67" i="13"/>
  <c r="AH67" i="13" s="1"/>
  <c r="AG67" i="13"/>
  <c r="AG85" i="13"/>
  <c r="AE85" i="13"/>
  <c r="AH85" i="13" s="1"/>
  <c r="AE19" i="13"/>
  <c r="AH19" i="13" s="1"/>
  <c r="AG19" i="13"/>
  <c r="AG135" i="13"/>
  <c r="AE135" i="13"/>
  <c r="AH135" i="13" s="1"/>
  <c r="AG173" i="13"/>
  <c r="AE173" i="13"/>
  <c r="AH173" i="13" s="1"/>
  <c r="AE43" i="13"/>
  <c r="AH43" i="13" s="1"/>
  <c r="AG43" i="13"/>
  <c r="AG180" i="13"/>
  <c r="AE180" i="13"/>
  <c r="AH180" i="13" s="1"/>
  <c r="AG31" i="13"/>
  <c r="AE31" i="13"/>
  <c r="AH31" i="13" s="1"/>
  <c r="AE119" i="13"/>
  <c r="AH119" i="13" s="1"/>
  <c r="AG119" i="13"/>
  <c r="AE182" i="13"/>
  <c r="AH182" i="13" s="1"/>
  <c r="AG182" i="13"/>
  <c r="AG172" i="13"/>
  <c r="AE172" i="13"/>
  <c r="AH172" i="13" s="1"/>
  <c r="AE10" i="13"/>
  <c r="AH10" i="13" s="1"/>
  <c r="AG10" i="13"/>
  <c r="AE35" i="13"/>
  <c r="AH35" i="13" s="1"/>
  <c r="AG35" i="13"/>
  <c r="AG63" i="13"/>
  <c r="AE63" i="13"/>
  <c r="AH63" i="13" s="1"/>
  <c r="AG157" i="13"/>
  <c r="AE157" i="13"/>
  <c r="AH157" i="13" s="1"/>
  <c r="AE122" i="13"/>
  <c r="AH122" i="13" s="1"/>
  <c r="AG122" i="13"/>
  <c r="AG200" i="13"/>
  <c r="AE200" i="13"/>
  <c r="AH200" i="13" s="1"/>
  <c r="AG181" i="13"/>
  <c r="AE181" i="13"/>
  <c r="AH181" i="13" s="1"/>
  <c r="AG143" i="13"/>
  <c r="AE143" i="13"/>
  <c r="AH143" i="13" s="1"/>
  <c r="AG156" i="13"/>
  <c r="AE156" i="13"/>
  <c r="AH156" i="13" s="1"/>
  <c r="AE51" i="13"/>
  <c r="AH51" i="13" s="1"/>
  <c r="AG51" i="13"/>
  <c r="AG147" i="13"/>
  <c r="AE147" i="13"/>
  <c r="AH147" i="13" s="1"/>
  <c r="AG70" i="13"/>
  <c r="AE70" i="13"/>
  <c r="AH70" i="13" s="1"/>
  <c r="G8" i="19" l="1"/>
  <c r="H8" i="19" s="1"/>
  <c r="E8" i="19"/>
  <c r="F8" i="19" s="1"/>
  <c r="C15" i="19"/>
  <c r="E9" i="29"/>
  <c r="F9" i="29" s="1"/>
  <c r="G9" i="29" s="1"/>
  <c r="H9" i="29" s="1"/>
  <c r="I9" i="29" s="1"/>
  <c r="E10" i="29"/>
  <c r="F10" i="29" s="1"/>
  <c r="G10" i="29" s="1"/>
  <c r="H10" i="29" s="1"/>
  <c r="I10" i="29" s="1"/>
  <c r="E11" i="29"/>
  <c r="F11" i="29" s="1"/>
  <c r="G11" i="29" s="1"/>
  <c r="H11" i="29" s="1"/>
  <c r="I11" i="29" s="1"/>
  <c r="E12" i="29"/>
  <c r="F12" i="29" s="1"/>
  <c r="G12" i="29" s="1"/>
  <c r="H12" i="29" s="1"/>
  <c r="I12" i="29" s="1"/>
  <c r="E13" i="29"/>
  <c r="F13" i="29" s="1"/>
  <c r="G13" i="29" s="1"/>
  <c r="H13" i="29" s="1"/>
  <c r="I13" i="29" s="1"/>
  <c r="E14" i="29"/>
  <c r="F14" i="29" s="1"/>
  <c r="G14" i="29" s="1"/>
  <c r="H14" i="29" s="1"/>
  <c r="I14" i="29" s="1"/>
  <c r="E15" i="29"/>
  <c r="F15" i="29" s="1"/>
  <c r="G15" i="29" s="1"/>
  <c r="H15" i="29" s="1"/>
  <c r="I15" i="29" s="1"/>
  <c r="E16" i="29"/>
  <c r="F16" i="29" s="1"/>
  <c r="G16" i="29" s="1"/>
  <c r="H16" i="29" s="1"/>
  <c r="I16" i="29" s="1"/>
  <c r="E17" i="29"/>
  <c r="F17" i="29" s="1"/>
  <c r="G17" i="29" s="1"/>
  <c r="H17" i="29" s="1"/>
  <c r="I17" i="29" s="1"/>
  <c r="E19" i="29"/>
  <c r="F19" i="29" s="1"/>
  <c r="G19" i="29" s="1"/>
  <c r="H19" i="29" s="1"/>
  <c r="I19" i="29" s="1"/>
  <c r="E20" i="29"/>
  <c r="F20" i="29" s="1"/>
  <c r="G20" i="29" s="1"/>
  <c r="H20" i="29" s="1"/>
  <c r="I20" i="29" s="1"/>
  <c r="E21" i="29"/>
  <c r="F21" i="29" s="1"/>
  <c r="G21" i="29" s="1"/>
  <c r="H21" i="29" s="1"/>
  <c r="I21" i="29" s="1"/>
  <c r="E22" i="29"/>
  <c r="F22" i="29" s="1"/>
  <c r="G22" i="29" s="1"/>
  <c r="H22" i="29" s="1"/>
  <c r="I22" i="29" s="1"/>
  <c r="H41" i="29"/>
  <c r="H40" i="29"/>
  <c r="H37" i="29"/>
  <c r="H36" i="29"/>
  <c r="G35" i="29"/>
  <c r="G42" i="29" l="1"/>
  <c r="H35" i="29"/>
  <c r="H42" i="29" s="1"/>
  <c r="F24" i="24" l="1"/>
  <c r="G24" i="24" s="1"/>
  <c r="H24" i="24" s="1"/>
  <c r="I24" i="24" s="1"/>
  <c r="F30" i="24"/>
  <c r="G30" i="24" s="1"/>
  <c r="H30" i="24" s="1"/>
  <c r="I30" i="24" s="1"/>
  <c r="E9" i="24"/>
  <c r="F9" i="24" s="1"/>
  <c r="G9" i="24" s="1"/>
  <c r="H9" i="24" s="1"/>
  <c r="I9" i="24" s="1"/>
  <c r="E10" i="24"/>
  <c r="F10" i="24" s="1"/>
  <c r="G10" i="24" s="1"/>
  <c r="H10" i="24" s="1"/>
  <c r="I10" i="24" s="1"/>
  <c r="E11" i="24"/>
  <c r="F11" i="24" s="1"/>
  <c r="G11" i="24" s="1"/>
  <c r="H11" i="24" s="1"/>
  <c r="I11" i="24" s="1"/>
  <c r="E12" i="24"/>
  <c r="F12" i="24" s="1"/>
  <c r="G12" i="24" s="1"/>
  <c r="H12" i="24" s="1"/>
  <c r="I12" i="24" s="1"/>
  <c r="E13" i="24"/>
  <c r="F13" i="24" s="1"/>
  <c r="G13" i="24" s="1"/>
  <c r="H13" i="24" s="1"/>
  <c r="I13" i="24" s="1"/>
  <c r="E14" i="24"/>
  <c r="F14" i="24" s="1"/>
  <c r="G14" i="24" s="1"/>
  <c r="H14" i="24" s="1"/>
  <c r="I14" i="24" s="1"/>
  <c r="E15" i="24"/>
  <c r="F15" i="24" s="1"/>
  <c r="G15" i="24" s="1"/>
  <c r="H15" i="24" s="1"/>
  <c r="I15" i="24" s="1"/>
  <c r="E16" i="24"/>
  <c r="F16" i="24" s="1"/>
  <c r="G16" i="24" s="1"/>
  <c r="H16" i="24" s="1"/>
  <c r="I16" i="24" s="1"/>
  <c r="E17" i="24"/>
  <c r="F17" i="24" s="1"/>
  <c r="G17" i="24" s="1"/>
  <c r="H17" i="24" s="1"/>
  <c r="I17" i="24" s="1"/>
  <c r="E18" i="24"/>
  <c r="F18" i="24" s="1"/>
  <c r="G18" i="24" s="1"/>
  <c r="H18" i="24" s="1"/>
  <c r="I18" i="24" s="1"/>
  <c r="E19" i="24"/>
  <c r="F19" i="24" s="1"/>
  <c r="G19" i="24" s="1"/>
  <c r="H19" i="24" s="1"/>
  <c r="I19" i="24" s="1"/>
  <c r="E20" i="24"/>
  <c r="F20" i="24" s="1"/>
  <c r="G20" i="24" s="1"/>
  <c r="H20" i="24" s="1"/>
  <c r="I20" i="24" s="1"/>
  <c r="E21" i="24"/>
  <c r="F21" i="24" s="1"/>
  <c r="G21" i="24" s="1"/>
  <c r="H21" i="24" s="1"/>
  <c r="I21" i="24" s="1"/>
  <c r="E22" i="24"/>
  <c r="F22" i="24" s="1"/>
  <c r="G22" i="24" s="1"/>
  <c r="H22" i="24" s="1"/>
  <c r="I22" i="24" s="1"/>
  <c r="E23" i="24"/>
  <c r="F23" i="24" s="1"/>
  <c r="G23" i="24" s="1"/>
  <c r="H23" i="24" s="1"/>
  <c r="I23" i="24" s="1"/>
  <c r="E24" i="24"/>
  <c r="E25" i="24"/>
  <c r="F25" i="24" s="1"/>
  <c r="G25" i="24" s="1"/>
  <c r="H25" i="24" s="1"/>
  <c r="I25" i="24" s="1"/>
  <c r="E26" i="24"/>
  <c r="F26" i="24" s="1"/>
  <c r="G26" i="24" s="1"/>
  <c r="H26" i="24" s="1"/>
  <c r="I26" i="24" s="1"/>
  <c r="E27" i="24"/>
  <c r="F27" i="24" s="1"/>
  <c r="G27" i="24" s="1"/>
  <c r="H27" i="24" s="1"/>
  <c r="I27" i="24" s="1"/>
  <c r="E28" i="24"/>
  <c r="F28" i="24" s="1"/>
  <c r="G28" i="24" s="1"/>
  <c r="H28" i="24" s="1"/>
  <c r="I28" i="24" s="1"/>
  <c r="E29" i="24"/>
  <c r="F29" i="24" s="1"/>
  <c r="G29" i="24" s="1"/>
  <c r="H29" i="24" s="1"/>
  <c r="I29" i="24" s="1"/>
  <c r="E30" i="24"/>
  <c r="E31" i="24"/>
  <c r="F31" i="24" s="1"/>
  <c r="G31" i="24" s="1"/>
  <c r="H31" i="24" s="1"/>
  <c r="I31" i="24" s="1"/>
  <c r="E32" i="24"/>
  <c r="F32" i="24" s="1"/>
  <c r="G32" i="24" s="1"/>
  <c r="H32" i="24" s="1"/>
  <c r="I32" i="24" s="1"/>
  <c r="E33" i="24"/>
  <c r="F33" i="24" s="1"/>
  <c r="G33" i="24" s="1"/>
  <c r="H33" i="24" s="1"/>
  <c r="I33" i="24" s="1"/>
  <c r="E34" i="24"/>
  <c r="F34" i="24" s="1"/>
  <c r="G34" i="24" s="1"/>
  <c r="H34" i="24" s="1"/>
  <c r="I34" i="24" s="1"/>
  <c r="E35" i="24"/>
  <c r="F35" i="24" s="1"/>
  <c r="G35" i="24" s="1"/>
  <c r="H35" i="24" s="1"/>
  <c r="I35" i="24" s="1"/>
  <c r="E36" i="24"/>
  <c r="F36" i="24" s="1"/>
  <c r="G36" i="24" s="1"/>
  <c r="H36" i="24" s="1"/>
  <c r="I36" i="24" s="1"/>
  <c r="E37" i="24"/>
  <c r="F37" i="24" s="1"/>
  <c r="G37" i="24" s="1"/>
  <c r="H37" i="24" s="1"/>
  <c r="I37" i="24" s="1"/>
  <c r="E38" i="24"/>
  <c r="F38" i="24" s="1"/>
  <c r="G38" i="24" s="1"/>
  <c r="H38" i="24" s="1"/>
  <c r="I38" i="24" s="1"/>
  <c r="E39" i="24"/>
  <c r="F39" i="24" s="1"/>
  <c r="G39" i="24" s="1"/>
  <c r="H39" i="24" s="1"/>
  <c r="I39" i="24" s="1"/>
  <c r="E40" i="24"/>
  <c r="F40" i="24" s="1"/>
  <c r="G40" i="24" s="1"/>
  <c r="H40" i="24" s="1"/>
  <c r="I40" i="24" s="1"/>
  <c r="F9" i="26"/>
  <c r="G9" i="26" s="1"/>
  <c r="H9" i="26" s="1"/>
  <c r="I9" i="26" s="1"/>
  <c r="J9" i="26" s="1"/>
  <c r="E9" i="25"/>
  <c r="F9" i="25" s="1"/>
  <c r="G9" i="25" s="1"/>
  <c r="H9" i="25" s="1"/>
  <c r="I9" i="25" s="1"/>
  <c r="E10" i="25"/>
  <c r="F10" i="25" s="1"/>
  <c r="G10" i="25" s="1"/>
  <c r="H10" i="25" s="1"/>
  <c r="I10" i="25" s="1"/>
  <c r="E11" i="25"/>
  <c r="F11" i="25" s="1"/>
  <c r="G11" i="25" s="1"/>
  <c r="H11" i="25" s="1"/>
  <c r="I11" i="25" s="1"/>
  <c r="E12" i="25"/>
  <c r="F12" i="25" s="1"/>
  <c r="G12" i="25" s="1"/>
  <c r="H12" i="25" s="1"/>
  <c r="I12" i="25" s="1"/>
  <c r="E13" i="25"/>
  <c r="F13" i="25" s="1"/>
  <c r="G13" i="25" s="1"/>
  <c r="H13" i="25" s="1"/>
  <c r="I13" i="25" s="1"/>
  <c r="E14" i="25"/>
  <c r="F14" i="25" s="1"/>
  <c r="G14" i="25" s="1"/>
  <c r="H14" i="25" s="1"/>
  <c r="I14" i="25" s="1"/>
  <c r="E15" i="25"/>
  <c r="F15" i="25" s="1"/>
  <c r="G15" i="25" s="1"/>
  <c r="H15" i="25" s="1"/>
  <c r="I15" i="25" s="1"/>
  <c r="E16" i="25"/>
  <c r="F16" i="25" s="1"/>
  <c r="G16" i="25" s="1"/>
  <c r="H16" i="25" s="1"/>
  <c r="I16" i="25" s="1"/>
  <c r="E17" i="25"/>
  <c r="F17" i="25" s="1"/>
  <c r="G17" i="25" s="1"/>
  <c r="H17" i="25" s="1"/>
  <c r="I17" i="25" s="1"/>
  <c r="I32" i="2"/>
  <c r="K32" i="2" s="1"/>
  <c r="M32" i="2" s="1"/>
  <c r="O32" i="2" s="1"/>
  <c r="Q32" i="2" s="1"/>
  <c r="I31" i="2"/>
  <c r="K31" i="2" s="1"/>
  <c r="M31" i="2" s="1"/>
  <c r="O31" i="2" s="1"/>
  <c r="Q31" i="2" s="1"/>
  <c r="I30" i="2"/>
  <c r="K30" i="2" s="1"/>
  <c r="M30" i="2" s="1"/>
  <c r="O30" i="2" s="1"/>
  <c r="Q30" i="2" s="1"/>
  <c r="I25" i="2"/>
  <c r="K25" i="2" s="1"/>
  <c r="M25" i="2" s="1"/>
  <c r="O25" i="2" s="1"/>
  <c r="Q25" i="2" s="1"/>
  <c r="I23" i="2"/>
  <c r="K23" i="2" s="1"/>
  <c r="M23" i="2" s="1"/>
  <c r="O23" i="2" s="1"/>
  <c r="Q23" i="2" s="1"/>
  <c r="I22" i="2"/>
  <c r="K22" i="2" s="1"/>
  <c r="M22" i="2" s="1"/>
  <c r="O22" i="2" s="1"/>
  <c r="Q22" i="2" s="1"/>
  <c r="I21" i="2"/>
  <c r="K21" i="2" s="1"/>
  <c r="E9" i="2"/>
  <c r="E10" i="2" s="1"/>
  <c r="I10" i="2" s="1"/>
  <c r="K10" i="2" s="1"/>
  <c r="M10" i="2" s="1"/>
  <c r="O10" i="2" s="1"/>
  <c r="Q10" i="2" s="1"/>
  <c r="D9" i="2"/>
  <c r="E8" i="2"/>
  <c r="E7" i="2"/>
  <c r="E6" i="2"/>
  <c r="E5" i="2"/>
  <c r="M21" i="2" l="1"/>
  <c r="E13" i="2"/>
  <c r="E15" i="2"/>
  <c r="I15" i="2" s="1"/>
  <c r="K15" i="2" s="1"/>
  <c r="M15" i="2" s="1"/>
  <c r="O15" i="2" s="1"/>
  <c r="Q15" i="2" s="1"/>
  <c r="E24" i="2"/>
  <c r="E14" i="2"/>
  <c r="I14" i="2" s="1"/>
  <c r="K14" i="2" s="1"/>
  <c r="M14" i="2" s="1"/>
  <c r="O14" i="2" s="1"/>
  <c r="Q14" i="2" s="1"/>
  <c r="E16" i="2"/>
  <c r="I16" i="2" s="1"/>
  <c r="K16" i="2" s="1"/>
  <c r="M16" i="2" s="1"/>
  <c r="O16" i="2" s="1"/>
  <c r="Q16" i="2" s="1"/>
  <c r="E17" i="2"/>
  <c r="I17" i="2" s="1"/>
  <c r="K17" i="2" s="1"/>
  <c r="M17" i="2" s="1"/>
  <c r="O17" i="2" s="1"/>
  <c r="Q17" i="2" s="1"/>
  <c r="I24" i="2" l="1"/>
  <c r="E26" i="2"/>
  <c r="I13" i="2"/>
  <c r="E18" i="2"/>
  <c r="O21" i="2"/>
  <c r="K24" i="2" l="1"/>
  <c r="I26" i="2"/>
  <c r="Q21" i="2"/>
  <c r="E29" i="2"/>
  <c r="K13" i="2"/>
  <c r="I18" i="2"/>
  <c r="K18" i="2" l="1"/>
  <c r="M13" i="2"/>
  <c r="I29" i="2"/>
  <c r="E33" i="2"/>
  <c r="M24" i="2"/>
  <c r="K26" i="2"/>
  <c r="O13" i="2" l="1"/>
  <c r="M18" i="2"/>
  <c r="O24" i="2"/>
  <c r="M26" i="2"/>
  <c r="K29" i="2"/>
  <c r="I33" i="2"/>
  <c r="I35" i="2" s="1"/>
  <c r="E35" i="2"/>
  <c r="D41" i="2"/>
  <c r="D40" i="2"/>
  <c r="D39" i="2"/>
  <c r="E41" i="2" l="1"/>
  <c r="D21" i="2"/>
  <c r="D30" i="2"/>
  <c r="D38" i="2"/>
  <c r="D31" i="2"/>
  <c r="D25" i="2"/>
  <c r="D32" i="2"/>
  <c r="D23" i="2"/>
  <c r="D22" i="2"/>
  <c r="Q13" i="2"/>
  <c r="Q18" i="2" s="1"/>
  <c r="O18" i="2"/>
  <c r="I37" i="2"/>
  <c r="I41" i="2" s="1"/>
  <c r="K33" i="2"/>
  <c r="K35" i="2" s="1"/>
  <c r="K37" i="2" s="1"/>
  <c r="M29" i="2"/>
  <c r="I39" i="2"/>
  <c r="K39" i="2" s="1"/>
  <c r="E39" i="2"/>
  <c r="E40" i="2"/>
  <c r="I40" i="2"/>
  <c r="Q24" i="2"/>
  <c r="Q26" i="2" s="1"/>
  <c r="O26" i="2"/>
  <c r="K41" i="2" l="1"/>
  <c r="O29" i="2"/>
  <c r="M33" i="2"/>
  <c r="M35" i="2" s="1"/>
  <c r="M37" i="2" s="1"/>
  <c r="M41" i="2" s="1"/>
  <c r="K40" i="2"/>
  <c r="I38" i="2"/>
  <c r="K38" i="2" s="1"/>
  <c r="E38" i="2"/>
  <c r="Q29" i="2" l="1"/>
  <c r="Q33" i="2" s="1"/>
  <c r="Q35" i="2" s="1"/>
  <c r="O33" i="2"/>
  <c r="O35" i="2" s="1"/>
  <c r="O37" i="2" s="1"/>
  <c r="O41" i="2" s="1"/>
  <c r="M39" i="2"/>
  <c r="O39" i="2" s="1"/>
  <c r="M38" i="2"/>
  <c r="O38" i="2" s="1"/>
  <c r="M40" i="2"/>
  <c r="O40" i="2" l="1"/>
  <c r="Q37" i="2"/>
  <c r="Q41" i="2" s="1"/>
  <c r="Q38" i="2" l="1"/>
  <c r="Q39" i="2"/>
  <c r="Q40" i="2"/>
  <c r="F31" i="25" l="1"/>
  <c r="H31" i="25" s="1"/>
  <c r="D31" i="25"/>
  <c r="B31" i="25"/>
  <c r="Q89" i="13"/>
  <c r="L89" i="13"/>
  <c r="L172" i="13" l="1"/>
  <c r="L171" i="13"/>
  <c r="L170" i="13"/>
  <c r="L169" i="13"/>
  <c r="L168" i="13"/>
  <c r="L167" i="13"/>
  <c r="L166" i="13"/>
  <c r="E166" i="13"/>
  <c r="D166" i="13"/>
  <c r="C166" i="13"/>
  <c r="B166" i="13"/>
  <c r="L165" i="13"/>
  <c r="L164" i="13"/>
  <c r="L163" i="13"/>
  <c r="L162" i="13"/>
  <c r="L161" i="13"/>
  <c r="L160" i="13"/>
  <c r="L159" i="13"/>
  <c r="L158" i="13"/>
  <c r="L157" i="13"/>
  <c r="L156" i="13"/>
  <c r="L155" i="13"/>
  <c r="L154" i="13"/>
  <c r="L153" i="13"/>
  <c r="L151" i="13"/>
  <c r="L150" i="13"/>
  <c r="L149" i="13"/>
  <c r="L148" i="13"/>
  <c r="L147" i="13"/>
  <c r="L146" i="13"/>
  <c r="L145" i="13"/>
  <c r="L144" i="13"/>
  <c r="L143" i="13"/>
  <c r="L142" i="13"/>
  <c r="Q140" i="13"/>
  <c r="L140" i="13"/>
  <c r="Q139" i="13"/>
  <c r="L139" i="13"/>
  <c r="Q138" i="13"/>
  <c r="L138" i="13"/>
  <c r="Q137" i="13"/>
  <c r="L137" i="13"/>
  <c r="Q136" i="13"/>
  <c r="L136" i="13"/>
  <c r="Q135" i="13"/>
  <c r="L135" i="13"/>
  <c r="Q134" i="13"/>
  <c r="L134" i="13"/>
  <c r="Q133" i="13"/>
  <c r="L133" i="13"/>
  <c r="Q132" i="13"/>
  <c r="L132" i="13"/>
  <c r="Q131" i="13"/>
  <c r="L131" i="13"/>
  <c r="Q130" i="13"/>
  <c r="L130" i="13"/>
  <c r="Q129" i="13"/>
  <c r="L129" i="13"/>
  <c r="Q128" i="13"/>
  <c r="L128" i="13"/>
  <c r="Q127" i="13"/>
  <c r="L127" i="13"/>
  <c r="L126" i="13"/>
  <c r="Q20" i="13" l="1"/>
  <c r="L20" i="13"/>
  <c r="AA5" i="13"/>
  <c r="AB5" i="13" s="1"/>
  <c r="U5" i="13"/>
  <c r="W5" i="13" s="1"/>
  <c r="Q5" i="13"/>
  <c r="L5" i="13"/>
  <c r="V5" i="13" l="1"/>
  <c r="X5" i="13" s="1"/>
  <c r="Y5" i="13" s="1"/>
  <c r="AC5" i="13"/>
  <c r="AD5" i="13" l="1"/>
  <c r="AE5" i="13" s="1"/>
  <c r="AF5" i="13"/>
  <c r="L9" i="13"/>
  <c r="AG5" i="13" l="1"/>
  <c r="Q107" i="13" l="1"/>
  <c r="L107" i="13"/>
  <c r="Q118" i="13"/>
  <c r="L118" i="13"/>
  <c r="Q101" i="13"/>
  <c r="L101" i="13"/>
  <c r="Q100" i="13"/>
  <c r="L100" i="13"/>
  <c r="L152" i="13"/>
  <c r="Q126" i="13"/>
  <c r="Q125" i="13"/>
  <c r="L125" i="13"/>
  <c r="Q124" i="13"/>
  <c r="L124" i="13"/>
  <c r="Q123" i="13"/>
  <c r="L123" i="13"/>
  <c r="Q122" i="13"/>
  <c r="L122" i="13"/>
  <c r="Q121" i="13"/>
  <c r="L121" i="13"/>
  <c r="Q120" i="13"/>
  <c r="L120" i="13"/>
  <c r="Q119" i="13"/>
  <c r="L119" i="13"/>
  <c r="Q117" i="13"/>
  <c r="L117" i="13"/>
  <c r="Q116" i="13"/>
  <c r="L116" i="13"/>
  <c r="Q115" i="13"/>
  <c r="L115" i="13"/>
  <c r="Q114" i="13"/>
  <c r="L114" i="13"/>
  <c r="Q113" i="13"/>
  <c r="L113" i="13"/>
  <c r="Q112" i="13"/>
  <c r="L112" i="13"/>
  <c r="Q111" i="13"/>
  <c r="L111" i="13"/>
  <c r="Q110" i="13"/>
  <c r="L110" i="13"/>
  <c r="Q109" i="13"/>
  <c r="L109" i="13"/>
  <c r="Q108" i="13"/>
  <c r="L108" i="13"/>
  <c r="Q60" i="13"/>
  <c r="L60" i="13"/>
  <c r="Q59" i="13"/>
  <c r="L59" i="13"/>
  <c r="Q58" i="13"/>
  <c r="L58" i="13"/>
  <c r="Q57" i="13"/>
  <c r="L57" i="13"/>
  <c r="Q61" i="13"/>
  <c r="L61" i="13"/>
  <c r="Q47" i="13" l="1"/>
  <c r="L47" i="13"/>
  <c r="Q46" i="13"/>
  <c r="L46" i="13"/>
  <c r="L29" i="13"/>
  <c r="Q29" i="13"/>
  <c r="D14" i="26" l="1"/>
  <c r="L94" i="13" l="1"/>
  <c r="Q94" i="13"/>
  <c r="L103" i="13"/>
  <c r="Q30" i="13" l="1"/>
  <c r="L30" i="13"/>
  <c r="Q28" i="13"/>
  <c r="L28" i="13"/>
  <c r="Q95" i="13"/>
  <c r="L95" i="13"/>
  <c r="Q82" i="13"/>
  <c r="L82" i="13"/>
  <c r="F29" i="25" l="1"/>
  <c r="F30" i="25"/>
  <c r="F32" i="25"/>
  <c r="B181" i="13"/>
  <c r="B182" i="13"/>
  <c r="B183" i="13"/>
  <c r="B184" i="13"/>
  <c r="B185" i="13"/>
  <c r="B186" i="13"/>
  <c r="B187" i="13"/>
  <c r="B188" i="13"/>
  <c r="B189" i="13"/>
  <c r="B190" i="13"/>
  <c r="B191" i="13"/>
  <c r="B192" i="13"/>
  <c r="B193" i="13"/>
  <c r="B194" i="13"/>
  <c r="B195" i="13"/>
  <c r="B196" i="13"/>
  <c r="B197" i="13"/>
  <c r="B198" i="13"/>
  <c r="B199" i="13"/>
  <c r="B200" i="13"/>
  <c r="B201" i="13"/>
  <c r="B202" i="13"/>
  <c r="B203" i="13"/>
  <c r="B204" i="13"/>
  <c r="L204" i="13" l="1"/>
  <c r="E204" i="13"/>
  <c r="D204" i="13"/>
  <c r="C204" i="13"/>
  <c r="L203" i="13"/>
  <c r="E203" i="13"/>
  <c r="D203" i="13"/>
  <c r="C203" i="13"/>
  <c r="L202" i="13"/>
  <c r="E202" i="13"/>
  <c r="D202" i="13"/>
  <c r="C202" i="13"/>
  <c r="L201" i="13"/>
  <c r="E201" i="13"/>
  <c r="D201" i="13"/>
  <c r="C201" i="13"/>
  <c r="L200" i="13"/>
  <c r="E200" i="13"/>
  <c r="D200" i="13"/>
  <c r="C200" i="13"/>
  <c r="L199" i="13"/>
  <c r="E199" i="13"/>
  <c r="D199" i="13"/>
  <c r="C199" i="13"/>
  <c r="L198" i="13"/>
  <c r="E198" i="13"/>
  <c r="D198" i="13"/>
  <c r="C198" i="13"/>
  <c r="L197" i="13"/>
  <c r="E197" i="13"/>
  <c r="D197" i="13"/>
  <c r="C197" i="13"/>
  <c r="L196" i="13"/>
  <c r="E196" i="13"/>
  <c r="D196" i="13"/>
  <c r="C196" i="13"/>
  <c r="L195" i="13"/>
  <c r="E195" i="13"/>
  <c r="D195" i="13"/>
  <c r="C195" i="13"/>
  <c r="L194" i="13"/>
  <c r="E194" i="13"/>
  <c r="D194" i="13"/>
  <c r="C194" i="13"/>
  <c r="L193" i="13"/>
  <c r="E193" i="13"/>
  <c r="D193" i="13"/>
  <c r="C193" i="13"/>
  <c r="L192" i="13"/>
  <c r="E192" i="13"/>
  <c r="D192" i="13"/>
  <c r="C192" i="13"/>
  <c r="L191" i="13"/>
  <c r="E191" i="13"/>
  <c r="D191" i="13"/>
  <c r="C191" i="13"/>
  <c r="L190" i="13"/>
  <c r="E190" i="13"/>
  <c r="D190" i="13"/>
  <c r="C190" i="13"/>
  <c r="L189" i="13"/>
  <c r="E189" i="13"/>
  <c r="D189" i="13"/>
  <c r="C189" i="13"/>
  <c r="L188" i="13"/>
  <c r="E188" i="13"/>
  <c r="D188" i="13"/>
  <c r="C188" i="13"/>
  <c r="L187" i="13"/>
  <c r="E187" i="13"/>
  <c r="D187" i="13"/>
  <c r="C187" i="13"/>
  <c r="L186" i="13"/>
  <c r="E186" i="13"/>
  <c r="D186" i="13"/>
  <c r="C186" i="13"/>
  <c r="L185" i="13"/>
  <c r="E185" i="13"/>
  <c r="D185" i="13"/>
  <c r="C185" i="13"/>
  <c r="L184" i="13"/>
  <c r="E184" i="13"/>
  <c r="D184" i="13"/>
  <c r="C184" i="13"/>
  <c r="L183" i="13"/>
  <c r="E183" i="13"/>
  <c r="D183" i="13"/>
  <c r="C183" i="13"/>
  <c r="L182" i="13"/>
  <c r="E182" i="13"/>
  <c r="D182" i="13"/>
  <c r="C182" i="13"/>
  <c r="L181" i="13"/>
  <c r="E181" i="13"/>
  <c r="D181" i="13"/>
  <c r="C181" i="13"/>
  <c r="E173" i="13"/>
  <c r="E174" i="13"/>
  <c r="E175" i="13"/>
  <c r="E176" i="13"/>
  <c r="E177" i="13"/>
  <c r="E178" i="13"/>
  <c r="E179" i="13"/>
  <c r="E180" i="13"/>
  <c r="D173" i="13"/>
  <c r="D174" i="13"/>
  <c r="D175" i="13"/>
  <c r="D176" i="13"/>
  <c r="D177" i="13"/>
  <c r="D178" i="13"/>
  <c r="D179" i="13"/>
  <c r="D180" i="13"/>
  <c r="C173" i="13"/>
  <c r="C174" i="13"/>
  <c r="C175" i="13"/>
  <c r="C176" i="13"/>
  <c r="C177" i="13"/>
  <c r="C178" i="13"/>
  <c r="C179" i="13"/>
  <c r="C180" i="13"/>
  <c r="H14" i="26" l="1"/>
  <c r="F15" i="19" l="1"/>
  <c r="B14" i="19"/>
  <c r="B32" i="25" l="1"/>
  <c r="B30" i="25"/>
  <c r="B29" i="25"/>
  <c r="C7" i="19"/>
  <c r="Q6" i="13"/>
  <c r="Q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1" i="13"/>
  <c r="Q22" i="13"/>
  <c r="Q23" i="13"/>
  <c r="Q24" i="13"/>
  <c r="Q25" i="13"/>
  <c r="Q26" i="13"/>
  <c r="Q27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8" i="13"/>
  <c r="Q49" i="13"/>
  <c r="Q50" i="13"/>
  <c r="Q51" i="13"/>
  <c r="Q52" i="13"/>
  <c r="Q53" i="13"/>
  <c r="Q54" i="13"/>
  <c r="Q55" i="13"/>
  <c r="Q56" i="13"/>
  <c r="Q62" i="13"/>
  <c r="Q63" i="13"/>
  <c r="Q64" i="13"/>
  <c r="Q65" i="13"/>
  <c r="Q66" i="13"/>
  <c r="Q67" i="13"/>
  <c r="Q68" i="13"/>
  <c r="Q69" i="13"/>
  <c r="Q70" i="13"/>
  <c r="Q71" i="13"/>
  <c r="Q72" i="13"/>
  <c r="Q73" i="13"/>
  <c r="Q74" i="13"/>
  <c r="Q75" i="13"/>
  <c r="Q76" i="13"/>
  <c r="Q77" i="13"/>
  <c r="Q78" i="13"/>
  <c r="Q79" i="13"/>
  <c r="Q80" i="13"/>
  <c r="Q81" i="13"/>
  <c r="Q83" i="13"/>
  <c r="Q84" i="13"/>
  <c r="Q85" i="13"/>
  <c r="Q86" i="13"/>
  <c r="Q87" i="13"/>
  <c r="Q88" i="13"/>
  <c r="Q90" i="13"/>
  <c r="Q91" i="13"/>
  <c r="Q92" i="13"/>
  <c r="Q93" i="13"/>
  <c r="Q96" i="13"/>
  <c r="Q97" i="13"/>
  <c r="Q98" i="13"/>
  <c r="Q99" i="13"/>
  <c r="Q102" i="13"/>
  <c r="Q103" i="13"/>
  <c r="Q104" i="13"/>
  <c r="Q105" i="13"/>
  <c r="Q106" i="13"/>
  <c r="L25" i="13"/>
  <c r="L26" i="13"/>
  <c r="L27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8" i="13"/>
  <c r="L49" i="13"/>
  <c r="L50" i="13"/>
  <c r="L51" i="13"/>
  <c r="L52" i="13"/>
  <c r="L53" i="13"/>
  <c r="L54" i="13"/>
  <c r="L55" i="13"/>
  <c r="L56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3" i="13"/>
  <c r="L84" i="13"/>
  <c r="L85" i="13"/>
  <c r="L86" i="13"/>
  <c r="L87" i="13"/>
  <c r="L88" i="13"/>
  <c r="L90" i="13"/>
  <c r="L91" i="13"/>
  <c r="L92" i="13"/>
  <c r="L93" i="13"/>
  <c r="L96" i="13"/>
  <c r="L97" i="13"/>
  <c r="L98" i="13"/>
  <c r="L99" i="13"/>
  <c r="L102" i="13"/>
  <c r="L104" i="13"/>
  <c r="L105" i="13"/>
  <c r="L106" i="13"/>
  <c r="L173" i="13"/>
  <c r="L174" i="13"/>
  <c r="L175" i="13"/>
  <c r="L176" i="13"/>
  <c r="L177" i="13"/>
  <c r="L178" i="13"/>
  <c r="L179" i="13"/>
  <c r="L180" i="13"/>
  <c r="B7" i="19" l="1"/>
  <c r="H29" i="25"/>
  <c r="H30" i="25"/>
  <c r="H32" i="25"/>
  <c r="E14" i="26"/>
  <c r="B14" i="26"/>
  <c r="B173" i="13"/>
  <c r="B174" i="13"/>
  <c r="B175" i="13"/>
  <c r="B176" i="13"/>
  <c r="B177" i="13"/>
  <c r="B178" i="13"/>
  <c r="B179" i="13"/>
  <c r="B180" i="13"/>
  <c r="D16" i="19" l="1"/>
  <c r="D14" i="19"/>
  <c r="D15" i="19"/>
  <c r="B26" i="29"/>
  <c r="B29" i="29"/>
  <c r="B25" i="29"/>
  <c r="B28" i="29"/>
  <c r="B27" i="29"/>
  <c r="B40" i="29"/>
  <c r="B41" i="29"/>
  <c r="B36" i="29"/>
  <c r="B35" i="29"/>
  <c r="B37" i="29"/>
  <c r="H33" i="25"/>
  <c r="E14" i="19" l="1"/>
  <c r="E15" i="19"/>
  <c r="G15" i="19" s="1"/>
  <c r="E16" i="19"/>
  <c r="G16" i="19" s="1"/>
  <c r="D17" i="19"/>
  <c r="D32" i="25"/>
  <c r="D30" i="25"/>
  <c r="D29" i="25"/>
  <c r="L7" i="13"/>
  <c r="L8" i="13"/>
  <c r="L10" i="13"/>
  <c r="L11" i="13"/>
  <c r="L12" i="13"/>
  <c r="L13" i="13"/>
  <c r="L14" i="13"/>
  <c r="L15" i="13"/>
  <c r="L16" i="13"/>
  <c r="L17" i="13"/>
  <c r="L18" i="13"/>
  <c r="L19" i="13"/>
  <c r="L21" i="13"/>
  <c r="L22" i="13"/>
  <c r="L23" i="13"/>
  <c r="L24" i="13"/>
  <c r="L6" i="13"/>
  <c r="E17" i="19" l="1"/>
  <c r="C10" i="19"/>
  <c r="F14" i="19" l="1"/>
  <c r="F17" i="19" s="1"/>
  <c r="H18" i="26"/>
  <c r="AH5" i="13" l="1"/>
  <c r="D7" i="19" l="1"/>
  <c r="D10" i="19" s="1"/>
  <c r="G7" i="19" l="1"/>
  <c r="E7" i="19" l="1"/>
  <c r="E10" i="19" s="1"/>
  <c r="C14" i="19"/>
  <c r="G14" i="19" s="1"/>
  <c r="G17" i="19" s="1"/>
  <c r="G10" i="19"/>
  <c r="H7" i="19"/>
  <c r="F10" i="19" l="1"/>
  <c r="H10" i="19"/>
  <c r="C17" i="19"/>
  <c r="F7" i="19"/>
</calcChain>
</file>

<file path=xl/sharedStrings.xml><?xml version="1.0" encoding="utf-8"?>
<sst xmlns="http://schemas.openxmlformats.org/spreadsheetml/2006/main" count="4943" uniqueCount="1345">
  <si>
    <t>1 x per maand</t>
  </si>
  <si>
    <t>5 x per week</t>
  </si>
  <si>
    <t>5w</t>
  </si>
  <si>
    <t xml:space="preserve"> </t>
  </si>
  <si>
    <t>Vakantiedagen, -toeslag, feestdagen</t>
  </si>
  <si>
    <t>Suppletie ziekengeld</t>
  </si>
  <si>
    <t>Sociale lasten</t>
  </si>
  <si>
    <t>Materialen</t>
  </si>
  <si>
    <t>Middelen</t>
  </si>
  <si>
    <t>Afschrijving machines</t>
  </si>
  <si>
    <t>Directe leiding</t>
  </si>
  <si>
    <t>Indirecte leiding</t>
  </si>
  <si>
    <t>3 x per week</t>
  </si>
  <si>
    <t>1 x per week</t>
  </si>
  <si>
    <t>2 x per week</t>
  </si>
  <si>
    <t>1w</t>
  </si>
  <si>
    <t>1m</t>
  </si>
  <si>
    <t>2w</t>
  </si>
  <si>
    <t>3w</t>
  </si>
  <si>
    <t>10w</t>
  </si>
  <si>
    <t>4w</t>
  </si>
  <si>
    <t>4 x per week</t>
  </si>
  <si>
    <t>Sanitair</t>
  </si>
  <si>
    <t>Ruimte code</t>
  </si>
  <si>
    <t>Weekend</t>
  </si>
  <si>
    <t>2ww</t>
  </si>
  <si>
    <t>1ww</t>
  </si>
  <si>
    <t>1 x per weekend</t>
  </si>
  <si>
    <t>2 x per weekend</t>
  </si>
  <si>
    <t>5 x per week met naloop</t>
  </si>
  <si>
    <t>Plaats</t>
  </si>
  <si>
    <t>Gebouw gedeelte</t>
  </si>
  <si>
    <t>Oppervlak (netto)</t>
  </si>
  <si>
    <t>Totaal</t>
  </si>
  <si>
    <t>Code</t>
  </si>
  <si>
    <t>Tariefsopbouw</t>
  </si>
  <si>
    <t>kosten / jaar</t>
  </si>
  <si>
    <t>uren / jaar</t>
  </si>
  <si>
    <t>Kantine</t>
  </si>
  <si>
    <t>Tapijt</t>
  </si>
  <si>
    <t>Vloer afwerking</t>
  </si>
  <si>
    <t>Entree</t>
  </si>
  <si>
    <t>Wassen handdoeken</t>
  </si>
  <si>
    <t>Prijs per stuk</t>
  </si>
  <si>
    <t>Wassen theedoeken</t>
  </si>
  <si>
    <t>prijs per stuk</t>
  </si>
  <si>
    <t>Verwijderen kauwgom buitenterrein</t>
  </si>
  <si>
    <t>Vlek verwijderen textiele bekleding zitvlak stoelen</t>
  </si>
  <si>
    <t>Prijs per beurt</t>
  </si>
  <si>
    <t xml:space="preserve">Reinigen van plafonds </t>
  </si>
  <si>
    <t>prijs per m²</t>
  </si>
  <si>
    <t>Reinigen van vitrage</t>
  </si>
  <si>
    <t>Reinigen van kunststoflamellen</t>
  </si>
  <si>
    <t>Reinigen van stoffenlamellen</t>
  </si>
  <si>
    <t>Reinigen van horizontale kunststoflamellen (luxaflex)</t>
  </si>
  <si>
    <t xml:space="preserve">Het verwijderen van aanslag per unit incl. (de-)montage </t>
  </si>
  <si>
    <t>Het desinfecteren van alle sanitaire onderdelen</t>
  </si>
  <si>
    <t>prijs per toiletunit</t>
  </si>
  <si>
    <t xml:space="preserve">Vegen van het buitenterrein </t>
  </si>
  <si>
    <t>Wastafel</t>
  </si>
  <si>
    <t>Magazijnen/bergingen</t>
  </si>
  <si>
    <t>Kantoren</t>
  </si>
  <si>
    <t>Reproruimte</t>
  </si>
  <si>
    <t>Gangen/hallen</t>
  </si>
  <si>
    <t>Trappenhuizen/lift</t>
  </si>
  <si>
    <t>Keuken/pantry</t>
  </si>
  <si>
    <t>Kleedruimten</t>
  </si>
  <si>
    <t>Niet in onderhoud</t>
  </si>
  <si>
    <t>Postcode</t>
  </si>
  <si>
    <t>Adres</t>
  </si>
  <si>
    <t>Gymzaal</t>
  </si>
  <si>
    <t>Toestelberging</t>
  </si>
  <si>
    <t>Inspectie categorie</t>
  </si>
  <si>
    <t>Schoonmaakmedewerker</t>
  </si>
  <si>
    <t>Meewerkend leidinggevende</t>
  </si>
  <si>
    <t>Totaal geindexeerd uurloon</t>
  </si>
  <si>
    <r>
      <t>Prijs per m</t>
    </r>
    <r>
      <rPr>
        <vertAlign val="superscript"/>
        <sz val="9"/>
        <rFont val="Verdana"/>
        <family val="2"/>
      </rPr>
      <t>2</t>
    </r>
  </si>
  <si>
    <t>Loonkosten:</t>
  </si>
  <si>
    <t>Directe kosten:</t>
  </si>
  <si>
    <t>Indirecte kosten:</t>
  </si>
  <si>
    <t>Overheadkosten</t>
  </si>
  <si>
    <t>Winst en risico</t>
  </si>
  <si>
    <t>Loon:</t>
  </si>
  <si>
    <t>Subtotaal Loonkosten</t>
  </si>
  <si>
    <t>Subtotaal Directe kosten</t>
  </si>
  <si>
    <t>Subtotaal Indirecte kosten</t>
  </si>
  <si>
    <t>% v.h. loon</t>
  </si>
  <si>
    <t>% v.h. loon incl. loonkosten</t>
  </si>
  <si>
    <t>Rekentarieven</t>
  </si>
  <si>
    <t>€</t>
  </si>
  <si>
    <t>Standaard</t>
  </si>
  <si>
    <t>Eindejaarsuitkering</t>
  </si>
  <si>
    <t>Overige directe kosten</t>
  </si>
  <si>
    <t>Overige indirecte kosten</t>
  </si>
  <si>
    <t>Overige loonkosten</t>
  </si>
  <si>
    <t>Ochtend/avond</t>
  </si>
  <si>
    <t>ma. t/m vr. 6:00 - 21:30 uur</t>
  </si>
  <si>
    <t>ma. t/m vr. 21:30 - 6:00 uur</t>
  </si>
  <si>
    <t>vr. 21:30 t/m ma. 6:00 uur</t>
  </si>
  <si>
    <t>Feestdag</t>
  </si>
  <si>
    <t>Erkende feestdagen</t>
  </si>
  <si>
    <t>Tarief 
excl. 21% BTW</t>
  </si>
  <si>
    <t>Tarief 
incl. 21% BTW</t>
  </si>
  <si>
    <t>% opslag op loonkosten</t>
  </si>
  <si>
    <t>Tarief</t>
  </si>
  <si>
    <t xml:space="preserve">Over te nemen personeel </t>
  </si>
  <si>
    <t>Totale berekende productieve ureninzet (contractjaar 1)</t>
  </si>
  <si>
    <t>Norm (5w)</t>
  </si>
  <si>
    <t>Ruimte omschrijving</t>
  </si>
  <si>
    <t>Vloersoort omschrijving</t>
  </si>
  <si>
    <t>Aanpassing norm</t>
  </si>
  <si>
    <t>T</t>
  </si>
  <si>
    <t>L</t>
  </si>
  <si>
    <t>S</t>
  </si>
  <si>
    <t>P</t>
  </si>
  <si>
    <t>Vloerafwerkingen met beschermlaag, zoals linoleum, marmoleum e.d.</t>
  </si>
  <si>
    <t>Textiele vloerafwerking, zoals tapijt, schoonloopmat, flotex e.d.</t>
  </si>
  <si>
    <t>Harde vloeren zonder zonder extra behandeling, zoals steen, beton e.d.</t>
  </si>
  <si>
    <t>Vloeren zonder beschermlaag, die wel behandeling nodig hebben, zoals pvc e.d.</t>
  </si>
  <si>
    <t>Aanpassing standaardnorm o.b.v. frequentie</t>
  </si>
  <si>
    <t>Frequentie omschrijving</t>
  </si>
  <si>
    <t>2,5w</t>
  </si>
  <si>
    <t>2,5 x per week (om-de-dag)</t>
  </si>
  <si>
    <t>Prestatie</t>
  </si>
  <si>
    <t>Etage</t>
  </si>
  <si>
    <t>Ruimte- nummer</t>
  </si>
  <si>
    <t>Ruimtesoort</t>
  </si>
  <si>
    <t>Vloer code</t>
  </si>
  <si>
    <t>Frequentie werkdagen</t>
  </si>
  <si>
    <t>Frequentie weekend</t>
  </si>
  <si>
    <t>Aantal weken/jr</t>
  </si>
  <si>
    <t>Norm (m2/uur)</t>
  </si>
  <si>
    <t>Prest. (m2 /jaar)</t>
  </si>
  <si>
    <t>Steen</t>
  </si>
  <si>
    <t>PVC</t>
  </si>
  <si>
    <t>Pantry</t>
  </si>
  <si>
    <t>Naam</t>
  </si>
  <si>
    <t>Lino</t>
  </si>
  <si>
    <t>Oppervlakte n.i.o.</t>
  </si>
  <si>
    <t>Opmerking</t>
  </si>
  <si>
    <t>uren / jaar werkdagen</t>
  </si>
  <si>
    <t>kosten / jaar werkdagen</t>
  </si>
  <si>
    <t>Uitvoeringen werkdagen</t>
  </si>
  <si>
    <t>Norm (m2/uur) werkdagen</t>
  </si>
  <si>
    <t>Prest. (m2 /jaar) werkdagen</t>
  </si>
  <si>
    <t>Norm (m2/uur) weekend</t>
  </si>
  <si>
    <t>Prest. (m2 /jaar) weekend</t>
  </si>
  <si>
    <t>uren / jaar weekend</t>
  </si>
  <si>
    <t>kosten / jaar weekend</t>
  </si>
  <si>
    <t>Uitvoeringen weekend</t>
  </si>
  <si>
    <t>Locatie</t>
  </si>
  <si>
    <t>Kosten/jaar excl. BTW</t>
  </si>
  <si>
    <t>Eenheid</t>
  </si>
  <si>
    <t>Prijs</t>
  </si>
  <si>
    <t>Werkzaamheden</t>
  </si>
  <si>
    <t>Prijs per m2 per beurt, incl. in- en uitruimen</t>
  </si>
  <si>
    <t>Prijs per m2 per beurt, incl. in- en uitruimen, minimaal 2 lagen, kruislings</t>
  </si>
  <si>
    <t>Tapijtreinigen, sproei-extractiemethode</t>
  </si>
  <si>
    <t>Tapijtreinigen, poedermethode</t>
  </si>
  <si>
    <t>Vloersoort</t>
  </si>
  <si>
    <t>Oppervlakte</t>
  </si>
  <si>
    <t>Sprayen/opblokken</t>
  </si>
  <si>
    <t>Topstrippen en conserveren</t>
  </si>
  <si>
    <t>Diepstrippen, sealen en conserveren</t>
  </si>
  <si>
    <t>Schuren en lakken houten vloer</t>
  </si>
  <si>
    <t>Frequentie (uitv./jaar)</t>
  </si>
  <si>
    <t>Handmatig schrobben en droogzuigen</t>
  </si>
  <si>
    <t>Vloeronderhoud</t>
  </si>
  <si>
    <t>Ruimtestaat</t>
  </si>
  <si>
    <t>Oppervlakte i/o</t>
  </si>
  <si>
    <t>Uren / jaar</t>
  </si>
  <si>
    <t>Kosten / jaar</t>
  </si>
  <si>
    <t>Kosten / m2</t>
  </si>
  <si>
    <t>Vloeronderhoud
Kosten / jaar</t>
  </si>
  <si>
    <t>Extra Werkzaamheden
Kosten / jaar</t>
  </si>
  <si>
    <t>Totalisatie (excl. BTW)</t>
  </si>
  <si>
    <t>Kolom1</t>
  </si>
  <si>
    <t>Schoonmaakonderhoud
Kosten / jaar</t>
  </si>
  <si>
    <t>Prijs excl. BTW</t>
  </si>
  <si>
    <t>Extra Werkzaamheden</t>
  </si>
  <si>
    <t xml:space="preserve">Aan genoemde aantallen kunnen geen rechten worden ontleend. </t>
  </si>
  <si>
    <t>Prijs
Excl. BTW</t>
  </si>
  <si>
    <t>Regie- en afroepwerkzaamheden</t>
  </si>
  <si>
    <t>Genoemde aantallen zijn fictief en dienen om een vergelijkingsprijs op te stellen</t>
  </si>
  <si>
    <t>Werkzaamheid</t>
  </si>
  <si>
    <t>Prijs per uur</t>
  </si>
  <si>
    <t>Regiewerkzaamheden (schoonmaakonderhoud, ma-vr. tussen 6:00 en 21:30)</t>
  </si>
  <si>
    <t>Specialistische regiewerkzaamheden  (ma-vr. tussen 6:00 en 21:30)</t>
  </si>
  <si>
    <t>Servicewerkzaamheden (eenvoudige facilitaire dienstverlening, gastheer/-vrouw etc, ma-vr. tussen 6:00 en 21:30)</t>
  </si>
  <si>
    <t>Cateringwerkzaamheden (ma-vr. tussen 6:00 en 21:30)</t>
  </si>
  <si>
    <t>Prijs per stuk per beurt</t>
  </si>
  <si>
    <t>Vaatwasser inruimen, activeren en uitruimen</t>
  </si>
  <si>
    <t>Reinigen koelkast binnen- en buitenzijde</t>
  </si>
  <si>
    <t>Reinigen van magnetron binnen- en buitenzijde</t>
  </si>
  <si>
    <t>Reinigen van koffieautomaat binnen- en buitenzijde</t>
  </si>
  <si>
    <t>Calamiteitenservice inclusief materialen en middelen</t>
  </si>
  <si>
    <t>Prijs per stuk per jaar</t>
  </si>
  <si>
    <t>Buiten</t>
  </si>
  <si>
    <t>Intensief reinigen voegen tegelwanden</t>
  </si>
  <si>
    <r>
      <t>Prijs per m</t>
    </r>
    <r>
      <rPr>
        <vertAlign val="superscript"/>
        <sz val="9"/>
        <rFont val="Verdana"/>
        <family val="2"/>
      </rPr>
      <t xml:space="preserve">2 </t>
    </r>
    <r>
      <rPr>
        <sz val="9"/>
        <rFont val="Verdana"/>
        <family val="2"/>
      </rPr>
      <t>per beurt</t>
    </r>
  </si>
  <si>
    <t>Regie per uur</t>
  </si>
  <si>
    <t>De opgegeven prijzen zijn tijdens de gehele contractduur van toepassing als afroepprijs.</t>
  </si>
  <si>
    <t>Machinaal schrobben en droogzuigen</t>
  </si>
  <si>
    <t>Natuursteen conserveren, bijv. marmer, travertin of leisteen</t>
  </si>
  <si>
    <t>Textiel reinigen</t>
  </si>
  <si>
    <t>Dieptereiniging sanitair</t>
  </si>
  <si>
    <t>Fantomatten sanitaire ruimte</t>
  </si>
  <si>
    <t>Stoomreinigen sanitaire ruimte</t>
  </si>
  <si>
    <t>Klein technisch onderhoud, verhelpen techische gebreken</t>
  </si>
  <si>
    <t>Wanden en plafonds</t>
  </si>
  <si>
    <t>Matten</t>
  </si>
  <si>
    <t>Schoonloopmat klein (85x150) incl. levering en tweewekelijks wisselen</t>
  </si>
  <si>
    <t>Schoonloopmat middel (115x150) incl. levering en tweewekelijks wisselen</t>
  </si>
  <si>
    <t>Schoonloopmat groot (150x200) incl. levering en tweewekelijks wisselen</t>
  </si>
  <si>
    <t>Toelichting</t>
  </si>
  <si>
    <t>Kolom2</t>
  </si>
  <si>
    <t>Inspectiecategorie</t>
  </si>
  <si>
    <t>Gemiddeld brutoloon</t>
  </si>
  <si>
    <t>Code Locatie</t>
  </si>
  <si>
    <t>Code Taak</t>
  </si>
  <si>
    <r>
      <rPr>
        <b/>
        <sz val="9"/>
        <rFont val="Verdana"/>
        <family val="2"/>
      </rPr>
      <t>Alle</t>
    </r>
    <r>
      <rPr>
        <sz val="9"/>
        <rFont val="Verdana"/>
        <family val="2"/>
      </rPr>
      <t xml:space="preserve"> groen gearceerde velden dienen ingevuld te worden, overige cellen mogen niet gewijzigd worden</t>
    </r>
  </si>
  <si>
    <t>Alle groen gearceerde velden dienen ingevuld te worden, overige cellen mogen niet gewijzigd worden</t>
  </si>
  <si>
    <r>
      <t xml:space="preserve">Alle </t>
    </r>
    <r>
      <rPr>
        <sz val="9"/>
        <rFont val="Verdana"/>
        <family val="2"/>
      </rPr>
      <t>groen gearceerde velden dienen ingevuld te worden, overige cellen mogen niet gewijzigd worden</t>
    </r>
  </si>
  <si>
    <t>Totalisatie</t>
  </si>
  <si>
    <t>Totaalprijs
Kosten / jaar</t>
  </si>
  <si>
    <t>Locaties</t>
  </si>
  <si>
    <t>Rechtsgeldig ondertekening</t>
  </si>
  <si>
    <t>Functie</t>
  </si>
  <si>
    <t>Plaats, datum</t>
  </si>
  <si>
    <t>Handtekening</t>
  </si>
  <si>
    <t>Naam Inschrijver:</t>
  </si>
  <si>
    <t>% van de prod. uren</t>
  </si>
  <si>
    <t>Bijlage 5 dient in Excel format te worden toegevoegd, deze pagina dient daarnaast rechtsgeldig ondertekend als PDF te worden toegevoegd.</t>
  </si>
  <si>
    <t>Samenvatting schoonmaakonderhoud</t>
  </si>
  <si>
    <t>prijs per toiletunit*</t>
  </si>
  <si>
    <t>* zie tabblad Werkprogramma voor definities</t>
  </si>
  <si>
    <r>
      <t>Alle groen gearceerde velden dienen ingevuld te worden, overige cellen mogen niet gewijzigd worden (</t>
    </r>
    <r>
      <rPr>
        <sz val="9"/>
        <rFont val="Verdana"/>
        <family val="2"/>
      </rPr>
      <t>m.u.v. de tabel Rechtsgeldige Ondertekening), waar alle stippellijnen ingevuld dienen te worden)</t>
    </r>
  </si>
  <si>
    <t>……………</t>
  </si>
  <si>
    <t>Kooklokaal/leskeuken</t>
  </si>
  <si>
    <t>HV/Technieklokaal</t>
  </si>
  <si>
    <t>Leslokalen theorie</t>
  </si>
  <si>
    <t>Praktijklokalen binas/zorg</t>
  </si>
  <si>
    <t>Mediatheek / OLC</t>
  </si>
  <si>
    <t>V  (Verkeersruimte)</t>
  </si>
  <si>
    <t>S  (Sanitair)</t>
  </si>
  <si>
    <t>L  (Lesruimte)</t>
  </si>
  <si>
    <t>B  (Bureauruimte)</t>
  </si>
  <si>
    <t>Sp  (Sportruimte)</t>
  </si>
  <si>
    <t>De opgegeven prijzen zijn tijdens de gehele contractduur van toepassing als all-in afroepprijs.</t>
  </si>
  <si>
    <t>Aanpassing standaardnorm schoonmaakonderhoud o.b.v. locatie</t>
  </si>
  <si>
    <t>Standaardnorm schoonmaakonderhoud per ruimtegroep / werkprogramma</t>
  </si>
  <si>
    <t>Aanpassing standaardnorm schoonmaakonderhoud o.b.v. vloersoort</t>
  </si>
  <si>
    <t>Frequentie (uitv. per jaar)</t>
  </si>
  <si>
    <t>Volledig reinigen kunststofwanden (maximaal 6 meter hoog)</t>
  </si>
  <si>
    <t>Volledig reinigen geschilderde wanden (maximaal 6 meter hoog)</t>
  </si>
  <si>
    <t>Volledig reinigen tegelwanden (maximaal 6 meter hoog)</t>
  </si>
  <si>
    <t xml:space="preserve">Opdrachtgever heeft tijdens de gehele contractduur het recht frequenties en uitvoermomenten aan te passen of werkzaamheden aan derden uit te besteden. </t>
  </si>
  <si>
    <t>Werkdagen</t>
  </si>
  <si>
    <t>Weekenddagen</t>
  </si>
  <si>
    <t>Totaal (werkdagen + weekenddagen</t>
  </si>
  <si>
    <t>Reinigen van keukenkastjes binnen- en buitenzijde</t>
  </si>
  <si>
    <t>2027</t>
  </si>
  <si>
    <t>2026</t>
  </si>
  <si>
    <t>2025</t>
  </si>
  <si>
    <t>Lift</t>
  </si>
  <si>
    <t>Aan genoemde aantallen kunnen geen rechten worden ontleend. Werkzaamheden worden enkel in overleg met en na opdracht van Opdrachtgever uitgevoerd.</t>
  </si>
  <si>
    <t>Indexatie</t>
  </si>
  <si>
    <t>Soort indexatie</t>
  </si>
  <si>
    <t>Percentage</t>
  </si>
  <si>
    <t>Tarief excl btw</t>
  </si>
  <si>
    <t>CAO</t>
  </si>
  <si>
    <t>CBS index</t>
  </si>
  <si>
    <t>2028</t>
  </si>
  <si>
    <t>Opleverstaat schoonmaak</t>
  </si>
  <si>
    <t>Element</t>
  </si>
  <si>
    <t>Onderdeel</t>
  </si>
  <si>
    <t>Reinheidsniveau</t>
  </si>
  <si>
    <t>Acceptabel</t>
  </si>
  <si>
    <t>(dagelijks toegestane afwijking)</t>
  </si>
  <si>
    <t>Inventaris :</t>
  </si>
  <si>
    <t>Algemeen</t>
  </si>
  <si>
    <t>Alle inventarisonderdelen dienen vrij te zijn van: stickers, lijmresten en kauwgom.</t>
  </si>
  <si>
    <t xml:space="preserve">Aanrechtblad </t>
  </si>
  <si>
    <t>Geheel buitenzijde</t>
  </si>
  <si>
    <t>Stof-, vlek-, aanslag en streepvrij</t>
  </si>
  <si>
    <t>Lichte stofvorming, enkele vingertasten en zichtbare vlekken max. 1 tot 3 st.</t>
  </si>
  <si>
    <t>Audiovisuele middelen</t>
  </si>
  <si>
    <t>Lichte stofvorming bovenzijde</t>
  </si>
  <si>
    <t>Afvalbak/prullenbak</t>
  </si>
  <si>
    <t>Inhoud, plastic zak</t>
  </si>
  <si>
    <t>Inhoud geleegd, schone plastic zak aanwezig. Afwezigheid van fruitvliegjes</t>
  </si>
  <si>
    <t>Lichte stofvorming, enkele vinger tasten of kleine zichtbare vlekken max 3 tot 7 st.</t>
  </si>
  <si>
    <t>Geheel</t>
  </si>
  <si>
    <t>Stof-, vlek-, aanslag en streepvrij. Afwezigheid van fruitvliegjes.</t>
  </si>
  <si>
    <t>Afval</t>
  </si>
  <si>
    <t>Afgevoerd naar containers</t>
  </si>
  <si>
    <t>Balie</t>
  </si>
  <si>
    <t>Enkele vinger tasten of kleine zichtbare vlekken max 1 tot 3 st.</t>
  </si>
  <si>
    <t>Brandblusapparatuur</t>
  </si>
  <si>
    <t>Lichte stofvorming</t>
  </si>
  <si>
    <t>Bureau/Tafel/Incl. onderlegger</t>
  </si>
  <si>
    <t>Enkele vinger tasten of kleine zichtbare vlekken, max. 3 tot 7 st.</t>
  </si>
  <si>
    <t>Bureaulamp</t>
  </si>
  <si>
    <t>Enkele vinger tasten of kleine zichtbare vlekken, max. 3 tot 7 st., lichte stofvorming op voetlamp</t>
  </si>
  <si>
    <t>Kapstok/Garderoberek</t>
  </si>
  <si>
    <t>Lichte stofvorming, enkele vinger tasten en zichtbare vlekken max. 1 tot 3 st.</t>
  </si>
  <si>
    <t>Kast hoog</t>
  </si>
  <si>
    <t>Lichte stofvorming bovenzijde, enkele vinger tasten of kleine zichtbare vlekken max 3 tot 7 st.</t>
  </si>
  <si>
    <t>Kast laag/Ladenblok</t>
  </si>
  <si>
    <t>Enkele vinger tasten of kleine zichtbare vlekken, max. 3 tot 7 st</t>
  </si>
  <si>
    <t>Lampen</t>
  </si>
  <si>
    <t>Locker</t>
  </si>
  <si>
    <t>Papierbak</t>
  </si>
  <si>
    <t>Inhoud</t>
  </si>
  <si>
    <t>Inhoud geleegd, stof en vlekvrij</t>
  </si>
  <si>
    <t>PC, incl. toebehoren</t>
  </si>
  <si>
    <t>Lichte stofvorming bovenzijde, enkele vinger tasten en kleine zichtbare vlekken max. 1 tot 3 st.</t>
  </si>
  <si>
    <t>Plantenbak</t>
  </si>
  <si>
    <t>Enkele vinger tasten of kleine zichtbare vlekken max. 3 tot 7 st., enkele schopstrepen max. 3 tot 7 st.</t>
  </si>
  <si>
    <t>Plinten/kabelgoten</t>
  </si>
  <si>
    <t>Lichte stofvorming bovenzijde, enkele vinger tasten of zichtbare vlekken max 7 tot 10 st., enkele schopstrepen max. 3 tot 7 st</t>
  </si>
  <si>
    <t>Printer/copier</t>
  </si>
  <si>
    <t>Stoel/bank/kruk</t>
  </si>
  <si>
    <t>Licht stofvorming in naden, enkele vinger tasten of kleine zichtbare vlekken max. 3 tot 7 st. op achterzijde leuning</t>
  </si>
  <si>
    <t>Telefoon</t>
  </si>
  <si>
    <t>Vitrinekast</t>
  </si>
  <si>
    <t>Whiteboard/Schoolbord/Krijtrichel</t>
  </si>
  <si>
    <t>Bouwdelen :</t>
  </si>
  <si>
    <t>Alle bouwdelen dienen vrij te zijn van: stickers, lijmresten en kauwgom.</t>
  </si>
  <si>
    <t>Deur/deurglas</t>
  </si>
  <si>
    <t>Enkele vinger tasten of kleine zichtbare vlekken max. 7 tot 10 stuks, enkele schopstrepen max. 1 tot 3 st.</t>
  </si>
  <si>
    <t>Separatieglas</t>
  </si>
  <si>
    <t>Enkele vinger tasten of kleine zichtbare vlekken max. 3 tot 7 st.</t>
  </si>
  <si>
    <t>Kabelgoot</t>
  </si>
  <si>
    <t>Lichte stofvorming bovenzijde, enkele vinger tasten of zichtbare vlekken max 7 tot 10 st., enkele schopstrepen max. 3 tot 7 st.</t>
  </si>
  <si>
    <t>Lichtknop/contact/</t>
  </si>
  <si>
    <t>Lichte stofvorming bovenzijde, enkele vinger tasten of kleine zichtbare vlekken max 1 tot 3 st.</t>
  </si>
  <si>
    <t>Plafond</t>
  </si>
  <si>
    <t>Geen zichtbare spinrag, lichte stofvorming en kleine zichtbare vlekken max. 3 stuks</t>
  </si>
  <si>
    <t>Plafond rooster</t>
  </si>
  <si>
    <t>Radiator/convectorkast/paneel</t>
  </si>
  <si>
    <t>Randen</t>
  </si>
  <si>
    <t>Enkele vinger tasten of kleine zichtbare vlekken max. 1 tot 3 st., enkele schopstrepen max. 1 tot 3 st</t>
  </si>
  <si>
    <t>Richels</t>
  </si>
  <si>
    <t>Lichte stofvorming, enkele vinger tasten of kleine zichtbare vlekken max. 3 tot 7 st., enkele schopstrepen max. 3 tot 7 st.</t>
  </si>
  <si>
    <t>Trapleuning / balustrade</t>
  </si>
  <si>
    <t>Lichte stofvorming bovenzijde, enkele vinger tasten of kleine zichtbare vlekken max 1 tot 3 st</t>
  </si>
  <si>
    <t>Vensterbank</t>
  </si>
  <si>
    <t>Ventilatierooster</t>
  </si>
  <si>
    <t>Verlichtingsarmatuur en buizen &lt; 2.00 m</t>
  </si>
  <si>
    <t>Buitenzijde entree</t>
  </si>
  <si>
    <t>Grofvuil-, stof-, vlek-, aanslag en streepvrij</t>
  </si>
  <si>
    <t>Geen losliggend en/of zichtbaar vuil en enkele zichtbare vlekken max 8 st</t>
  </si>
  <si>
    <t>Wanden</t>
  </si>
  <si>
    <t>Enkele vingertasten of kleine zichtbare vlekken max. 3 tot 7 st., enkele schopstrepen max. 3 tot 7 st., geen vlekken en schopstrepen tot om 3,5m hoogte</t>
  </si>
  <si>
    <t>Sanitaire elementen:</t>
  </si>
  <si>
    <t xml:space="preserve">Alle sanitaire elementen dienen vrij te zijn van: stickers, lijmresten, kauwgom, zeepresten en huidvetten. </t>
  </si>
  <si>
    <t>Aut. handdoek/zeep/lucht</t>
  </si>
  <si>
    <t>Stof-, vlek-, aanslag en streepvrij en bijgevuld</t>
  </si>
  <si>
    <t>Lichte stofvorming bovenzijde, enkele vinger tasten of zichtbare vlekken max. 3 tot 7 st.</t>
  </si>
  <si>
    <t>Borstel- en borstelhouder</t>
  </si>
  <si>
    <t>Lichte stofvorming bovenzijde, enkele vinger tasten of zichtbare vlekken max. 7 tot 10 st</t>
  </si>
  <si>
    <t>Doorspoelinstallatie</t>
  </si>
  <si>
    <t>Enkele vinger tasten of zichtbare vlekken max. 1 tot 3 st.</t>
  </si>
  <si>
    <t>Kalkvrij</t>
  </si>
  <si>
    <t>Handgreep/steun</t>
  </si>
  <si>
    <t>Hygienebox</t>
  </si>
  <si>
    <t>Schaam-tussenschot</t>
  </si>
  <si>
    <t>Spiegel</t>
  </si>
  <si>
    <t>Enkele vinger tasten of kleine zichtbare vlekken, max. 1 tot 3 st. Enkele waterdruppels toegestaan.</t>
  </si>
  <si>
    <t>Toiletpot-bril/Urinoir/Doorspoelinst.</t>
  </si>
  <si>
    <t>Enkele zichtbare vlekken max. 3 tot 7 st.</t>
  </si>
  <si>
    <t>Toiletrolhouder</t>
  </si>
  <si>
    <t>Lichte stofvorming bovenzijde, enkele vinger tasten of zichtbare vlekken max. 7 tot 10 st.</t>
  </si>
  <si>
    <t>Wand sanitair/Planchet</t>
  </si>
  <si>
    <t>Stof-, vlek-, aanslag en streepvrij. Geen zeepresten</t>
  </si>
  <si>
    <t>Vloer :</t>
  </si>
  <si>
    <t>Alle vloeren dienen vrij te zijn van stickers, lijmresten en kauwgom</t>
  </si>
  <si>
    <t>Harde vloeren (steen / pvc)</t>
  </si>
  <si>
    <t>Bureaukamers</t>
  </si>
  <si>
    <t>Grofvuil-, stof-, vlek-, aanslag en streepvrij. Geen schopstrepen</t>
  </si>
  <si>
    <t>Leslokalen</t>
  </si>
  <si>
    <t>Verkeersruimte</t>
  </si>
  <si>
    <t xml:space="preserve">Geen losliggend en/of zichtbaar vuil en enkele zichtbare vlekken max 10 st.  </t>
  </si>
  <si>
    <t>Sanitaire ruimten</t>
  </si>
  <si>
    <t xml:space="preserve">Geen losliggend en/of zichtbaar vuil en enkele zichtbare vlekken max 1 st.  </t>
  </si>
  <si>
    <t>Sport ruimten</t>
  </si>
  <si>
    <t>Linoleum</t>
  </si>
  <si>
    <t>Grofvuil-, stof-, vlekvrij</t>
  </si>
  <si>
    <t>Opleverstaat schoonmaak periodiek (tijdens vakanties uitvoeren) 2 x per jaar</t>
  </si>
  <si>
    <t>Handeling</t>
  </si>
  <si>
    <t>vochtig afnemen</t>
  </si>
  <si>
    <t>Radiatoren</t>
  </si>
  <si>
    <t>Verlichtingsarmatuur en buizen &gt; 2.00 m</t>
  </si>
  <si>
    <t>Toiletborstel/-houder</t>
  </si>
  <si>
    <t>Sanitaire ruimte</t>
  </si>
  <si>
    <t>Diepreiniging volgens programma</t>
  </si>
  <si>
    <t>periodiek vloeronderhoud conform afspraak</t>
  </si>
  <si>
    <t>Verwijderen van vervuiling in spoelranden, afvoersluitingen en restant van de binnenzijde van het toilet</t>
  </si>
  <si>
    <t>De drukspoeler controleren op goede werking en ontdoen van aanslag op de buitenzijde</t>
  </si>
  <si>
    <t>De spoelpijp ontdoen van aanslag</t>
  </si>
  <si>
    <t>Het verwijderen van vervuiling van schaamschotten</t>
  </si>
  <si>
    <t>Volledig (diep)reinigen van de deur (beide zijden), (tegel-)wanden, vloeren en putjes (in- en uitwendig), randen en richels</t>
  </si>
  <si>
    <t>Het reinigen van het toilet/urinoir aan de buitenzijde</t>
  </si>
  <si>
    <t>De toiletbril ontdoen van aanslag, demonteren van een bril met brugstuk (teneinde het vuil eronder te verwijderen) en weer monteren</t>
  </si>
  <si>
    <t>De buitenzijde van de stortbak ontdoen van aanslag en vuil (gietijzer alleen buitenzijde)</t>
  </si>
  <si>
    <t>Het verwijderen van organische en anorganische vervuiling op de binnen- en buitenzijde van de wastafel</t>
  </si>
  <si>
    <t>Alle spiegels reinigen</t>
  </si>
  <si>
    <t>De gehele vloer en alle wanden reinigen met fantomat</t>
  </si>
  <si>
    <t>Reinigen ramen/kozijnen</t>
  </si>
  <si>
    <t>Alarmsensoren</t>
  </si>
  <si>
    <t>Geen zichtbare spinrag, geen stofvorming en kleine zichtbare vlekken max. 3 stuks</t>
  </si>
  <si>
    <t>Omschrijving</t>
  </si>
  <si>
    <t>Glasbewassing</t>
  </si>
  <si>
    <t>Code taak</t>
  </si>
  <si>
    <t>Glassoort/voorziening</t>
  </si>
  <si>
    <t>Gevelglas binnenzijde</t>
  </si>
  <si>
    <t>Prijs per m2 per beurt</t>
  </si>
  <si>
    <t>Gevelglas buitenzijde</t>
  </si>
  <si>
    <t>Separatieglas (enkel gemeten, dubbel te wassen)</t>
  </si>
  <si>
    <t>Fietsenstalling</t>
  </si>
  <si>
    <t>Beplating wassen</t>
  </si>
  <si>
    <t>Lichtkoepels (enkel gemeten, dubbel te wassen)</t>
  </si>
  <si>
    <t>Glazen wandtuin</t>
  </si>
  <si>
    <t>H1</t>
  </si>
  <si>
    <t>Hoogwerker buiten max 12 meter</t>
  </si>
  <si>
    <t>H2</t>
  </si>
  <si>
    <t>Hoogwerker buiten max 16 meter</t>
  </si>
  <si>
    <t>H3</t>
  </si>
  <si>
    <t>Hoogwerker buiten max 20 meter</t>
  </si>
  <si>
    <t>H4</t>
  </si>
  <si>
    <t>Spinhoogwerker</t>
  </si>
  <si>
    <t>Oppervlakte of dagen</t>
  </si>
  <si>
    <t>Frequentie</t>
  </si>
  <si>
    <t>Kosten/jaar incl. BTW</t>
  </si>
  <si>
    <t>Handelingen dieptereiniging per toilet unit</t>
  </si>
  <si>
    <r>
      <t>Sanitaire eenheid:</t>
    </r>
    <r>
      <rPr>
        <sz val="10"/>
        <rFont val="Calibri"/>
        <family val="2"/>
        <scheme val="minor"/>
      </rPr>
      <t xml:space="preserve"> bestaat uit 2 toiletpotten (of 1 toiletpot en 1 urinoir) en 1 wastafel</t>
    </r>
  </si>
  <si>
    <t>Toiletpot</t>
  </si>
  <si>
    <t>-</t>
  </si>
  <si>
    <t>verwijderen van vervuiling in spoelranden, afvoersluitingen en restant van de binnenzijde van het toilet</t>
  </si>
  <si>
    <t>reinigen van het toilet aan de buitenzijde</t>
  </si>
  <si>
    <t>bevestiging en aansluiting op het afvoersysteem controleren; waar nodig vernieuwen van pluggen en schroeven en afdichten van onregelmatige aansluiting op de afvoer</t>
  </si>
  <si>
    <t>de toiletbril ontdoen van aanslag, demonteren van een bril met brugstuk (teneinde het vuil eronder te verwijderen) en weer monteren</t>
  </si>
  <si>
    <t>binnen- en buitenzijde van de stortbak ontdoen van aanslag en vuil (gietijzer alleen buitenzijde)</t>
  </si>
  <si>
    <t>stortbak controleren op het functioneren van het mechanisme, het waterniveau en de bevestiging ervan</t>
  </si>
  <si>
    <t>stopkraan van de stortbak ontkalken en controleren op goede werking</t>
  </si>
  <si>
    <t>valpijp ontdoen van aanslag en controleren op losse of defecte bevestigingsbeugels en op de aansluiting van het toilet</t>
  </si>
  <si>
    <t>bij een inbouwstortbak de voorplaat reinigen, het waterniveau controleren en eventueel opnieuw afstellen</t>
  </si>
  <si>
    <t>de drukspoeler controleren op goede werking en ontdoen van aanslag op de buitenzijde</t>
  </si>
  <si>
    <t>spoelpijp ontdoen van aanslag en controleren op losse of defecte bevestigingsbeugels op de aansluiting van de pot en op lekkage</t>
  </si>
  <si>
    <t>reinigen van de deur (beide zijden), tegelwanden en vloeren</t>
  </si>
  <si>
    <t>Urinoir</t>
  </si>
  <si>
    <t>verwijderen van organische en anorganische vervuiling in spoelranden en afvoeraansluitingen en restant van de binnenzijde van de pot</t>
  </si>
  <si>
    <t>reinigen van de buitenzijde van het urinoir</t>
  </si>
  <si>
    <t>bevestiging en aansluiting op het afvoersysteem controleren en afdichten van onregelmatige aansluiting op de afvoer</t>
  </si>
  <si>
    <t>bij wandurinoirs controleren op bevestigingen en afsluitingen op vloerpijp en afvoer</t>
  </si>
  <si>
    <t>verwijderen van vervuiling van schaamschotten</t>
  </si>
  <si>
    <t>schaamschotten controleren op bevestiging</t>
  </si>
  <si>
    <t>tegelwand tot 1 meter aan weerszijde van de urninoir(s) tot aan de bovenzijde reinigen</t>
  </si>
  <si>
    <t>vloer tot 1 meter aan weerszijde van de urninoir(s) en 1 meter vanaf de wand reinigen</t>
  </si>
  <si>
    <t>verwijderen van organische en anorganische vervuiling op de binnen- en buitenzijde</t>
  </si>
  <si>
    <t>kranen ontkalken en controleren op functioneren en eventuele rubbers vervangen</t>
  </si>
  <si>
    <t>perlators demonteren en ontkalken en eventueel vervangen</t>
  </si>
  <si>
    <t>sifon in- en uitwendig reinigen, zonodig nieuwe pakkingring aanbrengen</t>
  </si>
  <si>
    <t>spiegels reinigen</t>
  </si>
  <si>
    <t>tegelwand tot 1 meter aan weerszijde van de wastafel(s) tot aan bovenzijde reinigen</t>
  </si>
  <si>
    <t>vloer tot 1 meter aan weerszijde van de wastafel(s) en 1 meter vanaf de wand reinigen</t>
  </si>
  <si>
    <t>Horsterweg 192</t>
  </si>
  <si>
    <t>3891 EV</t>
  </si>
  <si>
    <t>A0.01</t>
  </si>
  <si>
    <t>A0.02</t>
  </si>
  <si>
    <t>A0.03</t>
  </si>
  <si>
    <t>A0.04</t>
  </si>
  <si>
    <t>A0.05</t>
  </si>
  <si>
    <t>A0.06</t>
  </si>
  <si>
    <t>A0.07</t>
  </si>
  <si>
    <t>A0.08</t>
  </si>
  <si>
    <t>A0.09</t>
  </si>
  <si>
    <t>A0.10</t>
  </si>
  <si>
    <t>A0.11</t>
  </si>
  <si>
    <t>A0.12</t>
  </si>
  <si>
    <t>A0.13</t>
  </si>
  <si>
    <t>A0.14</t>
  </si>
  <si>
    <t>A0.16</t>
  </si>
  <si>
    <t>A0.17</t>
  </si>
  <si>
    <t>A0.18</t>
  </si>
  <si>
    <t>A0.19</t>
  </si>
  <si>
    <t>A0.20</t>
  </si>
  <si>
    <t>A015</t>
  </si>
  <si>
    <t>B0.01</t>
  </si>
  <si>
    <t>B0.02</t>
  </si>
  <si>
    <t>B0.03</t>
  </si>
  <si>
    <t>B0.04</t>
  </si>
  <si>
    <t>B0.05</t>
  </si>
  <si>
    <t>B0.06</t>
  </si>
  <si>
    <t>B0.07</t>
  </si>
  <si>
    <t>B0.08</t>
  </si>
  <si>
    <t>B0.09</t>
  </si>
  <si>
    <t>B0.10</t>
  </si>
  <si>
    <t>B0.11</t>
  </si>
  <si>
    <t>B0.12</t>
  </si>
  <si>
    <t>B0.13</t>
  </si>
  <si>
    <t>B0.14</t>
  </si>
  <si>
    <t>B0.15</t>
  </si>
  <si>
    <t>B0.16</t>
  </si>
  <si>
    <t>B0.17</t>
  </si>
  <si>
    <t>B0.18</t>
  </si>
  <si>
    <t>B0.19</t>
  </si>
  <si>
    <t>B0.20</t>
  </si>
  <si>
    <t>B0.21A</t>
  </si>
  <si>
    <t>B0.21B</t>
  </si>
  <si>
    <t>B0.22</t>
  </si>
  <si>
    <t>B0.23</t>
  </si>
  <si>
    <t>B0.24</t>
  </si>
  <si>
    <t>B0.26</t>
  </si>
  <si>
    <t>B0.27</t>
  </si>
  <si>
    <t>B0.28</t>
  </si>
  <si>
    <t>B0.29</t>
  </si>
  <si>
    <t>B0.31</t>
  </si>
  <si>
    <t>B0.32</t>
  </si>
  <si>
    <t>B0.33</t>
  </si>
  <si>
    <t>B0.34</t>
  </si>
  <si>
    <t>B0.35</t>
  </si>
  <si>
    <t>B0.36</t>
  </si>
  <si>
    <t>B0.37</t>
  </si>
  <si>
    <t>B0.38</t>
  </si>
  <si>
    <t>B0.39</t>
  </si>
  <si>
    <t>B0.40</t>
  </si>
  <si>
    <t>B0.41</t>
  </si>
  <si>
    <t>B0.42</t>
  </si>
  <si>
    <t>B0.43</t>
  </si>
  <si>
    <t>B0.44</t>
  </si>
  <si>
    <t>B0.45</t>
  </si>
  <si>
    <t>B0.46</t>
  </si>
  <si>
    <t>OF/TR</t>
  </si>
  <si>
    <t>bg</t>
  </si>
  <si>
    <t>Hoofdentree</t>
  </si>
  <si>
    <t>Trappenhuis</t>
  </si>
  <si>
    <t>Toiletten J</t>
  </si>
  <si>
    <t>Toiletten M</t>
  </si>
  <si>
    <t>W.K. (best)</t>
  </si>
  <si>
    <t>Doc. Werkplek</t>
  </si>
  <si>
    <t>Instructieruimte</t>
  </si>
  <si>
    <t>Open werkomgeving</t>
  </si>
  <si>
    <t>Spreekkamer</t>
  </si>
  <si>
    <t>Teamleiders</t>
  </si>
  <si>
    <t>Plein/ open werkomgeving</t>
  </si>
  <si>
    <t>Pauzeruimte + trap</t>
  </si>
  <si>
    <t>Pauzeruimte</t>
  </si>
  <si>
    <t>Lockerruimte</t>
  </si>
  <si>
    <t>Podium pauzeruimte</t>
  </si>
  <si>
    <t>Kleedruimte toneel (best)</t>
  </si>
  <si>
    <t>Berging aula (best)</t>
  </si>
  <si>
    <t>Toiletten miva</t>
  </si>
  <si>
    <t>Technische ruimte</t>
  </si>
  <si>
    <t>Berging atelier</t>
  </si>
  <si>
    <t>Atelier</t>
  </si>
  <si>
    <t>Receptie</t>
  </si>
  <si>
    <t>EHBO/ Kolf</t>
  </si>
  <si>
    <t>Keuken/ uitgifte</t>
  </si>
  <si>
    <t>Berging keuken</t>
  </si>
  <si>
    <t>Voorruimte/ lockers</t>
  </si>
  <si>
    <t xml:space="preserve">Lok. Verschoorsch. </t>
  </si>
  <si>
    <t>Lokaal kunst</t>
  </si>
  <si>
    <t xml:space="preserve">Muzieklokaal </t>
  </si>
  <si>
    <t>Lokaal science</t>
  </si>
  <si>
    <t>Kabinet (best)</t>
  </si>
  <si>
    <t>Lokaal science demo</t>
  </si>
  <si>
    <t>Lokaal science instructie</t>
  </si>
  <si>
    <t>Lokaal science natuurkunde practicum</t>
  </si>
  <si>
    <t>Tecno/LOCT</t>
  </si>
  <si>
    <t>Berging tecno/ROCT</t>
  </si>
  <si>
    <t>Schacht</t>
  </si>
  <si>
    <t>1e</t>
  </si>
  <si>
    <t>01.08B</t>
  </si>
  <si>
    <t>1.44</t>
  </si>
  <si>
    <t>A1.01</t>
  </si>
  <si>
    <t>A1.02</t>
  </si>
  <si>
    <t>A1.03</t>
  </si>
  <si>
    <t>A1.04</t>
  </si>
  <si>
    <t>A1.05</t>
  </si>
  <si>
    <t>A1.06</t>
  </si>
  <si>
    <t>A1.07</t>
  </si>
  <si>
    <t>A1.08A</t>
  </si>
  <si>
    <t>A1.09</t>
  </si>
  <si>
    <t>A1.10</t>
  </si>
  <si>
    <t>A1.11</t>
  </si>
  <si>
    <t>A1.12</t>
  </si>
  <si>
    <t>A1.13</t>
  </si>
  <si>
    <t>A1.14</t>
  </si>
  <si>
    <t>A1.15</t>
  </si>
  <si>
    <t>A1.16</t>
  </si>
  <si>
    <t>A1.17</t>
  </si>
  <si>
    <t>A1.18</t>
  </si>
  <si>
    <t>A1.19</t>
  </si>
  <si>
    <t>A1.20</t>
  </si>
  <si>
    <t>B1.01</t>
  </si>
  <si>
    <t>B1.02</t>
  </si>
  <si>
    <t>B1.03</t>
  </si>
  <si>
    <t>B1.04</t>
  </si>
  <si>
    <t>B1.05</t>
  </si>
  <si>
    <t>B1.06</t>
  </si>
  <si>
    <t>B1.07</t>
  </si>
  <si>
    <t>B1.08</t>
  </si>
  <si>
    <t>B1.09</t>
  </si>
  <si>
    <t>B1.10</t>
  </si>
  <si>
    <t>B1.11</t>
  </si>
  <si>
    <t>B1.13</t>
  </si>
  <si>
    <t>B1.14</t>
  </si>
  <si>
    <t>B1.15</t>
  </si>
  <si>
    <t>B1.16</t>
  </si>
  <si>
    <t>B1.17</t>
  </si>
  <si>
    <t>B1.18</t>
  </si>
  <si>
    <t>B1.19</t>
  </si>
  <si>
    <t>B1.20</t>
  </si>
  <si>
    <t>B1.21</t>
  </si>
  <si>
    <t>B1.22</t>
  </si>
  <si>
    <t>B1.23</t>
  </si>
  <si>
    <t>B1.24</t>
  </si>
  <si>
    <t>B1.25</t>
  </si>
  <si>
    <t>B1.27</t>
  </si>
  <si>
    <t>B1.28</t>
  </si>
  <si>
    <t>B1.29</t>
  </si>
  <si>
    <t>B1.31</t>
  </si>
  <si>
    <t>B1.32</t>
  </si>
  <si>
    <t>B1.33</t>
  </si>
  <si>
    <t>B1.34</t>
  </si>
  <si>
    <t>B1.35</t>
  </si>
  <si>
    <t>B1.36</t>
  </si>
  <si>
    <t>B1.37</t>
  </si>
  <si>
    <t>B1.38</t>
  </si>
  <si>
    <t>B1.39</t>
  </si>
  <si>
    <t>B1.40</t>
  </si>
  <si>
    <t>B1.42</t>
  </si>
  <si>
    <t>B1.43</t>
  </si>
  <si>
    <t>B1.45</t>
  </si>
  <si>
    <t>B1.46</t>
  </si>
  <si>
    <t>B1.47</t>
  </si>
  <si>
    <t>B1.48</t>
  </si>
  <si>
    <t>B1.49</t>
  </si>
  <si>
    <t>Vide pauzeruimte</t>
  </si>
  <si>
    <t>Serverruimte</t>
  </si>
  <si>
    <t xml:space="preserve">Toiletten J. </t>
  </si>
  <si>
    <t>Toiletten M.</t>
  </si>
  <si>
    <t>Toilet Miva</t>
  </si>
  <si>
    <t>Doc. werkplek</t>
  </si>
  <si>
    <t>Flex werkplek</t>
  </si>
  <si>
    <t>OLC</t>
  </si>
  <si>
    <t>Repro</t>
  </si>
  <si>
    <t xml:space="preserve">Toiletten M. </t>
  </si>
  <si>
    <t xml:space="preserve">Toiletten D. </t>
  </si>
  <si>
    <t xml:space="preserve">Toiletten H. </t>
  </si>
  <si>
    <t>Instructie/theorie</t>
  </si>
  <si>
    <t>Directeur</t>
  </si>
  <si>
    <t xml:space="preserve">Werkkast </t>
  </si>
  <si>
    <t>Admin./dir.secr</t>
  </si>
  <si>
    <t>Archief/kluis</t>
  </si>
  <si>
    <t>Personeelskamer</t>
  </si>
  <si>
    <t>Studieruimte</t>
  </si>
  <si>
    <t>Toegang technische ruimte</t>
  </si>
  <si>
    <t>Geen punt ruimte</t>
  </si>
  <si>
    <t>Tegel</t>
  </si>
  <si>
    <t>Giet</t>
  </si>
  <si>
    <t>Geboorte- datum</t>
  </si>
  <si>
    <t>Datum in dienst</t>
  </si>
  <si>
    <t>Branche datum</t>
  </si>
  <si>
    <t>Soort  contract</t>
  </si>
  <si>
    <t>Aantal uur op object per week</t>
  </si>
  <si>
    <t>&gt; 1,5 jaar op object?</t>
  </si>
  <si>
    <t>Functiecode</t>
  </si>
  <si>
    <t>Loongroep</t>
  </si>
  <si>
    <t>Basis-uurloon</t>
  </si>
  <si>
    <t>OT Dienstjaren</t>
  </si>
  <si>
    <t>VET toeslag</t>
  </si>
  <si>
    <t>Pers. Toeslag</t>
  </si>
  <si>
    <t>Reiskosten op basis van CAO</t>
  </si>
  <si>
    <t>Reiskosten boven CAO voor 31-12-2007 afgesproken</t>
  </si>
  <si>
    <t>In het bezit van basisvak-diploma? Ja/Nee</t>
  </si>
  <si>
    <t>Zeewolde</t>
  </si>
  <si>
    <t>RSG Slingerbos</t>
  </si>
  <si>
    <t>Eisenhowerlaan 59</t>
  </si>
  <si>
    <t>3844 AS</t>
  </si>
  <si>
    <t>Harderwijk</t>
  </si>
  <si>
    <t>Kabinet Binas</t>
  </si>
  <si>
    <t>Garderobe</t>
  </si>
  <si>
    <t>Spreekkamers</t>
  </si>
  <si>
    <t>Praktijklokalen (houtbewerking)</t>
  </si>
  <si>
    <t>GZ1</t>
  </si>
  <si>
    <t>GZ2</t>
  </si>
  <si>
    <t>GZ3</t>
  </si>
  <si>
    <t>GZ4</t>
  </si>
  <si>
    <t>GZ1 BERGING</t>
  </si>
  <si>
    <t>28M</t>
  </si>
  <si>
    <t>Kleedkamer GZ1F</t>
  </si>
  <si>
    <t>Doucheruimte GZ1E</t>
  </si>
  <si>
    <t>GZ1F</t>
  </si>
  <si>
    <t>Doucheruimte GZ1A</t>
  </si>
  <si>
    <t>GZ1D</t>
  </si>
  <si>
    <t>GZ1C</t>
  </si>
  <si>
    <t>Voorruimte GZ1A</t>
  </si>
  <si>
    <t>GZ1H</t>
  </si>
  <si>
    <t>GZ1B</t>
  </si>
  <si>
    <t>Portaal gymzaal 1 en 2</t>
  </si>
  <si>
    <t>Kleedruimte GZ1E</t>
  </si>
  <si>
    <t>Doucheruimte GZ1F</t>
  </si>
  <si>
    <t>GZ2 BERGING</t>
  </si>
  <si>
    <t>GZ3H</t>
  </si>
  <si>
    <t>GZ3B</t>
  </si>
  <si>
    <t>GZ3 BERGING</t>
  </si>
  <si>
    <t>Sportgang</t>
  </si>
  <si>
    <t>GZ4 BERGING</t>
  </si>
  <si>
    <t>GZ3A</t>
  </si>
  <si>
    <t>Avondentree sport</t>
  </si>
  <si>
    <t>GZ3F</t>
  </si>
  <si>
    <t>GZ3C</t>
  </si>
  <si>
    <t>GZ3D</t>
  </si>
  <si>
    <t>GZ3E</t>
  </si>
  <si>
    <t>28 I</t>
  </si>
  <si>
    <t>28 J</t>
  </si>
  <si>
    <t>28 G</t>
  </si>
  <si>
    <t>28 H</t>
  </si>
  <si>
    <t>28 A</t>
  </si>
  <si>
    <t>Gang naast lift</t>
  </si>
  <si>
    <t xml:space="preserve">5 I </t>
  </si>
  <si>
    <t xml:space="preserve">5 J </t>
  </si>
  <si>
    <t xml:space="preserve">5 H </t>
  </si>
  <si>
    <t xml:space="preserve">5 G </t>
  </si>
  <si>
    <t xml:space="preserve">5 F </t>
  </si>
  <si>
    <t>5 E</t>
  </si>
  <si>
    <t xml:space="preserve">5 D </t>
  </si>
  <si>
    <t>Hal voor Technasium</t>
  </si>
  <si>
    <t>Hoofd entree</t>
  </si>
  <si>
    <t>Hal repro</t>
  </si>
  <si>
    <t xml:space="preserve">GANG HET PUNT </t>
  </si>
  <si>
    <t>Gang Natuurkunde</t>
  </si>
  <si>
    <t>Gang Scheikunde</t>
  </si>
  <si>
    <t>aula</t>
  </si>
  <si>
    <t>Oefenruimte muziek</t>
  </si>
  <si>
    <t>Gardarobe</t>
  </si>
  <si>
    <t>Leerplein Nederlands</t>
  </si>
  <si>
    <t>21 B</t>
  </si>
  <si>
    <t>21 A</t>
  </si>
  <si>
    <t>Gang Nederlands</t>
  </si>
  <si>
    <t>19 A</t>
  </si>
  <si>
    <t>19 B</t>
  </si>
  <si>
    <t>19 C</t>
  </si>
  <si>
    <t>Entree schuifdeur</t>
  </si>
  <si>
    <t>10 D</t>
  </si>
  <si>
    <t>28 B</t>
  </si>
  <si>
    <t xml:space="preserve">28 F </t>
  </si>
  <si>
    <t>Toilet heren CKV</t>
  </si>
  <si>
    <t>Toilet dames CKV</t>
  </si>
  <si>
    <t>Magazijn keuken?</t>
  </si>
  <si>
    <t xml:space="preserve">2A </t>
  </si>
  <si>
    <t>Studio Muziek</t>
  </si>
  <si>
    <t>5A</t>
  </si>
  <si>
    <t>4B</t>
  </si>
  <si>
    <t>4A</t>
  </si>
  <si>
    <t>4C</t>
  </si>
  <si>
    <t xml:space="preserve">26B </t>
  </si>
  <si>
    <t>26C</t>
  </si>
  <si>
    <t>26D</t>
  </si>
  <si>
    <t>26F</t>
  </si>
  <si>
    <t>10A</t>
  </si>
  <si>
    <t>10B</t>
  </si>
  <si>
    <t xml:space="preserve">10A </t>
  </si>
  <si>
    <t>trappenhuis technasium</t>
  </si>
  <si>
    <t>trappenhuis NASK</t>
  </si>
  <si>
    <t>trappenhuis sportveld</t>
  </si>
  <si>
    <t>trappenhuis binnentuin</t>
  </si>
  <si>
    <t>trappenhuis repro</t>
  </si>
  <si>
    <t xml:space="preserve">11A </t>
  </si>
  <si>
    <t>15A</t>
  </si>
  <si>
    <t>13AB</t>
  </si>
  <si>
    <t>13B</t>
  </si>
  <si>
    <t xml:space="preserve">BIJ LOKAAL 11 </t>
  </si>
  <si>
    <t>9B</t>
  </si>
  <si>
    <t>9A</t>
  </si>
  <si>
    <t>9D</t>
  </si>
  <si>
    <t>9C</t>
  </si>
  <si>
    <t xml:space="preserve">9B </t>
  </si>
  <si>
    <t>28D</t>
  </si>
  <si>
    <t xml:space="preserve">28E </t>
  </si>
  <si>
    <t xml:space="preserve">28C </t>
  </si>
  <si>
    <t>ZIE 108</t>
  </si>
  <si>
    <t>101A</t>
  </si>
  <si>
    <t>HAL DIRECTIE</t>
  </si>
  <si>
    <t>Gang Wiskunde</t>
  </si>
  <si>
    <t>Gang einde loopbrug</t>
  </si>
  <si>
    <t>gang postvakjes</t>
  </si>
  <si>
    <t>HAL PERSONEEL</t>
  </si>
  <si>
    <t>Gang talen</t>
  </si>
  <si>
    <t>Leerplein AK/GS</t>
  </si>
  <si>
    <t>129G</t>
  </si>
  <si>
    <t>110B</t>
  </si>
  <si>
    <t>114A</t>
  </si>
  <si>
    <t>Gang economie</t>
  </si>
  <si>
    <t>Gang Frans</t>
  </si>
  <si>
    <t>119A</t>
  </si>
  <si>
    <t>121B</t>
  </si>
  <si>
    <t>121A</t>
  </si>
  <si>
    <t>Hal Vide</t>
  </si>
  <si>
    <t>Hal 121</t>
  </si>
  <si>
    <t>119B</t>
  </si>
  <si>
    <t>119C</t>
  </si>
  <si>
    <t>loopbrug</t>
  </si>
  <si>
    <t>100 ?</t>
  </si>
  <si>
    <t xml:space="preserve">BERGING OLC </t>
  </si>
  <si>
    <t>100B</t>
  </si>
  <si>
    <t xml:space="preserve">WISKUNDE </t>
  </si>
  <si>
    <t>129D</t>
  </si>
  <si>
    <t xml:space="preserve">PERSONEEL </t>
  </si>
  <si>
    <t>129F</t>
  </si>
  <si>
    <t>129E</t>
  </si>
  <si>
    <t>?</t>
  </si>
  <si>
    <t>130b</t>
  </si>
  <si>
    <t>130a</t>
  </si>
  <si>
    <t xml:space="preserve">trappenhuis bio </t>
  </si>
  <si>
    <t>trappenhuis muziek</t>
  </si>
  <si>
    <t>trappenhuis drukkerij</t>
  </si>
  <si>
    <t xml:space="preserve">104b </t>
  </si>
  <si>
    <t>104c</t>
  </si>
  <si>
    <t>x</t>
  </si>
  <si>
    <t xml:space="preserve">104c </t>
  </si>
  <si>
    <t>129a</t>
  </si>
  <si>
    <t>129b</t>
  </si>
  <si>
    <t>129g</t>
  </si>
  <si>
    <t>5c schoonmaak</t>
  </si>
  <si>
    <t>115a</t>
  </si>
  <si>
    <t>29 bestuurs</t>
  </si>
  <si>
    <t>bestuurskantoor</t>
  </si>
  <si>
    <t>29c</t>
  </si>
  <si>
    <t>29d</t>
  </si>
  <si>
    <t xml:space="preserve">32 a </t>
  </si>
  <si>
    <t xml:space="preserve">32 b </t>
  </si>
  <si>
    <t>leerplein GPL noodbouw</t>
  </si>
  <si>
    <t>bouwtekening no.</t>
  </si>
  <si>
    <t xml:space="preserve">etage </t>
  </si>
  <si>
    <t>S0.01</t>
  </si>
  <si>
    <t>S0.02</t>
  </si>
  <si>
    <t>S0.03</t>
  </si>
  <si>
    <t>S0.04</t>
  </si>
  <si>
    <t>S0.05</t>
  </si>
  <si>
    <t>S0.06</t>
  </si>
  <si>
    <t>S0.07</t>
  </si>
  <si>
    <t>S0.08</t>
  </si>
  <si>
    <t>S0.09</t>
  </si>
  <si>
    <t>S0.10</t>
  </si>
  <si>
    <t>S0.11</t>
  </si>
  <si>
    <t>S0.12</t>
  </si>
  <si>
    <t>S0.13</t>
  </si>
  <si>
    <t>S0.14</t>
  </si>
  <si>
    <t>S0.15</t>
  </si>
  <si>
    <t>S0.16</t>
  </si>
  <si>
    <t>S0.18</t>
  </si>
  <si>
    <t>S0.19</t>
  </si>
  <si>
    <t>S0.20</t>
  </si>
  <si>
    <t>S0.21</t>
  </si>
  <si>
    <t>S0.22</t>
  </si>
  <si>
    <t>S0.23</t>
  </si>
  <si>
    <t>S0.24</t>
  </si>
  <si>
    <t>S0.25</t>
  </si>
  <si>
    <t>S0.26</t>
  </si>
  <si>
    <t>S0.27</t>
  </si>
  <si>
    <t>S0.28</t>
  </si>
  <si>
    <t>S0.29</t>
  </si>
  <si>
    <t>S0.30</t>
  </si>
  <si>
    <t>S0.31</t>
  </si>
  <si>
    <t>S0.32</t>
  </si>
  <si>
    <t>S0.33</t>
  </si>
  <si>
    <t>BA.01</t>
  </si>
  <si>
    <t>BA.02</t>
  </si>
  <si>
    <t>BA.03</t>
  </si>
  <si>
    <t>BA.04</t>
  </si>
  <si>
    <t>BA.05</t>
  </si>
  <si>
    <t>BA.06</t>
  </si>
  <si>
    <t>BA.07</t>
  </si>
  <si>
    <t>BA.08</t>
  </si>
  <si>
    <t>BA.09</t>
  </si>
  <si>
    <t>BA.10</t>
  </si>
  <si>
    <t>BA.11</t>
  </si>
  <si>
    <t>BA.12</t>
  </si>
  <si>
    <t>BA.13</t>
  </si>
  <si>
    <t>BA.14</t>
  </si>
  <si>
    <t>BA.15</t>
  </si>
  <si>
    <t>BA.16</t>
  </si>
  <si>
    <t>BA.17</t>
  </si>
  <si>
    <t>BA.18</t>
  </si>
  <si>
    <t>BA.19</t>
  </si>
  <si>
    <t>BA.20</t>
  </si>
  <si>
    <t>BA.21</t>
  </si>
  <si>
    <t>BA.22</t>
  </si>
  <si>
    <t>BA.23</t>
  </si>
  <si>
    <t>BA.24</t>
  </si>
  <si>
    <t>BA.25</t>
  </si>
  <si>
    <t>BA.26</t>
  </si>
  <si>
    <t>BA.27</t>
  </si>
  <si>
    <t>BA.28</t>
  </si>
  <si>
    <t>BA.29</t>
  </si>
  <si>
    <t>BA.30</t>
  </si>
  <si>
    <t>BA.31</t>
  </si>
  <si>
    <t>BA.32</t>
  </si>
  <si>
    <t>BA.33</t>
  </si>
  <si>
    <t>BA.34</t>
  </si>
  <si>
    <t>BA.35</t>
  </si>
  <si>
    <t>BA.36</t>
  </si>
  <si>
    <t>BA.37</t>
  </si>
  <si>
    <t>K0.01</t>
  </si>
  <si>
    <t>K0.01a</t>
  </si>
  <si>
    <t>K0.02</t>
  </si>
  <si>
    <t>K0.03</t>
  </si>
  <si>
    <t>K0.03a</t>
  </si>
  <si>
    <t>K0.04</t>
  </si>
  <si>
    <t>K0,04a</t>
  </si>
  <si>
    <t>K0.05</t>
  </si>
  <si>
    <t>Z0.01</t>
  </si>
  <si>
    <t>Z0.02</t>
  </si>
  <si>
    <t>Z0.03</t>
  </si>
  <si>
    <t>Z0.04</t>
  </si>
  <si>
    <t>Z0.05</t>
  </si>
  <si>
    <t>BSP0.01</t>
  </si>
  <si>
    <t>BSP0.02</t>
  </si>
  <si>
    <t>BSP0.03</t>
  </si>
  <si>
    <t>BSP0.04</t>
  </si>
  <si>
    <t>BSP0.05</t>
  </si>
  <si>
    <t>BSP0.06</t>
  </si>
  <si>
    <t>KO.01</t>
  </si>
  <si>
    <t>KO.02</t>
  </si>
  <si>
    <t>KO.03</t>
  </si>
  <si>
    <t>T0.01</t>
  </si>
  <si>
    <t>T0.02</t>
  </si>
  <si>
    <t>T0.03</t>
  </si>
  <si>
    <t>T0.04</t>
  </si>
  <si>
    <t>TR0.01</t>
  </si>
  <si>
    <t>TR0.02</t>
  </si>
  <si>
    <t>TR0.03</t>
  </si>
  <si>
    <t>TR0.04</t>
  </si>
  <si>
    <t>TR0.05</t>
  </si>
  <si>
    <t>B0.01a</t>
  </si>
  <si>
    <t>B0.03A</t>
  </si>
  <si>
    <t>B0.04A</t>
  </si>
  <si>
    <t>B0.04B</t>
  </si>
  <si>
    <t>B0.05A</t>
  </si>
  <si>
    <t>T0.05</t>
  </si>
  <si>
    <t>T0.06</t>
  </si>
  <si>
    <t>T0.07</t>
  </si>
  <si>
    <t>Z1.01</t>
  </si>
  <si>
    <t>Z1.02</t>
  </si>
  <si>
    <t>Z1.03</t>
  </si>
  <si>
    <t>Z1.04</t>
  </si>
  <si>
    <t>Z1.05</t>
  </si>
  <si>
    <t>Z1.06</t>
  </si>
  <si>
    <t>Z1.07</t>
  </si>
  <si>
    <t>Z1.08</t>
  </si>
  <si>
    <t>Z1.09</t>
  </si>
  <si>
    <t>Z1.10</t>
  </si>
  <si>
    <t>Z1.11</t>
  </si>
  <si>
    <t>Z1.12</t>
  </si>
  <si>
    <t>Z1.13</t>
  </si>
  <si>
    <t>Z1.14</t>
  </si>
  <si>
    <t>Z1.15</t>
  </si>
  <si>
    <t>Z1.16</t>
  </si>
  <si>
    <t>Z1.17</t>
  </si>
  <si>
    <t>VA.01</t>
  </si>
  <si>
    <t>VA.02</t>
  </si>
  <si>
    <t>VA.03</t>
  </si>
  <si>
    <t>VA.04</t>
  </si>
  <si>
    <t>VA.05</t>
  </si>
  <si>
    <t>VA.06</t>
  </si>
  <si>
    <t>VA.07</t>
  </si>
  <si>
    <t>VA.08</t>
  </si>
  <si>
    <t>VA.10</t>
  </si>
  <si>
    <t>VA.12</t>
  </si>
  <si>
    <t>VA.13</t>
  </si>
  <si>
    <t>VA.14</t>
  </si>
  <si>
    <t>VA.15</t>
  </si>
  <si>
    <t>VA.16</t>
  </si>
  <si>
    <t>VA.17</t>
  </si>
  <si>
    <t>VA.18</t>
  </si>
  <si>
    <t>VA.19</t>
  </si>
  <si>
    <t>VA.20</t>
  </si>
  <si>
    <t>VA.21</t>
  </si>
  <si>
    <t>VA.22</t>
  </si>
  <si>
    <t>VA.23</t>
  </si>
  <si>
    <t>VA.24</t>
  </si>
  <si>
    <t>VA.25</t>
  </si>
  <si>
    <t>OL.01</t>
  </si>
  <si>
    <t>OL.02</t>
  </si>
  <si>
    <t>OL.03</t>
  </si>
  <si>
    <t>OL.04</t>
  </si>
  <si>
    <t>DC.01</t>
  </si>
  <si>
    <t>DC.02</t>
  </si>
  <si>
    <t>DC.03</t>
  </si>
  <si>
    <t>DC.04</t>
  </si>
  <si>
    <t>DC.05</t>
  </si>
  <si>
    <t>DC.06</t>
  </si>
  <si>
    <t>T1.01</t>
  </si>
  <si>
    <t>T1.02</t>
  </si>
  <si>
    <t>T1.03</t>
  </si>
  <si>
    <t>T1.04</t>
  </si>
  <si>
    <t>T1.05</t>
  </si>
  <si>
    <t>T1.06</t>
  </si>
  <si>
    <t>T1.07</t>
  </si>
  <si>
    <t>T1.08</t>
  </si>
  <si>
    <t>T1.09</t>
  </si>
  <si>
    <t>T1.10</t>
  </si>
  <si>
    <t>T1.11</t>
  </si>
  <si>
    <t>T1.12</t>
  </si>
  <si>
    <t>TB1.01</t>
  </si>
  <si>
    <t>TB1.02</t>
  </si>
  <si>
    <t>TR.01v</t>
  </si>
  <si>
    <t>TR.02v</t>
  </si>
  <si>
    <t>TR.03v</t>
  </si>
  <si>
    <t>TR.04v</t>
  </si>
  <si>
    <t>TR.05v</t>
  </si>
  <si>
    <t>Z1.18</t>
  </si>
  <si>
    <t>BA.38</t>
  </si>
  <si>
    <t>Berging</t>
  </si>
  <si>
    <t>Kleedruimte</t>
  </si>
  <si>
    <t>Doucheruimte</t>
  </si>
  <si>
    <t>Toilet</t>
  </si>
  <si>
    <t>Voorruimte Toilet</t>
  </si>
  <si>
    <t>Kleedruimte Docenten</t>
  </si>
  <si>
    <t>Portaal</t>
  </si>
  <si>
    <t>Installatieruimte</t>
  </si>
  <si>
    <t>Gang</t>
  </si>
  <si>
    <t>Docenten</t>
  </si>
  <si>
    <t>Avondentree Sport</t>
  </si>
  <si>
    <t>Toilet Dames</t>
  </si>
  <si>
    <t>Toilet Heren</t>
  </si>
  <si>
    <t>Receptie/admin.</t>
  </si>
  <si>
    <t>Archief</t>
  </si>
  <si>
    <t>Concierge</t>
  </si>
  <si>
    <t>Opslag</t>
  </si>
  <si>
    <t>MIVA Toilet</t>
  </si>
  <si>
    <t>Werkkast</t>
  </si>
  <si>
    <t>EHBO RUIMTE</t>
  </si>
  <si>
    <t>Werkplaats</t>
  </si>
  <si>
    <t>Entrée 1</t>
  </si>
  <si>
    <t>Aula</t>
  </si>
  <si>
    <t>Oefenlokaal muziek</t>
  </si>
  <si>
    <t>Kantoorruimte</t>
  </si>
  <si>
    <t>Entrée 2</t>
  </si>
  <si>
    <t>Lokaal</t>
  </si>
  <si>
    <t>Auditorium</t>
  </si>
  <si>
    <t>Multifunctionele ruimte (lokaal)</t>
  </si>
  <si>
    <t>ICT</t>
  </si>
  <si>
    <t>Machines (geluid)</t>
  </si>
  <si>
    <t>Kunst</t>
  </si>
  <si>
    <t>Muzieklokaal</t>
  </si>
  <si>
    <t>kantoor tijdelijk</t>
  </si>
  <si>
    <t>Zelfst. Werken / Pauzeruimte</t>
  </si>
  <si>
    <t>Zorglokaal</t>
  </si>
  <si>
    <t>Keuken</t>
  </si>
  <si>
    <t>Uitgiftebalie</t>
  </si>
  <si>
    <t>Natuurkunde</t>
  </si>
  <si>
    <t>TOA ruimte</t>
  </si>
  <si>
    <t>Scheikunde</t>
  </si>
  <si>
    <t>Chemicaliënkast</t>
  </si>
  <si>
    <t>Theorielokaal</t>
  </si>
  <si>
    <t>Leerplein</t>
  </si>
  <si>
    <t>Werkplein</t>
  </si>
  <si>
    <t>Toiletruimte heren, Technasium</t>
  </si>
  <si>
    <t>Toiletruimte dames, Technasium</t>
  </si>
  <si>
    <t>Werkkast toiletruimte heren, Technasium</t>
  </si>
  <si>
    <t>Berging toiletruimte heren, Technasium</t>
  </si>
  <si>
    <t>Berging bij keuken (vanuit gang Beta)</t>
  </si>
  <si>
    <t>Toiletruimte heren, receptie</t>
  </si>
  <si>
    <t>Toiletruimte dames, receptie</t>
  </si>
  <si>
    <t>werkkast</t>
  </si>
  <si>
    <t>Hal</t>
  </si>
  <si>
    <t>Installatieruimte (Beta)</t>
  </si>
  <si>
    <t>Gang tpv aula</t>
  </si>
  <si>
    <t>Open leercentrum</t>
  </si>
  <si>
    <t>personeel ruimten</t>
  </si>
  <si>
    <t>kantoorruimte</t>
  </si>
  <si>
    <t>Toiletruimte heren, Zaakvakken</t>
  </si>
  <si>
    <t>Toiletruimte dames, Zaakvakken</t>
  </si>
  <si>
    <t>Werkkast toiletruimte heren, Zaakvakken</t>
  </si>
  <si>
    <t>Berging toiletruimte heren, Zaakvakken</t>
  </si>
  <si>
    <t>Toiletruimte heren, Talen</t>
  </si>
  <si>
    <t>Toiletruimte dames, Talen</t>
  </si>
  <si>
    <t>Werkkast toiletruimte heren, Talen</t>
  </si>
  <si>
    <t>ketelhuis</t>
  </si>
  <si>
    <t>kantoor</t>
  </si>
  <si>
    <t>Magazijn GPL</t>
  </si>
  <si>
    <t>Keuken GPL</t>
  </si>
  <si>
    <t>lokaal</t>
  </si>
  <si>
    <t>descol</t>
  </si>
  <si>
    <t>rubber</t>
  </si>
  <si>
    <t>marmoleum</t>
  </si>
  <si>
    <t>gietvloer</t>
  </si>
  <si>
    <t>beton</t>
  </si>
  <si>
    <t>plavuis</t>
  </si>
  <si>
    <t>t</t>
  </si>
  <si>
    <t>tapijt</t>
  </si>
  <si>
    <t>marmoleum/beton</t>
  </si>
  <si>
    <t xml:space="preserve">marmoleum </t>
  </si>
  <si>
    <t>vloer scheikundelokaal (B.04 / B.05)</t>
  </si>
  <si>
    <t>extra mopbeurt per week (totaal 168,0 m²)</t>
  </si>
  <si>
    <t>OT</t>
  </si>
  <si>
    <t>ja</t>
  </si>
  <si>
    <t>algemeen medewerker schoonmaakonderhoud I</t>
  </si>
  <si>
    <t>n.v.t.</t>
  </si>
  <si>
    <t>n.v.t</t>
  </si>
  <si>
    <t>RSG Levant</t>
  </si>
  <si>
    <t>BT</t>
  </si>
  <si>
    <t>nee</t>
  </si>
  <si>
    <t>Bouwdeel A</t>
  </si>
  <si>
    <t>Bouwdeel B</t>
  </si>
  <si>
    <t>Bouwdeel C</t>
  </si>
  <si>
    <t>Bouwdeel D</t>
  </si>
  <si>
    <t>Schotweg 1</t>
  </si>
  <si>
    <t>8162 GM</t>
  </si>
  <si>
    <t>Epe</t>
  </si>
  <si>
    <t>RSG N.O. Veluwe</t>
  </si>
  <si>
    <t>001</t>
  </si>
  <si>
    <t>002</t>
  </si>
  <si>
    <t>003</t>
  </si>
  <si>
    <t>Kantoor</t>
  </si>
  <si>
    <t>004</t>
  </si>
  <si>
    <t>005</t>
  </si>
  <si>
    <t>006</t>
  </si>
  <si>
    <t>Verdeelstation netspanning</t>
  </si>
  <si>
    <t>007</t>
  </si>
  <si>
    <t>Transformatorruimte</t>
  </si>
  <si>
    <t>008</t>
  </si>
  <si>
    <t>Schoonmaakkast</t>
  </si>
  <si>
    <t>009</t>
  </si>
  <si>
    <t>Centrale hal / garderobe A</t>
  </si>
  <si>
    <t>010</t>
  </si>
  <si>
    <t>Kleedruimte jongens</t>
  </si>
  <si>
    <t>011</t>
  </si>
  <si>
    <t>Was/doucheruimte jongens</t>
  </si>
  <si>
    <t>012</t>
  </si>
  <si>
    <t>013</t>
  </si>
  <si>
    <t>Toilet jongens</t>
  </si>
  <si>
    <t>014</t>
  </si>
  <si>
    <t>015</t>
  </si>
  <si>
    <t>016</t>
  </si>
  <si>
    <t>017</t>
  </si>
  <si>
    <t>Doucheruimte docenten LO</t>
  </si>
  <si>
    <t>018</t>
  </si>
  <si>
    <t>019</t>
  </si>
  <si>
    <t>Kleedruimte meisjes</t>
  </si>
  <si>
    <t>020</t>
  </si>
  <si>
    <t>Was/doucheruimte meisjes</t>
  </si>
  <si>
    <t>021</t>
  </si>
  <si>
    <t>022</t>
  </si>
  <si>
    <t>Toilet meisjes</t>
  </si>
  <si>
    <t>023</t>
  </si>
  <si>
    <t>024</t>
  </si>
  <si>
    <t>025</t>
  </si>
  <si>
    <t>026</t>
  </si>
  <si>
    <t>Techniekruimte</t>
  </si>
  <si>
    <t>027</t>
  </si>
  <si>
    <t>Buitenberging</t>
  </si>
  <si>
    <t>028</t>
  </si>
  <si>
    <t>029</t>
  </si>
  <si>
    <t>030</t>
  </si>
  <si>
    <t>Boekenhok</t>
  </si>
  <si>
    <t>031</t>
  </si>
  <si>
    <t>Kantoor sport</t>
  </si>
  <si>
    <t>032</t>
  </si>
  <si>
    <t>033</t>
  </si>
  <si>
    <t>Lokaal muziek</t>
  </si>
  <si>
    <t>034</t>
  </si>
  <si>
    <t>Berging muzieklokaal</t>
  </si>
  <si>
    <t>035</t>
  </si>
  <si>
    <t>036</t>
  </si>
  <si>
    <t>037</t>
  </si>
  <si>
    <t>Podium</t>
  </si>
  <si>
    <t>038</t>
  </si>
  <si>
    <t>039</t>
  </si>
  <si>
    <t>Hal C / D / E / F</t>
  </si>
  <si>
    <t>Gang B</t>
  </si>
  <si>
    <t>001a</t>
  </si>
  <si>
    <t>001b</t>
  </si>
  <si>
    <t>Postruimte personeel</t>
  </si>
  <si>
    <t>Lokaal theorie</t>
  </si>
  <si>
    <t>Kabinet biologie</t>
  </si>
  <si>
    <t>Lokaal biologie</t>
  </si>
  <si>
    <t>Trap</t>
  </si>
  <si>
    <t>007a</t>
  </si>
  <si>
    <t>Lokaal handvaardigheid</t>
  </si>
  <si>
    <t>Opslagruimte lokaal handv.</t>
  </si>
  <si>
    <t>Toilet personeel</t>
  </si>
  <si>
    <t>Berging handvaardigheid</t>
  </si>
  <si>
    <t>Toilet miva</t>
  </si>
  <si>
    <t>Gang G / H / I</t>
  </si>
  <si>
    <t>013a</t>
  </si>
  <si>
    <t>Mediatheek</t>
  </si>
  <si>
    <t>ICT ondersteuning</t>
  </si>
  <si>
    <t>013b</t>
  </si>
  <si>
    <t>Balie mediatheek</t>
  </si>
  <si>
    <t>Docentenwerkplekken</t>
  </si>
  <si>
    <t>Uitgifte keuken</t>
  </si>
  <si>
    <t>Collegezaal</t>
  </si>
  <si>
    <t>Open Leer Centrum</t>
  </si>
  <si>
    <t>Gang J / M / N</t>
  </si>
  <si>
    <t>Lokaal groen</t>
  </si>
  <si>
    <t>Verblijf kleine dieren</t>
  </si>
  <si>
    <t>Lokaal elektro</t>
  </si>
  <si>
    <t>Berging / techniek</t>
  </si>
  <si>
    <t>Praktijklokaal elektro</t>
  </si>
  <si>
    <t>Entresol elektro</t>
  </si>
  <si>
    <t>Buitenberging/techniek</t>
  </si>
  <si>
    <t>Lokaal techniek</t>
  </si>
  <si>
    <t>Berging Natuur en Techniek</t>
  </si>
  <si>
    <t>Hal S</t>
  </si>
  <si>
    <t>Lokaal gezondheid</t>
  </si>
  <si>
    <t>021/026/027</t>
  </si>
  <si>
    <t>Praktijklokaal hout</t>
  </si>
  <si>
    <t>022/023</t>
  </si>
  <si>
    <t>Opslagruimte bouw</t>
  </si>
  <si>
    <t>024/025</t>
  </si>
  <si>
    <t>Praktijklokaal metselen</t>
  </si>
  <si>
    <t>Houtmotafzuiginstallatie</t>
  </si>
  <si>
    <t>Kantoor concierge</t>
  </si>
  <si>
    <t>Hal O</t>
  </si>
  <si>
    <t>Trap P</t>
  </si>
  <si>
    <t>Gang Q</t>
  </si>
  <si>
    <t>Gang R</t>
  </si>
  <si>
    <t>101</t>
  </si>
  <si>
    <t>102</t>
  </si>
  <si>
    <t>103</t>
  </si>
  <si>
    <t>104</t>
  </si>
  <si>
    <t>105</t>
  </si>
  <si>
    <t>Kantoor controller</t>
  </si>
  <si>
    <t>Gang T</t>
  </si>
  <si>
    <t>Trap F</t>
  </si>
  <si>
    <t>101a</t>
  </si>
  <si>
    <t>Lokaal Beeldende Vorming</t>
  </si>
  <si>
    <t>101b</t>
  </si>
  <si>
    <t>Berging Beeldende Vorming</t>
  </si>
  <si>
    <t>Praktijklokaal natuurkunde</t>
  </si>
  <si>
    <t>106</t>
  </si>
  <si>
    <t>Kabinet</t>
  </si>
  <si>
    <t>107</t>
  </si>
  <si>
    <t>108</t>
  </si>
  <si>
    <t>109</t>
  </si>
  <si>
    <t>Opslagruimte Scheikunde</t>
  </si>
  <si>
    <t>110</t>
  </si>
  <si>
    <t>Lokaal Informatica</t>
  </si>
  <si>
    <t>111</t>
  </si>
  <si>
    <t>112</t>
  </si>
  <si>
    <t>113</t>
  </si>
  <si>
    <t>Systeembeheer</t>
  </si>
  <si>
    <t>114</t>
  </si>
  <si>
    <t>115</t>
  </si>
  <si>
    <t>116</t>
  </si>
  <si>
    <t>Lift (zie BG)</t>
  </si>
  <si>
    <t>117</t>
  </si>
  <si>
    <t>Techniekruimte lift</t>
  </si>
  <si>
    <t>118</t>
  </si>
  <si>
    <t>Lokaal scheikunde</t>
  </si>
  <si>
    <t>Gang U / V</t>
  </si>
  <si>
    <t>Traphal H</t>
  </si>
  <si>
    <t>Opvanglokaal</t>
  </si>
  <si>
    <t>Lokaal dyslexie</t>
  </si>
  <si>
    <t>Kantoor ICT</t>
  </si>
  <si>
    <t>Traphal L</t>
  </si>
  <si>
    <t>Trap M</t>
  </si>
  <si>
    <t>Gang X</t>
  </si>
  <si>
    <t>Gang Z</t>
  </si>
  <si>
    <t>Gang AA</t>
  </si>
  <si>
    <t>Gang W</t>
  </si>
  <si>
    <t>Lokaal economie</t>
  </si>
  <si>
    <t>Berging economie</t>
  </si>
  <si>
    <t>Praktijk reisbureau</t>
  </si>
  <si>
    <t>Serverruimte ICT</t>
  </si>
  <si>
    <t>Archiefruimte</t>
  </si>
  <si>
    <t>Kantoor management ass.</t>
  </si>
  <si>
    <t>119</t>
  </si>
  <si>
    <t>Kantoor rector</t>
  </si>
  <si>
    <t>120</t>
  </si>
  <si>
    <t>Kantoor plv. rector</t>
  </si>
  <si>
    <t>121</t>
  </si>
  <si>
    <t>122</t>
  </si>
  <si>
    <t>123</t>
  </si>
  <si>
    <t>124 / 135</t>
  </si>
  <si>
    <t>Lokaal Zorg &amp; Welzijn</t>
  </si>
  <si>
    <t>125</t>
  </si>
  <si>
    <t>d131</t>
  </si>
  <si>
    <t>Leskeuken</t>
  </si>
  <si>
    <t>d132</t>
  </si>
  <si>
    <t>d133</t>
  </si>
  <si>
    <t>d134</t>
  </si>
  <si>
    <t>d136</t>
  </si>
  <si>
    <t>137</t>
  </si>
  <si>
    <t>138</t>
  </si>
  <si>
    <t>139</t>
  </si>
  <si>
    <t>Restaurant</t>
  </si>
  <si>
    <t>140</t>
  </si>
  <si>
    <t>Bar restaurant</t>
  </si>
  <si>
    <t>Gang BB</t>
  </si>
  <si>
    <t>Traphal P</t>
  </si>
  <si>
    <t>Gang S</t>
  </si>
  <si>
    <t>Begane Grond</t>
  </si>
  <si>
    <t>1e verdieping</t>
  </si>
  <si>
    <t>l</t>
  </si>
  <si>
    <t>lino</t>
  </si>
  <si>
    <t>tegel</t>
  </si>
  <si>
    <t>sportvloer</t>
  </si>
  <si>
    <t>pvc</t>
  </si>
  <si>
    <t>strizo</t>
  </si>
  <si>
    <t>steen</t>
  </si>
  <si>
    <t>gecoat beton</t>
  </si>
  <si>
    <t>hout</t>
  </si>
  <si>
    <t>lino / beton</t>
  </si>
  <si>
    <t>gevelglas patio dubbelzijdig</t>
  </si>
  <si>
    <t>separatieglas branddeuren dubbelzijdig</t>
  </si>
  <si>
    <t xml:space="preserve">Onbepaalde tijd </t>
  </si>
  <si>
    <t>15,00 uur obv 40 wkn per jaar</t>
  </si>
  <si>
    <t>Meewerkend voordame</t>
  </si>
  <si>
    <t>nvt</t>
  </si>
  <si>
    <t>Ja</t>
  </si>
  <si>
    <t xml:space="preserve">17,5 uur obv 40 wkn per jaar </t>
  </si>
  <si>
    <t>Algemeen schoonmaker</t>
  </si>
  <si>
    <t>10 uur obv 40 wkn per jaar</t>
  </si>
  <si>
    <t>11,25 uur obv 40 wkn per jaar</t>
  </si>
  <si>
    <t xml:space="preserve">1e bepaalde tijd </t>
  </si>
  <si>
    <t xml:space="preserve">15 uur obv 40 wkn per jaar </t>
  </si>
  <si>
    <t>Nee</t>
  </si>
  <si>
    <t>2029</t>
  </si>
  <si>
    <t>Glasbewassing
Kosten / jaar</t>
  </si>
  <si>
    <t>Gewogen
indexering</t>
  </si>
  <si>
    <t>Studentencontract tot 23-8-2023</t>
  </si>
  <si>
    <t>onbepaald</t>
  </si>
  <si>
    <t>medewerker algemene schoonmaak</t>
  </si>
  <si>
    <t>assistent meewerkend voorvrouw</t>
  </si>
  <si>
    <t>meewerkend voorvrouw</t>
  </si>
  <si>
    <t>Vakantieschoonmaak ivm gedeeltelijke openstelling</t>
  </si>
  <si>
    <t>aantal uren</t>
  </si>
  <si>
    <t>Inzet wordt voor elke vakantie onderling besproken</t>
  </si>
  <si>
    <t>T1</t>
  </si>
  <si>
    <t>Tuckerpool</t>
  </si>
  <si>
    <t>Harde vloeren (pvc)</t>
  </si>
  <si>
    <t>Harde vloeren (steen)</t>
  </si>
  <si>
    <t>Handelingen dieptereiniging 2 x per jaar (sanitair units incl was- en doucheruimten)</t>
  </si>
  <si>
    <t>Vierkante meters betreffen een schatting en dienen bij de eerste glasbewassingsbeurt ingemeten te worden door opdrachtnemer</t>
  </si>
  <si>
    <t>Spaaruren-regeling</t>
  </si>
  <si>
    <t>Soort arbeids-overeenkomst</t>
  </si>
  <si>
    <t>Scholencontract</t>
  </si>
  <si>
    <t>€ 5,25 per 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</si>
</sst>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&quot;fl&quot;\ * #,##0.00_-;_-&quot;fl&quot;\ * #,##0.00\-;_-&quot;fl&quot;\ * &quot;-&quot;??_-;_-@_-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00"/>
    <numFmt numFmtId="170" formatCode="0.000%"/>
    <numFmt numFmtId="171" formatCode="_([$€]* #,##0.00_);_([$€]* \(#,##0.00\);_([$€]* &quot;-&quot;??_);_(@_)"/>
    <numFmt numFmtId="172" formatCode="_-[$€-2]\ * #,##0.00_-;_-[$€-2]\ * #,##0.00\-;_-[$€-2]\ * &quot;-&quot;??_-;_-@_-"/>
    <numFmt numFmtId="173" formatCode="_ [$€-413]\ * #,##0.00_ ;_ [$€-413]\ * \-#,##0.00_ ;_ [$€-413]\ * &quot;-&quot;??_ ;_ @_ "/>
    <numFmt numFmtId="174" formatCode="0\ &quot;m2&quot;"/>
    <numFmt numFmtId="175" formatCode="_-&quot;F&quot;\ * #,##0_-;_-&quot;F&quot;\ * #,##0\-;_-&quot;F&quot;\ * &quot;-&quot;_-;_-@_-"/>
    <numFmt numFmtId="176" formatCode="_-&quot;F&quot;\ * #,##0.00_-;_-&quot;F&quot;\ * #,##0.00\-;_-&quot;F&quot;\ * &quot;-&quot;??_-;_-@_-"/>
    <numFmt numFmtId="177" formatCode="General\ &quot;m²&quot;"/>
    <numFmt numFmtId="178" formatCode="0.00\ &quot;m²&quot;"/>
    <numFmt numFmtId="179" formatCode="_(* #,##0_);_(* \(#,##0\);_(* &quot;-&quot;??_);_(@_)"/>
    <numFmt numFmtId="180" formatCode="#,##0.0"/>
    <numFmt numFmtId="181" formatCode="#,##0_ ;\-#,##0\ "/>
    <numFmt numFmtId="182" formatCode="#,##0.0_ ;\-#,##0.0\ "/>
    <numFmt numFmtId="183" formatCode="_ [$€-2]\ * #,##0.00_ ;_ [$€-2]\ * \-#,##0.00_ ;_ [$€-2]\ * &quot;-&quot;??_ ;_ @_ "/>
    <numFmt numFmtId="184" formatCode="&quot;€&quot;\ #,##0.00"/>
    <numFmt numFmtId="185" formatCode="_(* #,##0.0_);_(* \(#,##0.0\);_(* &quot;-&quot;??_);_(@_)"/>
  </numFmts>
  <fonts count="5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36"/>
      <name val="Univers"/>
      <family val="2"/>
    </font>
    <font>
      <b/>
      <sz val="10"/>
      <name val="Arial"/>
      <family val="2"/>
    </font>
    <font>
      <sz val="9"/>
      <name val="Humnst777 BT"/>
      <family val="2"/>
    </font>
    <font>
      <sz val="10"/>
      <name val="Courier"/>
      <family val="3"/>
    </font>
    <font>
      <b/>
      <sz val="11"/>
      <color indexed="9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Verdana"/>
      <family val="2"/>
    </font>
    <font>
      <b/>
      <u/>
      <sz val="9"/>
      <name val="Verdana"/>
      <family val="2"/>
    </font>
    <font>
      <b/>
      <sz val="9"/>
      <name val="Verdana"/>
      <family val="2"/>
    </font>
    <font>
      <sz val="9"/>
      <color indexed="9"/>
      <name val="Verdana"/>
      <family val="2"/>
    </font>
    <font>
      <u/>
      <sz val="9"/>
      <name val="Verdana"/>
      <family val="2"/>
    </font>
    <font>
      <vertAlign val="superscript"/>
      <sz val="9"/>
      <name val="Verdana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b/>
      <u/>
      <sz val="12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9"/>
      <color theme="1"/>
      <name val="Verdana"/>
      <family val="2"/>
    </font>
    <font>
      <sz val="9"/>
      <color theme="4"/>
      <name val="Verdana"/>
      <family val="2"/>
    </font>
    <font>
      <b/>
      <sz val="12"/>
      <color theme="0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sz val="9"/>
      <name val="Geneva"/>
    </font>
    <font>
      <sz val="10"/>
      <color indexed="8"/>
      <name val="Arial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9"/>
      <color rgb="FFFFFFFF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0.249977111117893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F81BD"/>
        <bgColor indexed="64"/>
      </patternFill>
    </fill>
  </fills>
  <borders count="3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10" fillId="0" borderId="0"/>
    <xf numFmtId="17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68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5" fillId="0" borderId="0">
      <alignment horizontal="center" vertical="center" textRotation="90" wrapText="1"/>
    </xf>
    <xf numFmtId="0" fontId="12" fillId="2" borderId="1"/>
    <xf numFmtId="174" fontId="6" fillId="0" borderId="0"/>
    <xf numFmtId="0" fontId="13" fillId="0" borderId="0" applyNumberFormat="0" applyBorder="0">
      <protection locked="0"/>
    </xf>
    <xf numFmtId="0" fontId="14" fillId="0" borderId="0"/>
    <xf numFmtId="0" fontId="15" fillId="3" borderId="2" applyNumberFormat="0" applyFont="0" applyFill="0" applyBorder="0" applyAlignment="0">
      <alignment horizontal="right"/>
    </xf>
    <xf numFmtId="0" fontId="12" fillId="4" borderId="3" applyNumberFormat="0" applyFont="0" applyBorder="0">
      <alignment horizontal="center"/>
    </xf>
    <xf numFmtId="0" fontId="8" fillId="0" borderId="0"/>
    <xf numFmtId="0" fontId="19" fillId="0" borderId="0"/>
    <xf numFmtId="0" fontId="2" fillId="0" borderId="0"/>
    <xf numFmtId="167" fontId="2" fillId="0" borderId="0" applyFont="0" applyFill="0" applyBorder="0" applyAlignment="0" applyProtection="0"/>
    <xf numFmtId="175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2" borderId="1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3" fillId="0" borderId="0"/>
    <xf numFmtId="0" fontId="51" fillId="0" borderId="0" applyNumberFormat="0" applyFont="0" applyFill="0" applyBorder="0" applyAlignment="0" applyProtection="0"/>
  </cellStyleXfs>
  <cellXfs count="350">
    <xf numFmtId="0" fontId="0" fillId="0" borderId="0" xfId="0"/>
    <xf numFmtId="0" fontId="22" fillId="0" borderId="0" xfId="0" applyFont="1"/>
    <xf numFmtId="0" fontId="28" fillId="0" borderId="0" xfId="29" applyFont="1"/>
    <xf numFmtId="0" fontId="22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2" fontId="22" fillId="0" borderId="0" xfId="0" applyNumberFormat="1" applyFont="1"/>
    <xf numFmtId="0" fontId="22" fillId="0" borderId="0" xfId="30" applyFont="1" applyAlignment="1">
      <alignment vertical="center"/>
    </xf>
    <xf numFmtId="164" fontId="22" fillId="5" borderId="9" xfId="0" applyNumberFormat="1" applyFont="1" applyFill="1" applyBorder="1" applyAlignment="1">
      <alignment horizontal="left" vertical="center"/>
    </xf>
    <xf numFmtId="10" fontId="22" fillId="5" borderId="9" xfId="0" applyNumberFormat="1" applyFont="1" applyFill="1" applyBorder="1" applyAlignment="1">
      <alignment horizontal="center" vertical="center"/>
    </xf>
    <xf numFmtId="10" fontId="22" fillId="0" borderId="9" xfId="0" applyNumberFormat="1" applyFont="1" applyBorder="1" applyAlignment="1">
      <alignment horizontal="center" vertical="center"/>
    </xf>
    <xf numFmtId="173" fontId="22" fillId="0" borderId="9" xfId="0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9" fontId="22" fillId="0" borderId="9" xfId="0" applyNumberFormat="1" applyFont="1" applyBorder="1" applyAlignment="1">
      <alignment horizontal="center" vertical="center"/>
    </xf>
    <xf numFmtId="173" fontId="22" fillId="0" borderId="9" xfId="0" applyNumberFormat="1" applyFont="1" applyBorder="1" applyAlignment="1" applyProtection="1">
      <alignment vertical="center"/>
      <protection locked="0"/>
    </xf>
    <xf numFmtId="173" fontId="22" fillId="0" borderId="9" xfId="2" applyNumberFormat="1" applyFont="1" applyBorder="1" applyAlignment="1" applyProtection="1">
      <alignment horizontal="left" vertical="center"/>
      <protection hidden="1"/>
    </xf>
    <xf numFmtId="0" fontId="22" fillId="0" borderId="9" xfId="0" applyFont="1" applyBorder="1" applyAlignment="1">
      <alignment horizontal="left" vertical="center"/>
    </xf>
    <xf numFmtId="0" fontId="22" fillId="0" borderId="0" xfId="30" applyFont="1" applyAlignment="1">
      <alignment vertical="center" wrapText="1"/>
    </xf>
    <xf numFmtId="0" fontId="22" fillId="0" borderId="0" xfId="3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wrapText="1"/>
    </xf>
    <xf numFmtId="2" fontId="22" fillId="0" borderId="0" xfId="0" applyNumberFormat="1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164" fontId="22" fillId="0" borderId="0" xfId="8" applyFont="1" applyAlignment="1">
      <alignment vertical="center"/>
    </xf>
    <xf numFmtId="0" fontId="24" fillId="0" borderId="0" xfId="0" applyFont="1" applyAlignment="1">
      <alignment vertical="center"/>
    </xf>
    <xf numFmtId="3" fontId="22" fillId="0" borderId="0" xfId="0" applyNumberFormat="1" applyFont="1" applyAlignment="1">
      <alignment horizontal="center" vertical="center"/>
    </xf>
    <xf numFmtId="2" fontId="25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horizontal="left" vertical="center"/>
    </xf>
    <xf numFmtId="164" fontId="22" fillId="6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3" fontId="22" fillId="0" borderId="0" xfId="8" applyNumberFormat="1" applyFont="1" applyAlignment="1">
      <alignment vertical="center"/>
    </xf>
    <xf numFmtId="0" fontId="29" fillId="0" borderId="0" xfId="29" applyFont="1"/>
    <xf numFmtId="0" fontId="28" fillId="0" borderId="0" xfId="29" applyFont="1" applyAlignment="1">
      <alignment horizontal="center" vertical="center"/>
    </xf>
    <xf numFmtId="173" fontId="32" fillId="9" borderId="13" xfId="0" applyNumberFormat="1" applyFont="1" applyFill="1" applyBorder="1" applyAlignment="1">
      <alignment horizontal="center" vertical="center" wrapText="1"/>
    </xf>
    <xf numFmtId="1" fontId="33" fillId="8" borderId="0" xfId="30" applyNumberFormat="1" applyFont="1" applyFill="1" applyAlignment="1">
      <alignment horizontal="center" vertical="center"/>
    </xf>
    <xf numFmtId="0" fontId="33" fillId="8" borderId="0" xfId="30" applyFont="1" applyFill="1" applyAlignment="1">
      <alignment horizontal="left" vertical="center"/>
    </xf>
    <xf numFmtId="1" fontId="33" fillId="7" borderId="0" xfId="30" applyNumberFormat="1" applyFont="1" applyFill="1" applyAlignment="1">
      <alignment horizontal="center" vertical="center"/>
    </xf>
    <xf numFmtId="0" fontId="33" fillId="7" borderId="0" xfId="30" applyFont="1" applyFill="1" applyAlignment="1">
      <alignment horizontal="left" vertical="center"/>
    </xf>
    <xf numFmtId="0" fontId="32" fillId="9" borderId="0" xfId="0" applyFont="1" applyFill="1" applyAlignment="1">
      <alignment horizontal="center" vertical="center" wrapText="1"/>
    </xf>
    <xf numFmtId="0" fontId="32" fillId="9" borderId="0" xfId="0" applyFont="1" applyFill="1" applyAlignment="1">
      <alignment vertical="center" wrapText="1"/>
    </xf>
    <xf numFmtId="164" fontId="32" fillId="9" borderId="0" xfId="0" applyNumberFormat="1" applyFont="1" applyFill="1" applyAlignment="1">
      <alignment horizontal="center" vertical="center" wrapText="1"/>
    </xf>
    <xf numFmtId="0" fontId="33" fillId="8" borderId="0" xfId="0" applyFont="1" applyFill="1" applyAlignment="1">
      <alignment horizontal="center" vertical="center"/>
    </xf>
    <xf numFmtId="0" fontId="33" fillId="8" borderId="0" xfId="0" applyFont="1" applyFill="1" applyAlignment="1">
      <alignment vertical="center"/>
    </xf>
    <xf numFmtId="164" fontId="33" fillId="5" borderId="0" xfId="0" applyNumberFormat="1" applyFont="1" applyFill="1" applyAlignment="1">
      <alignment horizontal="center" vertical="center"/>
    </xf>
    <xf numFmtId="0" fontId="33" fillId="7" borderId="0" xfId="0" applyFont="1" applyFill="1" applyAlignment="1">
      <alignment horizontal="center" vertical="center"/>
    </xf>
    <xf numFmtId="0" fontId="33" fillId="7" borderId="0" xfId="0" applyFont="1" applyFill="1" applyAlignment="1">
      <alignment vertical="center"/>
    </xf>
    <xf numFmtId="0" fontId="33" fillId="8" borderId="0" xfId="0" applyFont="1" applyFill="1" applyAlignment="1">
      <alignment horizontal="left" vertical="center"/>
    </xf>
    <xf numFmtId="4" fontId="33" fillId="7" borderId="0" xfId="0" applyNumberFormat="1" applyFont="1" applyFill="1" applyAlignment="1">
      <alignment horizontal="left" vertical="center"/>
    </xf>
    <xf numFmtId="4" fontId="33" fillId="8" borderId="0" xfId="0" applyNumberFormat="1" applyFont="1" applyFill="1" applyAlignment="1">
      <alignment horizontal="left" vertical="center"/>
    </xf>
    <xf numFmtId="0" fontId="33" fillId="7" borderId="0" xfId="0" applyFont="1" applyFill="1" applyAlignment="1">
      <alignment horizontal="left" vertical="center"/>
    </xf>
    <xf numFmtId="4" fontId="32" fillId="9" borderId="0" xfId="0" applyNumberFormat="1" applyFont="1" applyFill="1" applyAlignment="1">
      <alignment horizontal="center" vertical="center" wrapText="1"/>
    </xf>
    <xf numFmtId="164" fontId="32" fillId="9" borderId="0" xfId="8" applyFont="1" applyFill="1" applyBorder="1" applyAlignment="1">
      <alignment horizontal="center" vertical="center" wrapText="1"/>
    </xf>
    <xf numFmtId="0" fontId="22" fillId="6" borderId="0" xfId="0" applyFont="1" applyFill="1"/>
    <xf numFmtId="0" fontId="22" fillId="6" borderId="0" xfId="0" applyFont="1" applyFill="1" applyAlignment="1">
      <alignment horizontal="center"/>
    </xf>
    <xf numFmtId="0" fontId="22" fillId="6" borderId="0" xfId="0" applyFont="1" applyFill="1" applyAlignment="1">
      <alignment wrapText="1"/>
    </xf>
    <xf numFmtId="0" fontId="22" fillId="0" borderId="0" xfId="0" applyFont="1" applyAlignment="1">
      <alignment horizontal="center" vertical="center" textRotation="90"/>
    </xf>
    <xf numFmtId="0" fontId="30" fillId="0" borderId="0" xfId="30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textRotation="90" wrapText="1"/>
    </xf>
    <xf numFmtId="173" fontId="22" fillId="5" borderId="0" xfId="0" applyNumberFormat="1" applyFont="1" applyFill="1" applyAlignment="1">
      <alignment vertical="center"/>
    </xf>
    <xf numFmtId="0" fontId="22" fillId="6" borderId="0" xfId="0" applyFont="1" applyFill="1" applyAlignment="1">
      <alignment horizontal="center" vertical="center" textRotation="90"/>
    </xf>
    <xf numFmtId="0" fontId="22" fillId="6" borderId="0" xfId="0" applyFont="1" applyFill="1" applyAlignment="1">
      <alignment vertical="center"/>
    </xf>
    <xf numFmtId="168" fontId="22" fillId="0" borderId="0" xfId="19" applyFont="1" applyFill="1" applyBorder="1" applyAlignment="1">
      <alignment horizontal="center" vertical="center" wrapText="1"/>
    </xf>
    <xf numFmtId="173" fontId="22" fillId="0" borderId="0" xfId="0" applyNumberFormat="1" applyFont="1" applyAlignment="1">
      <alignment horizontal="center" vertical="center" wrapText="1"/>
    </xf>
    <xf numFmtId="2" fontId="22" fillId="6" borderId="0" xfId="0" applyNumberFormat="1" applyFont="1" applyFill="1"/>
    <xf numFmtId="2" fontId="24" fillId="6" borderId="0" xfId="0" applyNumberFormat="1" applyFont="1" applyFill="1" applyAlignment="1">
      <alignment vertical="center"/>
    </xf>
    <xf numFmtId="0" fontId="22" fillId="6" borderId="0" xfId="0" applyFont="1" applyFill="1" applyAlignment="1">
      <alignment horizontal="center" vertical="center"/>
    </xf>
    <xf numFmtId="0" fontId="32" fillId="10" borderId="9" xfId="0" applyFont="1" applyFill="1" applyBorder="1" applyAlignment="1">
      <alignment horizontal="center" vertical="center" wrapText="1"/>
    </xf>
    <xf numFmtId="170" fontId="32" fillId="10" borderId="9" xfId="0" applyNumberFormat="1" applyFont="1" applyFill="1" applyBorder="1" applyAlignment="1">
      <alignment horizontal="center" vertical="center" wrapText="1"/>
    </xf>
    <xf numFmtId="0" fontId="31" fillId="10" borderId="7" xfId="0" applyFont="1" applyFill="1" applyBorder="1" applyAlignment="1">
      <alignment vertical="center" wrapText="1"/>
    </xf>
    <xf numFmtId="0" fontId="31" fillId="10" borderId="4" xfId="0" applyFont="1" applyFill="1" applyBorder="1" applyAlignment="1">
      <alignment vertical="center" wrapText="1"/>
    </xf>
    <xf numFmtId="0" fontId="22" fillId="0" borderId="0" xfId="30" applyFont="1" applyAlignment="1">
      <alignment horizontal="center" vertical="center" wrapText="1"/>
    </xf>
    <xf numFmtId="0" fontId="24" fillId="6" borderId="0" xfId="0" applyFont="1" applyFill="1" applyAlignment="1">
      <alignment horizontal="left" vertical="center"/>
    </xf>
    <xf numFmtId="2" fontId="24" fillId="5" borderId="0" xfId="0" applyNumberFormat="1" applyFont="1" applyFill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2" fontId="24" fillId="6" borderId="0" xfId="0" applyNumberFormat="1" applyFont="1" applyFill="1" applyAlignment="1">
      <alignment horizontal="center" vertical="center"/>
    </xf>
    <xf numFmtId="0" fontId="23" fillId="0" borderId="0" xfId="30" applyFont="1" applyAlignment="1">
      <alignment horizontal="center" vertical="center"/>
    </xf>
    <xf numFmtId="9" fontId="24" fillId="5" borderId="0" xfId="38" applyFont="1" applyFill="1" applyBorder="1" applyAlignment="1">
      <alignment horizontal="center" vertical="center"/>
    </xf>
    <xf numFmtId="2" fontId="22" fillId="6" borderId="0" xfId="0" applyNumberFormat="1" applyFont="1" applyFill="1" applyAlignment="1">
      <alignment vertical="center"/>
    </xf>
    <xf numFmtId="17" fontId="22" fillId="6" borderId="0" xfId="0" applyNumberFormat="1" applyFont="1" applyFill="1" applyAlignment="1">
      <alignment horizontal="center" vertical="center"/>
    </xf>
    <xf numFmtId="177" fontId="22" fillId="6" borderId="0" xfId="0" applyNumberFormat="1" applyFont="1" applyFill="1" applyAlignment="1">
      <alignment vertical="center"/>
    </xf>
    <xf numFmtId="177" fontId="22" fillId="6" borderId="0" xfId="0" applyNumberFormat="1" applyFont="1" applyFill="1" applyAlignment="1">
      <alignment horizontal="center" vertical="center"/>
    </xf>
    <xf numFmtId="178" fontId="22" fillId="0" borderId="0" xfId="0" applyNumberFormat="1" applyFont="1" applyAlignment="1">
      <alignment vertical="center"/>
    </xf>
    <xf numFmtId="0" fontId="22" fillId="0" borderId="0" xfId="0" applyFont="1" applyAlignment="1" applyProtection="1">
      <alignment horizontal="center" vertical="center"/>
      <protection hidden="1"/>
    </xf>
    <xf numFmtId="1" fontId="22" fillId="0" borderId="0" xfId="0" applyNumberFormat="1" applyFont="1" applyAlignment="1">
      <alignment horizontal="center" vertical="center"/>
    </xf>
    <xf numFmtId="179" fontId="22" fillId="0" borderId="0" xfId="19" applyNumberFormat="1" applyFont="1" applyFill="1" applyBorder="1" applyAlignment="1" applyProtection="1">
      <alignment horizontal="center" vertical="center"/>
      <protection hidden="1"/>
    </xf>
    <xf numFmtId="2" fontId="22" fillId="0" borderId="0" xfId="0" applyNumberFormat="1" applyFont="1" applyAlignment="1" applyProtection="1">
      <alignment horizontal="center" vertical="center"/>
      <protection hidden="1"/>
    </xf>
    <xf numFmtId="164" fontId="22" fillId="0" borderId="0" xfId="0" applyNumberFormat="1" applyFont="1" applyAlignment="1" applyProtection="1">
      <alignment horizontal="right" vertical="center"/>
      <protection hidden="1"/>
    </xf>
    <xf numFmtId="169" fontId="22" fillId="0" borderId="0" xfId="0" applyNumberFormat="1" applyFont="1" applyAlignment="1" applyProtection="1">
      <alignment horizontal="center" vertical="center"/>
      <protection hidden="1"/>
    </xf>
    <xf numFmtId="168" fontId="22" fillId="0" borderId="0" xfId="19" applyFont="1" applyFill="1" applyBorder="1" applyAlignment="1" applyProtection="1">
      <alignment horizontal="right" vertical="center"/>
      <protection hidden="1"/>
    </xf>
    <xf numFmtId="164" fontId="22" fillId="0" borderId="0" xfId="0" applyNumberFormat="1" applyFont="1" applyAlignment="1">
      <alignment vertical="center"/>
    </xf>
    <xf numFmtId="178" fontId="22" fillId="0" borderId="0" xfId="0" applyNumberFormat="1" applyFont="1" applyAlignment="1">
      <alignment horizontal="center" vertical="center"/>
    </xf>
    <xf numFmtId="177" fontId="22" fillId="0" borderId="0" xfId="0" applyNumberFormat="1" applyFont="1" applyAlignment="1">
      <alignment vertical="center"/>
    </xf>
    <xf numFmtId="177" fontId="22" fillId="0" borderId="0" xfId="0" applyNumberFormat="1" applyFont="1" applyAlignment="1">
      <alignment horizontal="center" vertical="center"/>
    </xf>
    <xf numFmtId="0" fontId="22" fillId="0" borderId="0" xfId="0" applyFont="1" applyAlignment="1" applyProtection="1">
      <alignment vertical="center"/>
      <protection hidden="1"/>
    </xf>
    <xf numFmtId="169" fontId="22" fillId="0" borderId="0" xfId="0" applyNumberFormat="1" applyFont="1" applyAlignment="1" applyProtection="1">
      <alignment vertical="center"/>
      <protection hidden="1"/>
    </xf>
    <xf numFmtId="2" fontId="22" fillId="0" borderId="0" xfId="0" applyNumberFormat="1" applyFont="1" applyAlignment="1" applyProtection="1">
      <alignment vertical="center"/>
      <protection hidden="1"/>
    </xf>
    <xf numFmtId="168" fontId="22" fillId="0" borderId="0" xfId="19" applyFont="1" applyFill="1" applyBorder="1" applyAlignment="1">
      <alignment vertical="center"/>
    </xf>
    <xf numFmtId="173" fontId="22" fillId="0" borderId="0" xfId="0" applyNumberFormat="1" applyFont="1" applyAlignment="1">
      <alignment vertical="center"/>
    </xf>
    <xf numFmtId="0" fontId="31" fillId="9" borderId="17" xfId="0" applyFont="1" applyFill="1" applyBorder="1" applyAlignment="1">
      <alignment horizontal="center" vertical="center" wrapText="1"/>
    </xf>
    <xf numFmtId="9" fontId="36" fillId="5" borderId="20" xfId="38" applyFont="1" applyFill="1" applyBorder="1" applyAlignment="1">
      <alignment horizontal="center" vertical="center"/>
    </xf>
    <xf numFmtId="2" fontId="31" fillId="0" borderId="15" xfId="0" applyNumberFormat="1" applyFont="1" applyBorder="1" applyAlignment="1">
      <alignment vertical="center" wrapText="1"/>
    </xf>
    <xf numFmtId="2" fontId="31" fillId="0" borderId="16" xfId="0" applyNumberFormat="1" applyFont="1" applyBorder="1" applyAlignment="1">
      <alignment vertical="center" wrapText="1"/>
    </xf>
    <xf numFmtId="0" fontId="31" fillId="0" borderId="16" xfId="0" applyFont="1" applyBorder="1" applyAlignment="1">
      <alignment vertical="center" wrapText="1"/>
    </xf>
    <xf numFmtId="169" fontId="22" fillId="0" borderId="0" xfId="0" applyNumberFormat="1" applyFont="1" applyAlignment="1">
      <alignment vertical="center"/>
    </xf>
    <xf numFmtId="0" fontId="33" fillId="0" borderId="19" xfId="30" applyFont="1" applyBorder="1" applyAlignment="1">
      <alignment vertical="center"/>
    </xf>
    <xf numFmtId="0" fontId="33" fillId="0" borderId="18" xfId="30" applyFont="1" applyBorder="1" applyAlignment="1">
      <alignment horizontal="center" vertical="center"/>
    </xf>
    <xf numFmtId="2" fontId="22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2" fillId="6" borderId="0" xfId="0" applyFont="1" applyFill="1" applyAlignment="1">
      <alignment horizontal="left" vertical="center"/>
    </xf>
    <xf numFmtId="169" fontId="22" fillId="6" borderId="0" xfId="0" applyNumberFormat="1" applyFont="1" applyFill="1"/>
    <xf numFmtId="0" fontId="24" fillId="6" borderId="0" xfId="0" applyFont="1" applyFill="1" applyAlignment="1">
      <alignment horizontal="center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wrapText="1"/>
    </xf>
    <xf numFmtId="173" fontId="25" fillId="0" borderId="0" xfId="0" applyNumberFormat="1" applyFont="1" applyAlignment="1">
      <alignment horizontal="left" vertical="center"/>
    </xf>
    <xf numFmtId="173" fontId="22" fillId="6" borderId="0" xfId="0" applyNumberFormat="1" applyFont="1" applyFill="1" applyAlignment="1">
      <alignment horizontal="center" vertical="center"/>
    </xf>
    <xf numFmtId="173" fontId="32" fillId="9" borderId="0" xfId="8" applyNumberFormat="1" applyFont="1" applyFill="1" applyBorder="1" applyAlignment="1">
      <alignment horizontal="center" vertical="center" wrapText="1"/>
    </xf>
    <xf numFmtId="4" fontId="32" fillId="9" borderId="5" xfId="0" applyNumberFormat="1" applyFont="1" applyFill="1" applyBorder="1" applyAlignment="1">
      <alignment horizontal="center" vertical="center" wrapText="1"/>
    </xf>
    <xf numFmtId="0" fontId="32" fillId="9" borderId="9" xfId="0" applyFont="1" applyFill="1" applyBorder="1" applyAlignment="1">
      <alignment horizontal="center" vertical="center" wrapText="1"/>
    </xf>
    <xf numFmtId="0" fontId="32" fillId="9" borderId="9" xfId="0" applyFont="1" applyFill="1" applyBorder="1" applyAlignment="1">
      <alignment horizontal="left" vertical="center" wrapText="1"/>
    </xf>
    <xf numFmtId="168" fontId="32" fillId="9" borderId="9" xfId="19" applyFont="1" applyFill="1" applyBorder="1" applyAlignment="1">
      <alignment horizontal="center" vertical="center" wrapText="1"/>
    </xf>
    <xf numFmtId="173" fontId="32" fillId="9" borderId="9" xfId="0" applyNumberFormat="1" applyFont="1" applyFill="1" applyBorder="1" applyAlignment="1">
      <alignment horizontal="center" vertical="center" wrapText="1"/>
    </xf>
    <xf numFmtId="0" fontId="28" fillId="0" borderId="0" xfId="29" applyFont="1" applyAlignment="1">
      <alignment horizontal="center"/>
    </xf>
    <xf numFmtId="0" fontId="33" fillId="7" borderId="9" xfId="0" applyFont="1" applyFill="1" applyBorder="1" applyAlignment="1">
      <alignment horizontal="left" vertical="center"/>
    </xf>
    <xf numFmtId="0" fontId="33" fillId="8" borderId="9" xfId="0" applyFont="1" applyFill="1" applyBorder="1" applyAlignment="1">
      <alignment horizontal="left" vertical="center"/>
    </xf>
    <xf numFmtId="0" fontId="22" fillId="7" borderId="9" xfId="0" applyFont="1" applyFill="1" applyBorder="1" applyAlignment="1">
      <alignment vertical="center"/>
    </xf>
    <xf numFmtId="183" fontId="22" fillId="7" borderId="9" xfId="0" applyNumberFormat="1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vertical="center"/>
    </xf>
    <xf numFmtId="0" fontId="22" fillId="7" borderId="4" xfId="0" applyFont="1" applyFill="1" applyBorder="1" applyAlignment="1">
      <alignment vertical="center"/>
    </xf>
    <xf numFmtId="0" fontId="22" fillId="7" borderId="14" xfId="0" applyFont="1" applyFill="1" applyBorder="1" applyAlignment="1">
      <alignment vertical="center"/>
    </xf>
    <xf numFmtId="0" fontId="33" fillId="0" borderId="0" xfId="0" applyFont="1" applyAlignment="1">
      <alignment horizontal="center" vertical="center" textRotation="90"/>
    </xf>
    <xf numFmtId="0" fontId="33" fillId="0" borderId="0" xfId="0" applyFont="1"/>
    <xf numFmtId="173" fontId="36" fillId="13" borderId="9" xfId="0" applyNumberFormat="1" applyFont="1" applyFill="1" applyBorder="1" applyAlignment="1">
      <alignment vertical="center"/>
    </xf>
    <xf numFmtId="170" fontId="33" fillId="13" borderId="9" xfId="0" applyNumberFormat="1" applyFont="1" applyFill="1" applyBorder="1" applyAlignment="1">
      <alignment horizontal="center" vertical="center"/>
    </xf>
    <xf numFmtId="171" fontId="33" fillId="13" borderId="9" xfId="2" applyFont="1" applyFill="1" applyBorder="1" applyAlignment="1" applyProtection="1">
      <alignment horizontal="left" vertical="center"/>
      <protection locked="0"/>
    </xf>
    <xf numFmtId="172" fontId="33" fillId="13" borderId="9" xfId="31" applyNumberFormat="1" applyFont="1" applyFill="1" applyBorder="1" applyAlignment="1" applyProtection="1">
      <alignment horizontal="left" vertical="center"/>
      <protection hidden="1"/>
    </xf>
    <xf numFmtId="170" fontId="33" fillId="13" borderId="9" xfId="0" applyNumberFormat="1" applyFont="1" applyFill="1" applyBorder="1" applyAlignment="1" applyProtection="1">
      <alignment horizontal="center" vertical="center"/>
      <protection locked="0"/>
    </xf>
    <xf numFmtId="172" fontId="33" fillId="13" borderId="9" xfId="2" applyNumberFormat="1" applyFont="1" applyFill="1" applyBorder="1" applyAlignment="1" applyProtection="1">
      <alignment horizontal="left" vertical="center"/>
      <protection hidden="1"/>
    </xf>
    <xf numFmtId="0" fontId="38" fillId="0" borderId="0" xfId="0" applyFont="1" applyAlignment="1">
      <alignment vertical="center"/>
    </xf>
    <xf numFmtId="2" fontId="22" fillId="0" borderId="0" xfId="0" applyNumberFormat="1" applyFont="1" applyAlignment="1">
      <alignment horizontal="center" vertical="center"/>
    </xf>
    <xf numFmtId="0" fontId="39" fillId="13" borderId="9" xfId="0" applyFont="1" applyFill="1" applyBorder="1" applyAlignment="1">
      <alignment horizontal="center" vertical="center"/>
    </xf>
    <xf numFmtId="0" fontId="39" fillId="13" borderId="9" xfId="0" applyFont="1" applyFill="1" applyBorder="1" applyAlignment="1">
      <alignment vertical="center"/>
    </xf>
    <xf numFmtId="173" fontId="39" fillId="13" borderId="9" xfId="0" applyNumberFormat="1" applyFont="1" applyFill="1" applyBorder="1" applyAlignment="1">
      <alignment vertical="center"/>
    </xf>
    <xf numFmtId="0" fontId="33" fillId="0" borderId="0" xfId="0" applyFont="1" applyAlignment="1">
      <alignment horizontal="left" vertical="center"/>
    </xf>
    <xf numFmtId="3" fontId="33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164" fontId="22" fillId="0" borderId="0" xfId="8" applyFont="1" applyAlignment="1">
      <alignment horizontal="right" vertical="center"/>
    </xf>
    <xf numFmtId="2" fontId="25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4" fontId="32" fillId="9" borderId="0" xfId="0" applyNumberFormat="1" applyFont="1" applyFill="1" applyAlignment="1">
      <alignment horizontal="right" vertical="center" wrapText="1"/>
    </xf>
    <xf numFmtId="4" fontId="33" fillId="0" borderId="0" xfId="0" applyNumberFormat="1" applyFont="1" applyAlignment="1">
      <alignment horizontal="right" vertical="center"/>
    </xf>
    <xf numFmtId="177" fontId="40" fillId="0" borderId="0" xfId="0" applyNumberFormat="1" applyFont="1" applyAlignment="1">
      <alignment vertical="center"/>
    </xf>
    <xf numFmtId="178" fontId="40" fillId="0" borderId="0" xfId="0" applyNumberFormat="1" applyFont="1" applyAlignment="1">
      <alignment horizontal="center" vertical="center"/>
    </xf>
    <xf numFmtId="177" fontId="40" fillId="0" borderId="0" xfId="0" applyNumberFormat="1" applyFont="1" applyAlignment="1">
      <alignment horizontal="center" vertical="center"/>
    </xf>
    <xf numFmtId="4" fontId="33" fillId="0" borderId="0" xfId="0" applyNumberFormat="1" applyFont="1" applyAlignment="1">
      <alignment horizontal="center" vertical="center"/>
    </xf>
    <xf numFmtId="173" fontId="28" fillId="0" borderId="0" xfId="29" applyNumberFormat="1" applyFont="1"/>
    <xf numFmtId="0" fontId="42" fillId="0" borderId="0" xfId="0" applyFont="1" applyAlignment="1">
      <alignment horizontal="left" vertical="center"/>
    </xf>
    <xf numFmtId="177" fontId="42" fillId="0" borderId="0" xfId="0" applyNumberFormat="1" applyFont="1" applyAlignment="1">
      <alignment vertical="center"/>
    </xf>
    <xf numFmtId="177" fontId="42" fillId="0" borderId="0" xfId="0" applyNumberFormat="1" applyFont="1" applyAlignment="1">
      <alignment horizontal="center" vertical="center"/>
    </xf>
    <xf numFmtId="0" fontId="22" fillId="0" borderId="9" xfId="0" applyFont="1" applyBorder="1" applyAlignment="1">
      <alignment vertical="center"/>
    </xf>
    <xf numFmtId="170" fontId="22" fillId="5" borderId="9" xfId="0" applyNumberFormat="1" applyFont="1" applyFill="1" applyBorder="1" applyAlignment="1">
      <alignment horizontal="center" vertical="center"/>
    </xf>
    <xf numFmtId="0" fontId="33" fillId="12" borderId="0" xfId="0" applyFont="1" applyFill="1" applyAlignment="1">
      <alignment horizontal="center" vertical="center"/>
    </xf>
    <xf numFmtId="0" fontId="33" fillId="12" borderId="0" xfId="0" applyFont="1" applyFill="1" applyAlignment="1">
      <alignment horizontal="left" vertical="center"/>
    </xf>
    <xf numFmtId="0" fontId="33" fillId="12" borderId="0" xfId="0" applyFont="1" applyFill="1" applyAlignment="1">
      <alignment vertical="center"/>
    </xf>
    <xf numFmtId="0" fontId="33" fillId="12" borderId="0" xfId="0" applyFont="1" applyFill="1" applyAlignment="1">
      <alignment horizontal="right" vertical="center"/>
    </xf>
    <xf numFmtId="173" fontId="33" fillId="12" borderId="0" xfId="0" applyNumberFormat="1" applyFont="1" applyFill="1" applyAlignment="1">
      <alignment horizontal="center" vertical="center"/>
    </xf>
    <xf numFmtId="0" fontId="31" fillId="10" borderId="9" xfId="0" applyFont="1" applyFill="1" applyBorder="1" applyAlignment="1">
      <alignment vertical="center" wrapText="1"/>
    </xf>
    <xf numFmtId="9" fontId="22" fillId="0" borderId="9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170" fontId="22" fillId="0" borderId="0" xfId="0" applyNumberFormat="1" applyFont="1" applyAlignment="1">
      <alignment vertical="center"/>
    </xf>
    <xf numFmtId="172" fontId="22" fillId="0" borderId="9" xfId="31" applyNumberFormat="1" applyFont="1" applyBorder="1" applyAlignment="1" applyProtection="1">
      <alignment horizontal="left" vertical="center"/>
      <protection hidden="1"/>
    </xf>
    <xf numFmtId="183" fontId="22" fillId="0" borderId="9" xfId="0" applyNumberFormat="1" applyFont="1" applyBorder="1" applyAlignment="1">
      <alignment vertical="center"/>
    </xf>
    <xf numFmtId="9" fontId="22" fillId="0" borderId="9" xfId="44" applyFont="1" applyBorder="1" applyAlignment="1">
      <alignment vertical="center"/>
    </xf>
    <xf numFmtId="170" fontId="22" fillId="0" borderId="0" xfId="0" applyNumberFormat="1" applyFont="1" applyAlignment="1" applyProtection="1">
      <alignment horizontal="center" vertical="center"/>
      <protection locked="0"/>
    </xf>
    <xf numFmtId="166" fontId="22" fillId="0" borderId="0" xfId="0" applyNumberFormat="1" applyFont="1" applyAlignment="1" applyProtection="1">
      <alignment horizontal="left" vertical="center"/>
      <protection hidden="1"/>
    </xf>
    <xf numFmtId="170" fontId="22" fillId="0" borderId="9" xfId="0" applyNumberFormat="1" applyFont="1" applyBorder="1" applyAlignment="1">
      <alignment horizontal="center" vertical="center"/>
    </xf>
    <xf numFmtId="44" fontId="22" fillId="5" borderId="9" xfId="45" applyFont="1" applyFill="1" applyBorder="1" applyAlignment="1">
      <alignment horizontal="center" vertical="center"/>
    </xf>
    <xf numFmtId="171" fontId="22" fillId="0" borderId="9" xfId="0" applyNumberFormat="1" applyFont="1" applyBorder="1" applyAlignment="1">
      <alignment vertical="center"/>
    </xf>
    <xf numFmtId="171" fontId="22" fillId="0" borderId="9" xfId="2" applyFont="1" applyBorder="1" applyAlignment="1" applyProtection="1">
      <alignment horizontal="left" vertical="center"/>
      <protection locked="0"/>
    </xf>
    <xf numFmtId="170" fontId="22" fillId="0" borderId="0" xfId="0" applyNumberFormat="1" applyFont="1" applyAlignment="1">
      <alignment horizontal="center" vertical="center"/>
    </xf>
    <xf numFmtId="172" fontId="22" fillId="0" borderId="0" xfId="31" applyNumberFormat="1" applyFont="1" applyAlignment="1" applyProtection="1">
      <alignment horizontal="left" vertical="center"/>
      <protection hidden="1"/>
    </xf>
    <xf numFmtId="170" fontId="22" fillId="0" borderId="9" xfId="44" applyNumberFormat="1" applyFont="1" applyFill="1" applyBorder="1" applyAlignment="1">
      <alignment horizontal="center" vertical="center"/>
    </xf>
    <xf numFmtId="171" fontId="22" fillId="0" borderId="0" xfId="2" applyFont="1" applyAlignment="1" applyProtection="1">
      <alignment horizontal="left" vertical="center"/>
      <protection locked="0"/>
    </xf>
    <xf numFmtId="10" fontId="32" fillId="10" borderId="9" xfId="0" applyNumberFormat="1" applyFont="1" applyFill="1" applyBorder="1" applyAlignment="1">
      <alignment horizontal="center" vertical="center" wrapText="1"/>
    </xf>
    <xf numFmtId="44" fontId="33" fillId="0" borderId="20" xfId="45" applyFont="1" applyFill="1" applyBorder="1" applyAlignment="1">
      <alignment horizontal="left" vertical="center"/>
    </xf>
    <xf numFmtId="44" fontId="33" fillId="8" borderId="20" xfId="0" applyNumberFormat="1" applyFont="1" applyFill="1" applyBorder="1" applyAlignment="1">
      <alignment horizontal="left" vertical="center"/>
    </xf>
    <xf numFmtId="44" fontId="33" fillId="7" borderId="20" xfId="45" applyFont="1" applyFill="1" applyBorder="1" applyAlignment="1">
      <alignment horizontal="left" vertical="center"/>
    </xf>
    <xf numFmtId="44" fontId="33" fillId="8" borderId="20" xfId="45" applyFont="1" applyFill="1" applyBorder="1" applyAlignment="1">
      <alignment horizontal="left" vertical="center"/>
    </xf>
    <xf numFmtId="44" fontId="22" fillId="0" borderId="0" xfId="0" applyNumberFormat="1" applyFont="1" applyAlignment="1">
      <alignment vertical="center"/>
    </xf>
    <xf numFmtId="44" fontId="22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4" fontId="33" fillId="0" borderId="0" xfId="0" applyNumberFormat="1" applyFont="1" applyAlignment="1">
      <alignment vertical="center"/>
    </xf>
    <xf numFmtId="173" fontId="33" fillId="0" borderId="0" xfId="0" applyNumberFormat="1" applyFont="1" applyAlignment="1">
      <alignment horizontal="center" vertical="center"/>
    </xf>
    <xf numFmtId="0" fontId="33" fillId="13" borderId="0" xfId="0" applyFont="1" applyFill="1" applyAlignment="1">
      <alignment horizontal="left" vertical="center" wrapText="1"/>
    </xf>
    <xf numFmtId="44" fontId="22" fillId="0" borderId="20" xfId="45" applyFont="1" applyFill="1" applyBorder="1" applyAlignment="1">
      <alignment horizontal="left" vertical="center"/>
    </xf>
    <xf numFmtId="44" fontId="22" fillId="0" borderId="20" xfId="0" applyNumberFormat="1" applyFont="1" applyBorder="1" applyAlignment="1">
      <alignment horizontal="left" vertical="center"/>
    </xf>
    <xf numFmtId="173" fontId="22" fillId="0" borderId="0" xfId="0" applyNumberFormat="1" applyFont="1" applyAlignment="1">
      <alignment horizontal="left" vertical="center"/>
    </xf>
    <xf numFmtId="44" fontId="22" fillId="0" borderId="0" xfId="0" applyNumberFormat="1" applyFont="1" applyAlignment="1">
      <alignment horizontal="left" vertical="center"/>
    </xf>
    <xf numFmtId="0" fontId="2" fillId="0" borderId="0" xfId="42" applyAlignment="1">
      <alignment wrapText="1"/>
    </xf>
    <xf numFmtId="0" fontId="2" fillId="0" borderId="9" xfId="46" applyFont="1" applyBorder="1" applyAlignment="1">
      <alignment horizontal="left" vertical="center" wrapText="1"/>
    </xf>
    <xf numFmtId="49" fontId="44" fillId="0" borderId="9" xfId="46" applyNumberFormat="1" applyFont="1" applyBorder="1" applyAlignment="1" applyProtection="1">
      <alignment horizontal="left" vertical="center" wrapText="1"/>
      <protection hidden="1"/>
    </xf>
    <xf numFmtId="0" fontId="2" fillId="6" borderId="9" xfId="46" applyFont="1" applyFill="1" applyBorder="1" applyAlignment="1">
      <alignment horizontal="left" vertical="center" wrapText="1"/>
    </xf>
    <xf numFmtId="49" fontId="44" fillId="6" borderId="9" xfId="46" applyNumberFormat="1" applyFont="1" applyFill="1" applyBorder="1" applyAlignment="1" applyProtection="1">
      <alignment horizontal="left" vertical="center" wrapText="1"/>
      <protection hidden="1"/>
    </xf>
    <xf numFmtId="0" fontId="44" fillId="0" borderId="9" xfId="46" applyFont="1" applyBorder="1" applyAlignment="1">
      <alignment horizontal="left" vertical="center" wrapText="1"/>
    </xf>
    <xf numFmtId="0" fontId="2" fillId="0" borderId="0" xfId="42" applyAlignment="1">
      <alignment horizontal="left" vertical="center" wrapText="1"/>
    </xf>
    <xf numFmtId="0" fontId="22" fillId="0" borderId="5" xfId="30" applyFont="1" applyBorder="1" applyAlignment="1">
      <alignment vertical="center"/>
    </xf>
    <xf numFmtId="0" fontId="22" fillId="6" borderId="5" xfId="30" applyFont="1" applyFill="1" applyBorder="1" applyAlignment="1">
      <alignment vertical="center"/>
    </xf>
    <xf numFmtId="0" fontId="22" fillId="0" borderId="10" xfId="30" applyFont="1" applyBorder="1" applyAlignment="1">
      <alignment vertical="center"/>
    </xf>
    <xf numFmtId="180" fontId="33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44" fontId="33" fillId="0" borderId="24" xfId="45" applyFont="1" applyFill="1" applyBorder="1" applyAlignment="1">
      <alignment horizontal="left" vertical="center"/>
    </xf>
    <xf numFmtId="0" fontId="31" fillId="9" borderId="0" xfId="0" applyFont="1" applyFill="1" applyAlignment="1">
      <alignment horizontal="center" vertical="center" wrapText="1"/>
    </xf>
    <xf numFmtId="4" fontId="31" fillId="9" borderId="0" xfId="0" applyNumberFormat="1" applyFont="1" applyFill="1" applyAlignment="1">
      <alignment horizontal="center" vertical="center" wrapText="1"/>
    </xf>
    <xf numFmtId="164" fontId="31" fillId="9" borderId="0" xfId="40" applyFont="1" applyFill="1" applyAlignment="1">
      <alignment horizontal="center" vertical="center" wrapText="1"/>
    </xf>
    <xf numFmtId="4" fontId="31" fillId="9" borderId="5" xfId="4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33" fillId="5" borderId="0" xfId="0" applyFont="1" applyFill="1" applyAlignment="1">
      <alignment horizontal="center" vertical="center"/>
    </xf>
    <xf numFmtId="0" fontId="33" fillId="11" borderId="0" xfId="0" applyFont="1" applyFill="1" applyAlignment="1">
      <alignment horizontal="center" vertical="center"/>
    </xf>
    <xf numFmtId="0" fontId="33" fillId="11" borderId="0" xfId="0" applyFont="1" applyFill="1" applyAlignment="1">
      <alignment horizontal="left" vertical="center"/>
    </xf>
    <xf numFmtId="0" fontId="33" fillId="11" borderId="0" xfId="0" applyFont="1" applyFill="1" applyAlignment="1">
      <alignment vertical="center"/>
    </xf>
    <xf numFmtId="173" fontId="33" fillId="11" borderId="0" xfId="0" applyNumberFormat="1" applyFont="1" applyFill="1" applyAlignment="1">
      <alignment horizontal="center" vertical="center"/>
    </xf>
    <xf numFmtId="0" fontId="47" fillId="0" borderId="25" xfId="0" applyFont="1" applyBorder="1" applyAlignment="1">
      <alignment horizontal="center"/>
    </xf>
    <xf numFmtId="0" fontId="48" fillId="0" borderId="2" xfId="0" applyFont="1" applyBorder="1"/>
    <xf numFmtId="0" fontId="47" fillId="0" borderId="26" xfId="0" applyFont="1" applyBorder="1"/>
    <xf numFmtId="0" fontId="47" fillId="0" borderId="27" xfId="0" applyFont="1" applyBorder="1" applyAlignment="1">
      <alignment horizontal="center"/>
    </xf>
    <xf numFmtId="0" fontId="47" fillId="0" borderId="0" xfId="0" applyFont="1"/>
    <xf numFmtId="0" fontId="47" fillId="0" borderId="28" xfId="0" applyFont="1" applyBorder="1"/>
    <xf numFmtId="0" fontId="49" fillId="0" borderId="0" xfId="0" applyFont="1"/>
    <xf numFmtId="0" fontId="50" fillId="0" borderId="0" xfId="0" applyFont="1"/>
    <xf numFmtId="0" fontId="47" fillId="0" borderId="27" xfId="0" applyFont="1" applyBorder="1" applyAlignment="1">
      <alignment horizontal="center" vertical="center"/>
    </xf>
    <xf numFmtId="0" fontId="47" fillId="0" borderId="0" xfId="0" applyFont="1" applyAlignment="1">
      <alignment horizontal="left" indent="1"/>
    </xf>
    <xf numFmtId="0" fontId="50" fillId="0" borderId="0" xfId="0" applyFont="1" applyAlignment="1">
      <alignment horizontal="left" indent="1"/>
    </xf>
    <xf numFmtId="0" fontId="47" fillId="0" borderId="29" xfId="0" applyFont="1" applyBorder="1" applyAlignment="1">
      <alignment horizontal="center" vertical="center"/>
    </xf>
    <xf numFmtId="0" fontId="52" fillId="15" borderId="9" xfId="0" applyFont="1" applyFill="1" applyBorder="1" applyAlignment="1">
      <alignment horizontal="left" vertical="center" wrapText="1"/>
    </xf>
    <xf numFmtId="0" fontId="33" fillId="0" borderId="9" xfId="0" applyFont="1" applyBorder="1" applyAlignment="1">
      <alignment horizontal="right" vertical="center"/>
    </xf>
    <xf numFmtId="14" fontId="33" fillId="0" borderId="9" xfId="0" applyNumberFormat="1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9" xfId="0" applyFont="1" applyBorder="1" applyAlignment="1">
      <alignment horizontal="center" vertical="center"/>
    </xf>
    <xf numFmtId="184" fontId="33" fillId="0" borderId="9" xfId="45" applyNumberFormat="1" applyFont="1" applyBorder="1" applyAlignment="1">
      <alignment horizontal="center" vertical="center"/>
    </xf>
    <xf numFmtId="44" fontId="33" fillId="0" borderId="9" xfId="45" applyFont="1" applyBorder="1" applyAlignment="1">
      <alignment vertical="center"/>
    </xf>
    <xf numFmtId="185" fontId="33" fillId="0" borderId="9" xfId="20" applyNumberFormat="1" applyFont="1" applyBorder="1" applyAlignment="1">
      <alignment vertical="center"/>
    </xf>
    <xf numFmtId="0" fontId="33" fillId="0" borderId="0" xfId="0" applyFont="1" applyAlignment="1">
      <alignment horizontal="center"/>
    </xf>
    <xf numFmtId="181" fontId="39" fillId="13" borderId="9" xfId="0" applyNumberFormat="1" applyFont="1" applyFill="1" applyBorder="1" applyAlignment="1">
      <alignment vertical="center"/>
    </xf>
    <xf numFmtId="182" fontId="39" fillId="13" borderId="9" xfId="0" applyNumberFormat="1" applyFont="1" applyFill="1" applyBorder="1" applyAlignment="1">
      <alignment vertical="center"/>
    </xf>
    <xf numFmtId="173" fontId="39" fillId="13" borderId="0" xfId="0" applyNumberFormat="1" applyFont="1" applyFill="1" applyAlignment="1">
      <alignment vertical="center"/>
    </xf>
    <xf numFmtId="173" fontId="33" fillId="0" borderId="9" xfId="0" applyNumberFormat="1" applyFont="1" applyBorder="1" applyAlignment="1">
      <alignment vertical="center"/>
    </xf>
    <xf numFmtId="173" fontId="0" fillId="0" borderId="9" xfId="0" applyNumberFormat="1" applyBorder="1" applyAlignment="1">
      <alignment vertical="center"/>
    </xf>
    <xf numFmtId="164" fontId="33" fillId="0" borderId="0" xfId="0" applyNumberFormat="1" applyFont="1" applyAlignment="1">
      <alignment horizontal="center" vertical="center"/>
    </xf>
    <xf numFmtId="0" fontId="33" fillId="0" borderId="23" xfId="0" applyFont="1" applyBorder="1" applyAlignment="1">
      <alignment horizontal="left" vertical="center"/>
    </xf>
    <xf numFmtId="3" fontId="33" fillId="0" borderId="9" xfId="0" applyNumberFormat="1" applyFont="1" applyBorder="1" applyAlignment="1">
      <alignment vertical="center"/>
    </xf>
    <xf numFmtId="180" fontId="33" fillId="0" borderId="9" xfId="0" applyNumberFormat="1" applyFont="1" applyBorder="1" applyAlignment="1">
      <alignment vertical="center"/>
    </xf>
    <xf numFmtId="1" fontId="33" fillId="0" borderId="9" xfId="0" applyNumberFormat="1" applyFont="1" applyBorder="1" applyAlignment="1">
      <alignment vertical="center"/>
    </xf>
    <xf numFmtId="173" fontId="33" fillId="0" borderId="14" xfId="0" applyNumberFormat="1" applyFont="1" applyBorder="1" applyAlignment="1">
      <alignment vertical="center"/>
    </xf>
    <xf numFmtId="4" fontId="33" fillId="11" borderId="0" xfId="0" applyNumberFormat="1" applyFont="1" applyFill="1" applyAlignment="1">
      <alignment horizontal="right" vertical="center"/>
    </xf>
    <xf numFmtId="0" fontId="53" fillId="0" borderId="0" xfId="30" applyFont="1" applyAlignment="1">
      <alignment horizontal="center" vertical="center"/>
    </xf>
    <xf numFmtId="0" fontId="53" fillId="0" borderId="0" xfId="30" applyFont="1" applyAlignment="1">
      <alignment vertical="center"/>
    </xf>
    <xf numFmtId="0" fontId="33" fillId="0" borderId="9" xfId="0" applyFont="1" applyBorder="1" applyAlignment="1">
      <alignment vertical="center" wrapText="1"/>
    </xf>
    <xf numFmtId="0" fontId="33" fillId="0" borderId="9" xfId="0" applyFont="1" applyBorder="1"/>
    <xf numFmtId="0" fontId="22" fillId="0" borderId="9" xfId="29" applyFont="1" applyBorder="1" applyAlignment="1" applyProtection="1">
      <alignment horizontal="center"/>
      <protection locked="0"/>
    </xf>
    <xf numFmtId="14" fontId="22" fillId="0" borderId="9" xfId="29" applyNumberFormat="1" applyFont="1" applyBorder="1" applyAlignment="1" applyProtection="1">
      <alignment horizontal="center"/>
      <protection locked="0"/>
    </xf>
    <xf numFmtId="14" fontId="22" fillId="6" borderId="32" xfId="29" applyNumberFormat="1" applyFont="1" applyFill="1" applyBorder="1" applyAlignment="1" applyProtection="1">
      <alignment horizontal="center"/>
      <protection locked="0"/>
    </xf>
    <xf numFmtId="0" fontId="54" fillId="0" borderId="0" xfId="0" applyFont="1" applyAlignment="1">
      <alignment horizontal="center" vertical="center"/>
    </xf>
    <xf numFmtId="0" fontId="31" fillId="10" borderId="9" xfId="0" applyFont="1" applyFill="1" applyBorder="1" applyAlignment="1">
      <alignment horizontal="left" vertical="center" wrapText="1"/>
    </xf>
    <xf numFmtId="168" fontId="33" fillId="0" borderId="9" xfId="20" applyFont="1" applyBorder="1" applyAlignment="1">
      <alignment horizontal="left" vertical="center"/>
    </xf>
    <xf numFmtId="0" fontId="33" fillId="0" borderId="0" xfId="0" applyFont="1" applyAlignment="1">
      <alignment horizontal="left"/>
    </xf>
    <xf numFmtId="0" fontId="32" fillId="9" borderId="0" xfId="0" applyFont="1" applyFill="1" applyAlignment="1">
      <alignment horizontal="left" vertical="center" wrapText="1"/>
    </xf>
    <xf numFmtId="4" fontId="31" fillId="9" borderId="5" xfId="0" applyNumberFormat="1" applyFont="1" applyFill="1" applyBorder="1" applyAlignment="1">
      <alignment horizontal="left" vertical="center" wrapText="1"/>
    </xf>
    <xf numFmtId="168" fontId="33" fillId="6" borderId="9" xfId="20" applyFont="1" applyFill="1" applyBorder="1" applyAlignment="1">
      <alignment horizontal="left" vertical="center"/>
    </xf>
    <xf numFmtId="14" fontId="33" fillId="6" borderId="9" xfId="0" applyNumberFormat="1" applyFont="1" applyFill="1" applyBorder="1" applyAlignment="1">
      <alignment vertical="center"/>
    </xf>
    <xf numFmtId="0" fontId="35" fillId="10" borderId="8" xfId="30" applyFont="1" applyFill="1" applyBorder="1" applyAlignment="1">
      <alignment horizontal="center" vertical="center" wrapText="1"/>
    </xf>
    <xf numFmtId="0" fontId="35" fillId="10" borderId="11" xfId="30" applyFont="1" applyFill="1" applyBorder="1" applyAlignment="1">
      <alignment horizontal="center" vertical="center" wrapText="1"/>
    </xf>
    <xf numFmtId="0" fontId="24" fillId="0" borderId="9" xfId="30" applyFont="1" applyBorder="1" applyAlignment="1">
      <alignment horizontal="center" vertical="center"/>
    </xf>
    <xf numFmtId="0" fontId="31" fillId="10" borderId="10" xfId="0" applyFont="1" applyFill="1" applyBorder="1" applyAlignment="1">
      <alignment horizontal="center" vertical="center" wrapText="1"/>
    </xf>
    <xf numFmtId="0" fontId="31" fillId="10" borderId="12" xfId="0" applyFont="1" applyFill="1" applyBorder="1" applyAlignment="1">
      <alignment horizontal="center" vertical="center" wrapText="1"/>
    </xf>
    <xf numFmtId="0" fontId="31" fillId="10" borderId="13" xfId="0" applyFont="1" applyFill="1" applyBorder="1" applyAlignment="1">
      <alignment horizontal="center" vertical="center" wrapText="1"/>
    </xf>
    <xf numFmtId="9" fontId="22" fillId="0" borderId="7" xfId="0" applyNumberFormat="1" applyFont="1" applyBorder="1" applyAlignment="1">
      <alignment horizontal="left" vertical="center" wrapText="1"/>
    </xf>
    <xf numFmtId="9" fontId="22" fillId="0" borderId="14" xfId="0" applyNumberFormat="1" applyFont="1" applyBorder="1" applyAlignment="1">
      <alignment horizontal="left" vertical="center" wrapText="1"/>
    </xf>
    <xf numFmtId="0" fontId="22" fillId="0" borderId="9" xfId="0" applyFont="1" applyBorder="1" applyAlignment="1">
      <alignment vertical="center"/>
    </xf>
    <xf numFmtId="10" fontId="22" fillId="5" borderId="7" xfId="0" applyNumberFormat="1" applyFont="1" applyFill="1" applyBorder="1" applyAlignment="1">
      <alignment horizontal="left" vertical="center"/>
    </xf>
    <xf numFmtId="10" fontId="22" fillId="5" borderId="14" xfId="0" applyNumberFormat="1" applyFont="1" applyFill="1" applyBorder="1" applyAlignment="1">
      <alignment horizontal="left" vertical="center"/>
    </xf>
    <xf numFmtId="0" fontId="36" fillId="13" borderId="9" xfId="0" applyFont="1" applyFill="1" applyBorder="1" applyAlignment="1">
      <alignment horizontal="center" vertical="center"/>
    </xf>
    <xf numFmtId="0" fontId="30" fillId="0" borderId="0" xfId="30" applyFont="1" applyAlignment="1">
      <alignment horizontal="center" vertical="center"/>
    </xf>
    <xf numFmtId="170" fontId="22" fillId="5" borderId="9" xfId="0" applyNumberFormat="1" applyFont="1" applyFill="1" applyBorder="1" applyAlignment="1">
      <alignment horizontal="center" vertical="center"/>
    </xf>
    <xf numFmtId="0" fontId="31" fillId="10" borderId="7" xfId="0" applyFont="1" applyFill="1" applyBorder="1" applyAlignment="1">
      <alignment horizontal="left" vertical="center" wrapText="1"/>
    </xf>
    <xf numFmtId="0" fontId="31" fillId="10" borderId="14" xfId="0" applyFont="1" applyFill="1" applyBorder="1" applyAlignment="1">
      <alignment horizontal="left" vertical="center" wrapText="1"/>
    </xf>
    <xf numFmtId="0" fontId="31" fillId="10" borderId="4" xfId="0" applyFont="1" applyFill="1" applyBorder="1" applyAlignment="1">
      <alignment horizontal="left" vertical="center" wrapText="1"/>
    </xf>
    <xf numFmtId="9" fontId="22" fillId="0" borderId="7" xfId="0" applyNumberFormat="1" applyFont="1" applyBorder="1" applyAlignment="1">
      <alignment horizontal="left" vertical="center"/>
    </xf>
    <xf numFmtId="9" fontId="22" fillId="0" borderId="4" xfId="0" applyNumberFormat="1" applyFont="1" applyBorder="1" applyAlignment="1">
      <alignment horizontal="left" vertical="center"/>
    </xf>
    <xf numFmtId="9" fontId="22" fillId="0" borderId="14" xfId="0" applyNumberFormat="1" applyFont="1" applyBorder="1" applyAlignment="1">
      <alignment horizontal="left" vertical="center"/>
    </xf>
    <xf numFmtId="10" fontId="22" fillId="5" borderId="4" xfId="0" applyNumberFormat="1" applyFont="1" applyFill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36" fillId="13" borderId="7" xfId="0" applyFont="1" applyFill="1" applyBorder="1" applyAlignment="1">
      <alignment horizontal="left" vertical="center"/>
    </xf>
    <xf numFmtId="0" fontId="36" fillId="13" borderId="4" xfId="0" applyFont="1" applyFill="1" applyBorder="1" applyAlignment="1">
      <alignment horizontal="left" vertical="center"/>
    </xf>
    <xf numFmtId="0" fontId="36" fillId="13" borderId="14" xfId="0" applyFont="1" applyFill="1" applyBorder="1" applyAlignment="1">
      <alignment horizontal="left" vertical="center"/>
    </xf>
    <xf numFmtId="170" fontId="24" fillId="5" borderId="7" xfId="0" applyNumberFormat="1" applyFont="1" applyFill="1" applyBorder="1" applyAlignment="1">
      <alignment horizontal="center" vertical="center"/>
    </xf>
    <xf numFmtId="170" fontId="22" fillId="5" borderId="4" xfId="0" applyNumberFormat="1" applyFont="1" applyFill="1" applyBorder="1" applyAlignment="1">
      <alignment horizontal="center" vertical="center"/>
    </xf>
    <xf numFmtId="0" fontId="30" fillId="0" borderId="6" xfId="30" applyFont="1" applyBorder="1" applyAlignment="1">
      <alignment horizontal="center" vertical="center"/>
    </xf>
    <xf numFmtId="0" fontId="24" fillId="13" borderId="7" xfId="0" applyFont="1" applyFill="1" applyBorder="1" applyAlignment="1">
      <alignment horizontal="center" vertical="center"/>
    </xf>
    <xf numFmtId="0" fontId="24" fillId="13" borderId="4" xfId="0" applyFont="1" applyFill="1" applyBorder="1" applyAlignment="1">
      <alignment horizontal="center" vertical="center"/>
    </xf>
    <xf numFmtId="0" fontId="24" fillId="13" borderId="14" xfId="0" applyFont="1" applyFill="1" applyBorder="1" applyAlignment="1">
      <alignment horizontal="center" vertical="center"/>
    </xf>
    <xf numFmtId="0" fontId="24" fillId="14" borderId="8" xfId="0" applyFont="1" applyFill="1" applyBorder="1" applyAlignment="1">
      <alignment horizontal="center" vertical="center"/>
    </xf>
    <xf numFmtId="0" fontId="24" fillId="14" borderId="21" xfId="0" applyFont="1" applyFill="1" applyBorder="1" applyAlignment="1">
      <alignment horizontal="center" vertical="center"/>
    </xf>
    <xf numFmtId="0" fontId="24" fillId="14" borderId="22" xfId="0" applyFont="1" applyFill="1" applyBorder="1" applyAlignment="1">
      <alignment horizontal="center" vertical="center"/>
    </xf>
    <xf numFmtId="0" fontId="24" fillId="13" borderId="8" xfId="0" applyFont="1" applyFill="1" applyBorder="1" applyAlignment="1">
      <alignment horizontal="center" vertical="center"/>
    </xf>
    <xf numFmtId="0" fontId="24" fillId="13" borderId="21" xfId="0" applyFont="1" applyFill="1" applyBorder="1" applyAlignment="1">
      <alignment horizontal="center" vertical="center"/>
    </xf>
    <xf numFmtId="0" fontId="24" fillId="13" borderId="22" xfId="0" applyFont="1" applyFill="1" applyBorder="1" applyAlignment="1">
      <alignment horizontal="center" vertical="center"/>
    </xf>
    <xf numFmtId="170" fontId="24" fillId="5" borderId="9" xfId="0" applyNumberFormat="1" applyFont="1" applyFill="1" applyBorder="1" applyAlignment="1">
      <alignment horizontal="center" vertical="center"/>
    </xf>
    <xf numFmtId="4" fontId="22" fillId="0" borderId="9" xfId="0" applyNumberFormat="1" applyFont="1" applyBorder="1" applyAlignment="1">
      <alignment horizontal="center" vertical="center"/>
    </xf>
    <xf numFmtId="170" fontId="24" fillId="5" borderId="4" xfId="0" applyNumberFormat="1" applyFont="1" applyFill="1" applyBorder="1" applyAlignment="1">
      <alignment horizontal="center" vertical="center"/>
    </xf>
    <xf numFmtId="170" fontId="24" fillId="5" borderId="14" xfId="0" applyNumberFormat="1" applyFont="1" applyFill="1" applyBorder="1" applyAlignment="1">
      <alignment horizontal="center" vertical="center"/>
    </xf>
    <xf numFmtId="170" fontId="22" fillId="5" borderId="7" xfId="0" applyNumberFormat="1" applyFont="1" applyFill="1" applyBorder="1" applyAlignment="1">
      <alignment horizontal="center" vertical="center"/>
    </xf>
    <xf numFmtId="170" fontId="22" fillId="5" borderId="14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left" wrapText="1"/>
    </xf>
    <xf numFmtId="0" fontId="47" fillId="0" borderId="28" xfId="0" applyFont="1" applyBorder="1" applyAlignment="1">
      <alignment horizontal="left" wrapText="1"/>
    </xf>
    <xf numFmtId="0" fontId="22" fillId="0" borderId="8" xfId="0" applyFont="1" applyBorder="1" applyAlignment="1">
      <alignment horizontal="center" vertical="center" textRotation="90"/>
    </xf>
    <xf numFmtId="0" fontId="22" fillId="0" borderId="11" xfId="0" applyFont="1" applyBorder="1" applyAlignment="1">
      <alignment horizontal="center" vertical="center" textRotation="90"/>
    </xf>
    <xf numFmtId="0" fontId="22" fillId="0" borderId="12" xfId="0" applyFont="1" applyBorder="1" applyAlignment="1">
      <alignment horizontal="center" vertical="center" textRotation="90"/>
    </xf>
    <xf numFmtId="0" fontId="22" fillId="0" borderId="8" xfId="0" applyFont="1" applyBorder="1" applyAlignment="1">
      <alignment horizontal="center" vertical="center" textRotation="90" wrapText="1"/>
    </xf>
    <xf numFmtId="0" fontId="22" fillId="0" borderId="11" xfId="0" applyFont="1" applyBorder="1" applyAlignment="1">
      <alignment horizontal="center" vertical="center" textRotation="90" wrapText="1"/>
    </xf>
    <xf numFmtId="0" fontId="22" fillId="0" borderId="12" xfId="0" applyFont="1" applyBorder="1" applyAlignment="1">
      <alignment horizontal="center" vertical="center" textRotation="90" wrapText="1"/>
    </xf>
    <xf numFmtId="0" fontId="47" fillId="0" borderId="0" xfId="0" applyFont="1" applyAlignment="1">
      <alignment horizontal="left"/>
    </xf>
    <xf numFmtId="0" fontId="47" fillId="0" borderId="28" xfId="0" applyFont="1" applyBorder="1" applyAlignment="1">
      <alignment horizontal="left"/>
    </xf>
    <xf numFmtId="0" fontId="47" fillId="0" borderId="30" xfId="0" applyFont="1" applyBorder="1" applyAlignment="1">
      <alignment horizontal="left"/>
    </xf>
    <xf numFmtId="0" fontId="47" fillId="0" borderId="31" xfId="0" applyFont="1" applyBorder="1" applyAlignment="1">
      <alignment horizontal="left"/>
    </xf>
    <xf numFmtId="0" fontId="22" fillId="8" borderId="7" xfId="0" applyFont="1" applyFill="1" applyBorder="1" applyAlignment="1">
      <alignment horizontal="center" vertical="center"/>
    </xf>
    <xf numFmtId="0" fontId="22" fillId="8" borderId="4" xfId="0" applyFont="1" applyFill="1" applyBorder="1" applyAlignment="1">
      <alignment horizontal="center" vertical="center"/>
    </xf>
    <xf numFmtId="0" fontId="22" fillId="8" borderId="14" xfId="0" applyFont="1" applyFill="1" applyBorder="1" applyAlignment="1">
      <alignment horizontal="center" vertical="center"/>
    </xf>
    <xf numFmtId="2" fontId="31" fillId="10" borderId="7" xfId="0" applyNumberFormat="1" applyFont="1" applyFill="1" applyBorder="1" applyAlignment="1">
      <alignment horizontal="left" vertical="center"/>
    </xf>
    <xf numFmtId="2" fontId="31" fillId="10" borderId="4" xfId="0" applyNumberFormat="1" applyFont="1" applyFill="1" applyBorder="1" applyAlignment="1">
      <alignment horizontal="left" vertical="center"/>
    </xf>
    <xf numFmtId="49" fontId="31" fillId="10" borderId="4" xfId="29" applyNumberFormat="1" applyFont="1" applyFill="1" applyBorder="1" applyAlignment="1">
      <alignment horizontal="left" vertical="center"/>
    </xf>
    <xf numFmtId="49" fontId="31" fillId="10" borderId="14" xfId="29" applyNumberFormat="1" applyFont="1" applyFill="1" applyBorder="1" applyAlignment="1">
      <alignment horizontal="left" vertical="center"/>
    </xf>
    <xf numFmtId="49" fontId="22" fillId="7" borderId="7" xfId="0" applyNumberFormat="1" applyFont="1" applyFill="1" applyBorder="1" applyAlignment="1">
      <alignment horizontal="center" vertical="center"/>
    </xf>
    <xf numFmtId="49" fontId="22" fillId="7" borderId="14" xfId="0" applyNumberFormat="1" applyFont="1" applyFill="1" applyBorder="1" applyAlignment="1">
      <alignment horizontal="center" vertical="center"/>
    </xf>
    <xf numFmtId="49" fontId="22" fillId="8" borderId="7" xfId="0" applyNumberFormat="1" applyFont="1" applyFill="1" applyBorder="1" applyAlignment="1">
      <alignment horizontal="center" vertical="center"/>
    </xf>
    <xf numFmtId="49" fontId="22" fillId="8" borderId="14" xfId="0" applyNumberFormat="1" applyFont="1" applyFill="1" applyBorder="1" applyAlignment="1">
      <alignment horizontal="center" vertical="center"/>
    </xf>
    <xf numFmtId="49" fontId="22" fillId="7" borderId="4" xfId="0" applyNumberFormat="1" applyFont="1" applyFill="1" applyBorder="1" applyAlignment="1">
      <alignment horizontal="center" vertical="center"/>
    </xf>
    <xf numFmtId="49" fontId="22" fillId="8" borderId="4" xfId="0" applyNumberFormat="1" applyFont="1" applyFill="1" applyBorder="1" applyAlignment="1">
      <alignment horizontal="center" vertical="center"/>
    </xf>
    <xf numFmtId="168" fontId="33" fillId="0" borderId="9" xfId="20" applyFont="1" applyFill="1" applyBorder="1" applyAlignment="1">
      <alignment horizontal="left" vertical="center"/>
    </xf>
    <xf numFmtId="0" fontId="33" fillId="0" borderId="9" xfId="0" applyFont="1" applyFill="1" applyBorder="1" applyAlignment="1">
      <alignment horizontal="center" vertical="center"/>
    </xf>
  </cellXfs>
  <cellStyles count="48">
    <cellStyle name="%" xfId="1" xr:uid="{00000000-0005-0000-0000-000000000000}"/>
    <cellStyle name="% 2" xfId="39" xr:uid="{00000000-0005-0000-0000-000001000000}"/>
    <cellStyle name="Euro" xfId="2" xr:uid="{00000000-0005-0000-0000-000002000000}"/>
    <cellStyle name="Euro 10" xfId="3" xr:uid="{00000000-0005-0000-0000-000003000000}"/>
    <cellStyle name="Euro 11" xfId="4" xr:uid="{00000000-0005-0000-0000-000004000000}"/>
    <cellStyle name="Euro 12" xfId="5" xr:uid="{00000000-0005-0000-0000-000005000000}"/>
    <cellStyle name="Euro 13" xfId="6" xr:uid="{00000000-0005-0000-0000-000006000000}"/>
    <cellStyle name="Euro 14" xfId="7" xr:uid="{00000000-0005-0000-0000-000007000000}"/>
    <cellStyle name="Euro 15" xfId="8" xr:uid="{00000000-0005-0000-0000-000008000000}"/>
    <cellStyle name="Euro 15 2" xfId="40" xr:uid="{00000000-0005-0000-0000-000009000000}"/>
    <cellStyle name="Euro 2" xfId="9" xr:uid="{00000000-0005-0000-0000-00000A000000}"/>
    <cellStyle name="Euro 3" xfId="10" xr:uid="{00000000-0005-0000-0000-00000B000000}"/>
    <cellStyle name="Euro 4" xfId="11" xr:uid="{00000000-0005-0000-0000-00000C000000}"/>
    <cellStyle name="Euro 5" xfId="12" xr:uid="{00000000-0005-0000-0000-00000D000000}"/>
    <cellStyle name="Euro 6" xfId="13" xr:uid="{00000000-0005-0000-0000-00000E000000}"/>
    <cellStyle name="Euro 7" xfId="14" xr:uid="{00000000-0005-0000-0000-00000F000000}"/>
    <cellStyle name="Euro 8" xfId="15" xr:uid="{00000000-0005-0000-0000-000010000000}"/>
    <cellStyle name="Euro 9" xfId="16" xr:uid="{00000000-0005-0000-0000-000011000000}"/>
    <cellStyle name="Euro_1.5 Ruimtestaten SRO N2" xfId="17" xr:uid="{00000000-0005-0000-0000-000012000000}"/>
    <cellStyle name="Followed Hyperlink_Adres-Gymzalen.xls" xfId="18" xr:uid="{00000000-0005-0000-0000-000013000000}"/>
    <cellStyle name="Komma" xfId="19" builtinId="3"/>
    <cellStyle name="Komma 2" xfId="20" xr:uid="{00000000-0005-0000-0000-000015000000}"/>
    <cellStyle name="Komma 3" xfId="37" xr:uid="{00000000-0005-0000-0000-000016000000}"/>
    <cellStyle name="Koppen_rekenblad" xfId="21" xr:uid="{00000000-0005-0000-0000-000017000000}"/>
    <cellStyle name="koppenrekenblad2" xfId="22" xr:uid="{00000000-0005-0000-0000-000018000000}"/>
    <cellStyle name="koppenrekenblad2 2" xfId="41" xr:uid="{00000000-0005-0000-0000-000019000000}"/>
    <cellStyle name="m2" xfId="23" xr:uid="{00000000-0005-0000-0000-00001A000000}"/>
    <cellStyle name="NIBa standaard" xfId="24" xr:uid="{00000000-0005-0000-0000-00001B000000}"/>
    <cellStyle name="Normal" xfId="47" xr:uid="{1306A52A-F611-49A3-8930-1C17D123433E}"/>
    <cellStyle name="Ongedefinieerd" xfId="25" xr:uid="{00000000-0005-0000-0000-00001C000000}"/>
    <cellStyle name="prijslijst" xfId="26" xr:uid="{00000000-0005-0000-0000-00001D000000}"/>
    <cellStyle name="Procent" xfId="38" builtinId="5"/>
    <cellStyle name="Procent 2" xfId="35" xr:uid="{00000000-0005-0000-0000-00001F000000}"/>
    <cellStyle name="Procent 3" xfId="44" xr:uid="{00000000-0005-0000-0000-000020000000}"/>
    <cellStyle name="Ruimtestaat_Koppen" xfId="27" xr:uid="{00000000-0005-0000-0000-000021000000}"/>
    <cellStyle name="Standaard" xfId="0" builtinId="0"/>
    <cellStyle name="Standaard 2" xfId="28" xr:uid="{00000000-0005-0000-0000-000023000000}"/>
    <cellStyle name="Standaard 2 2" xfId="42" xr:uid="{00000000-0005-0000-0000-000024000000}"/>
    <cellStyle name="Standaard 3" xfId="29" xr:uid="{00000000-0005-0000-0000-000025000000}"/>
    <cellStyle name="Standaard 3 2" xfId="43" xr:uid="{00000000-0005-0000-0000-000026000000}"/>
    <cellStyle name="Standaard 4" xfId="30" xr:uid="{00000000-0005-0000-0000-000027000000}"/>
    <cellStyle name="Standaard 5" xfId="34" xr:uid="{00000000-0005-0000-0000-000028000000}"/>
    <cellStyle name="Standaard 6" xfId="46" xr:uid="{C8B5C47D-FB13-4B3A-952F-85AF5006DB30}"/>
    <cellStyle name="Valuta 2" xfId="31" xr:uid="{00000000-0005-0000-0000-000029000000}"/>
    <cellStyle name="Valuta 3" xfId="36" xr:uid="{00000000-0005-0000-0000-00002A000000}"/>
    <cellStyle name="Valuta 4" xfId="45" xr:uid="{5C764B3D-82CF-48E6-8C68-A8A71267D96C}"/>
    <cellStyle name="Währung [0]_Aufmaß" xfId="32" xr:uid="{00000000-0005-0000-0000-00002B000000}"/>
    <cellStyle name="Währung_Aufmaß" xfId="33" xr:uid="{00000000-0005-0000-0000-00002C000000}"/>
  </cellStyles>
  <dxfs count="208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3" formatCode="_ [$€-413]\ * #,##0.00_ ;_ [$€-413]\ * \-#,##0.00_ ;_ [$€-413]\ * &quot;-&quot;??_ ;_ @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1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2" formatCode="#,##0.0_ ;\-#,##0.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80" formatCode="#,##0.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1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1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solid">
          <fgColor theme="4" tint="0.79998168889431442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theme="4" tint="0.79998168889431442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theme="4" tint="0.79998168889431442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theme="4" tint="0.79998168889431442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79998168889431442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59999389629810485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numFmt numFmtId="34" formatCode="_ &quot;€&quot;\ * #,##0.00_ ;_ &quot;€&quot;\ * \-#,##0.00_ ;_ &quot;€&quot;\ * &quot;-&quot;??_ ;_ @_ "/>
    </dxf>
    <dxf>
      <numFmt numFmtId="34" formatCode="_ &quot;€&quot;\ * #,##0.00_ ;_ &quot;€&quot;\ * \-#,##0.00_ ;_ &quot;€&quot;\ * &quot;-&quot;??_ ;_ @_ "/>
    </dxf>
    <dxf>
      <numFmt numFmtId="34" formatCode="_ &quot;€&quot;\ * #,##0.00_ ;_ &quot;€&quot;\ * \-#,##0.00_ ;_ &quot;€&quot;\ * &quot;-&quot;??_ ;_ @_ "/>
    </dxf>
    <dxf>
      <numFmt numFmtId="34" formatCode="_ &quot;€&quot;\ * #,##0.00_ ;_ &quot;€&quot;\ * \-#,##0.00_ ;_ &quot;€&quot;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9" formatCode="0.000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9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9" formatCode="0.000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7" formatCode="General\ &quot;m²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8" formatCode="0.00\ &quot;m²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7" formatCode="General\ &quot;m²&quot;"/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7" formatCode="General\ &quot;m²&quot;"/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auto="1"/>
        <name val="Verdana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bottom" textRotation="0" wrapTex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346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mmercie\Schoonmaak\Projectadministraties\Pr&#233;%20Kwalificaties%20&amp;%20Aanbestedingen\EA%20Amstelveen%20College\2.%20Originele%20aanvraag\Gegevens\Excel\Calc\AZR\AZR%20psychiatri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F:\Commercie\Schoonmaak\Projectadministraties\Pr&#233;%20Kwalificaties%20&amp;%20Aanbestedingen\EA%20Amstelveen%20College\2.%20Originele%20aanvraag\Voor..van\meten%20glas\meten%20glas\meten%20glas\meten%20glas\meten%20glas\meten%20glas\meten%20glas\meten%20glas\atir.xls?302656D2" TargetMode="External"/><Relationship Id="rId1" Type="http://schemas.openxmlformats.org/officeDocument/2006/relationships/externalLinkPath" Target="file:///\\302656D2\at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r.xls"/>
      <sheetName val="#REF"/>
    </sheetNames>
    <sheetDataSet>
      <sheetData sheetId="0" refreshError="1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Ruimtegroepen" displayName="Ruimtegroepen" ref="A12:D35" totalsRowShown="0" headerRowDxfId="207" dataDxfId="206" headerRowCellStyle="Standaard 4">
  <autoFilter ref="A12:D35" xr:uid="{00000000-0009-0000-0100-000006000000}"/>
  <tableColumns count="4">
    <tableColumn id="1" xr3:uid="{00000000-0010-0000-0000-000001000000}" name="Code" dataDxfId="205" dataCellStyle="Standaard 4"/>
    <tableColumn id="2" xr3:uid="{00000000-0010-0000-0000-000002000000}" name="Ruimte omschrijving" dataDxfId="204" dataCellStyle="Standaard 4"/>
    <tableColumn id="3" xr3:uid="{00000000-0010-0000-0000-000003000000}" name="Norm (5w)" dataDxfId="203"/>
    <tableColumn id="4" xr3:uid="{00000000-0010-0000-0000-000004000000}" name="Inspectiecategorie" dataDxfId="202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InvulExtra" displayName="InvulExtra" ref="A8:J10" totalsRowShown="0" dataDxfId="86">
  <autoFilter ref="A8:J10" xr:uid="{00000000-0009-0000-0100-000005000000}"/>
  <tableColumns count="10">
    <tableColumn id="1" xr3:uid="{00000000-0010-0000-0900-000001000000}" name="Code Taak" dataDxfId="85"/>
    <tableColumn id="2" xr3:uid="{00000000-0010-0000-0900-000002000000}" name="Werkzaamheid" dataDxfId="84"/>
    <tableColumn id="3" xr3:uid="{00000000-0010-0000-0900-000003000000}" name="Eenheid" dataDxfId="83"/>
    <tableColumn id="4" xr3:uid="{00000000-0010-0000-0900-000004000000}" name="Toelichting" dataDxfId="82"/>
    <tableColumn id="5" xr3:uid="{00000000-0010-0000-0900-000005000000}" name="Prijs_x000a_Excl. BTW" dataDxfId="81"/>
    <tableColumn id="6" xr3:uid="{3FB7F131-71FC-463C-8C00-D6DD0FDF1529}" name="2025" dataDxfId="80" dataCellStyle="Valuta 4">
      <calculatedColumnFormula>InvulExtra[[#This Row],[Prijs
Excl. BTW]]*Tariefsopbouw!$I$37+InvulExtra[[#This Row],[Prijs
Excl. BTW]]</calculatedColumnFormula>
    </tableColumn>
    <tableColumn id="7" xr3:uid="{CED55A0D-B25D-48E4-82C4-67D1CBD29C60}" name="2026" dataDxfId="79">
      <calculatedColumnFormula>InvulExtra[[#This Row],[2025]]*Tariefsopbouw!$K$37+InvulExtra[[#This Row],[2025]]</calculatedColumnFormula>
    </tableColumn>
    <tableColumn id="8" xr3:uid="{F66BBAFC-F378-4A72-A8A0-882B5B42BA69}" name="2027" dataDxfId="78">
      <calculatedColumnFormula>InvulExtra[[#This Row],[2026]]*Tariefsopbouw!$M$37+InvulExtra[[#This Row],[2026]]</calculatedColumnFormula>
    </tableColumn>
    <tableColumn id="9" xr3:uid="{D06F598A-5F46-4D18-8F56-D5615B461E3E}" name="2028" dataDxfId="77">
      <calculatedColumnFormula>InvulExtra[[#This Row],[2027]]*Tariefsopbouw!$O$37+InvulExtra[[#This Row],[2027]]</calculatedColumnFormula>
    </tableColumn>
    <tableColumn id="10" xr3:uid="{ADDE6AC4-A9FB-4C2E-BFEA-AB7183EB36E0}" name="2029" dataDxfId="76">
      <calculatedColumnFormula>InvulExtra[[#This Row],[2028]]*Tariefsopbouw!$Q$37+InvulExtra[[#This Row],[2028]]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A000000}" name="OverzichtExtra" displayName="OverzichtExtra" ref="A13:H18" totalsRowCount="1" headerRowDxfId="75" dataDxfId="74" totalsRowDxfId="73">
  <autoFilter ref="A13:H17" xr:uid="{00000000-0009-0000-0100-00000A000000}"/>
  <tableColumns count="8">
    <tableColumn id="9" xr3:uid="{00000000-0010-0000-0A00-000009000000}" name="Code Locatie" dataDxfId="72" totalsRowDxfId="71"/>
    <tableColumn id="1" xr3:uid="{00000000-0010-0000-0A00-000001000000}" name="Locatie" totalsRowLabel="Totaal" dataDxfId="70" totalsRowDxfId="69">
      <calculatedColumnFormula>VLOOKUP(OverzichtExtra[[#This Row],[Code Locatie]],Locaties[],2,0)</calculatedColumnFormula>
    </tableColumn>
    <tableColumn id="3" xr3:uid="{00000000-0010-0000-0A00-000003000000}" name="Code Taak" dataDxfId="68" totalsRowDxfId="67"/>
    <tableColumn id="4" xr3:uid="{00000000-0010-0000-0A00-000004000000}" name="Werkzaamheid" dataDxfId="66" totalsRowDxfId="65">
      <calculatedColumnFormula>IF('Extra werkzaamheden'!$C14&gt;0,VLOOKUP('Extra werkzaamheden'!$C14,$A$8:$B$10,2,0),"")</calculatedColumnFormula>
    </tableColumn>
    <tableColumn id="5" xr3:uid="{00000000-0010-0000-0A00-000005000000}" name="Eenheid" dataDxfId="64" totalsRowDxfId="63"/>
    <tableColumn id="6" xr3:uid="{00000000-0010-0000-0A00-000006000000}" name="aantal uren" dataDxfId="62" totalsRowDxfId="61"/>
    <tableColumn id="7" xr3:uid="{00000000-0010-0000-0A00-000007000000}" name="Frequentie (uitv. per jaar)" dataDxfId="60" totalsRowDxfId="59"/>
    <tableColumn id="8" xr3:uid="{00000000-0010-0000-0A00-000008000000}" name="Kosten/jaar excl. BTW" totalsRowFunction="sum" dataDxfId="58" totalsRowDxfId="57">
      <calculatedColumnFormula>IF(G14&gt;0,VLOOKUP(OverzichtExtra[[#This Row],[Code Taak]],InvulExtra[],5,2)*F14*G14,0)</calculatedColumnFormula>
    </tableColumn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B000000}" name="InvulRegie" displayName="InvulRegie" ref="B8:I41" totalsRowCount="1" headerRowDxfId="56" dataDxfId="55" totalsRowDxfId="54">
  <autoFilter ref="B8:I40" xr:uid="{00000000-0009-0000-0100-00000B000000}"/>
  <tableColumns count="8">
    <tableColumn id="1" xr3:uid="{00000000-0010-0000-0B00-000001000000}" name="Werkzaamheid" totalsRowLabel="Totaal" totalsRowDxfId="53"/>
    <tableColumn id="2" xr3:uid="{00000000-0010-0000-0B00-000002000000}" name="Eenheid" totalsRowDxfId="52"/>
    <tableColumn id="3" xr3:uid="{00000000-0010-0000-0B00-000003000000}" name="Prijs excl. BTW" totalsRowDxfId="51"/>
    <tableColumn id="4" xr3:uid="{20339242-D37F-45D0-B3A9-D5D0277AA005}" name="2025" dataDxfId="50" totalsRowDxfId="49">
      <calculatedColumnFormula>InvulRegie[[#This Row],[Prijs excl. BTW]]*Tariefsopbouw!$I$37+InvulRegie[[#This Row],[Prijs excl. BTW]]</calculatedColumnFormula>
    </tableColumn>
    <tableColumn id="5" xr3:uid="{98710F61-FEB9-4108-AD80-85E42E12F88F}" name="2026" dataDxfId="48" totalsRowDxfId="47">
      <calculatedColumnFormula>InvulRegie[[#This Row],[2025]]*Tariefsopbouw!$K$37+InvulRegie[[#This Row],[2025]]</calculatedColumnFormula>
    </tableColumn>
    <tableColumn id="6" xr3:uid="{DA4A687B-70D0-4179-B678-42FA080B354F}" name="2027" dataDxfId="46" totalsRowDxfId="45">
      <calculatedColumnFormula>InvulRegie[[#This Row],[2026]]*Tariefsopbouw!$M$37+InvulRegie[[#This Row],[2026]]</calculatedColumnFormula>
    </tableColumn>
    <tableColumn id="7" xr3:uid="{FA946E46-8412-420B-AA1A-C1F4D582105F}" name="2028" dataDxfId="44" totalsRowDxfId="43">
      <calculatedColumnFormula>InvulRegie[[#This Row],[2027]]*Tariefsopbouw!$O$37+InvulRegie[[#This Row],[2027]]</calculatedColumnFormula>
    </tableColumn>
    <tableColumn id="8" xr3:uid="{00A92510-BD5B-4E71-BCF5-F352086DB0C7}" name="2029" dataDxfId="42" totalsRowDxfId="41">
      <calculatedColumnFormula>InvulRegie[[#This Row],[2028]]*Tariefsopbouw!$Q$37+InvulRegie[[#This Row],[2028]]</calculatedColumnFormula>
    </tableColumn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Samenvattingschoonmaak" displayName="Samenvattingschoonmaak" ref="A6:H10" totalsRowCount="1" headerRowDxfId="40" dataDxfId="38" totalsRowDxfId="36" headerRowBorderDxfId="39" tableBorderDxfId="37">
  <autoFilter ref="A6:H9" xr:uid="{00000000-0009-0000-0100-00000E000000}"/>
  <tableColumns count="8">
    <tableColumn id="8" xr3:uid="{00000000-0010-0000-0C00-000008000000}" name="Code Locatie" dataDxfId="35" totalsRowDxfId="34"/>
    <tableColumn id="1" xr3:uid="{00000000-0010-0000-0C00-000001000000}" name="Locatie" totalsRowLabel="Totaal" dataDxfId="33" totalsRowDxfId="32"/>
    <tableColumn id="2" xr3:uid="{00000000-0010-0000-0C00-000002000000}" name="Oppervlakte i/o" totalsRowFunction="sum" dataDxfId="31" totalsRowDxfId="30"/>
    <tableColumn id="3" xr3:uid="{00000000-0010-0000-0C00-000003000000}" name="Prest. (m2 /jaar)" totalsRowFunction="sum" dataDxfId="29" totalsRowDxfId="28"/>
    <tableColumn id="4" xr3:uid="{00000000-0010-0000-0C00-000004000000}" name="Uren / jaar" totalsRowFunction="sum" dataDxfId="27" totalsRowDxfId="26"/>
    <tableColumn id="5" xr3:uid="{00000000-0010-0000-0C00-000005000000}" name="Norm (m2/uur)" totalsRowFunction="custom" dataDxfId="25" totalsRowDxfId="24">
      <calculatedColumnFormula>D7/E7</calculatedColumnFormula>
      <totalsRowFormula>Samenvattingschoonmaak[[#Totals],[Prest. (m2 /jaar)]]/Samenvattingschoonmaak[[#Totals],[Uren / jaar]]</totalsRowFormula>
    </tableColumn>
    <tableColumn id="6" xr3:uid="{00000000-0010-0000-0C00-000006000000}" name="Kosten / jaar" totalsRowFunction="sum" dataDxfId="23" totalsRowDxfId="22"/>
    <tableColumn id="7" xr3:uid="{00000000-0010-0000-0C00-000007000000}" name="Kosten / m2" totalsRowFunction="custom" dataDxfId="21" totalsRowDxfId="20">
      <calculatedColumnFormula>G7/C7</calculatedColumnFormula>
      <totalsRowFormula>Samenvattingschoonmaak[[#Totals],[Kosten / jaar]]/Samenvattingschoonmaak[[#Totals],[Oppervlakte i/o]]</totalsRowFormula>
    </tableColumn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otalisatie" displayName="Totalisatie" ref="A13:G17" totalsRowCount="1" headerRowDxfId="19" dataDxfId="17" totalsRowDxfId="15" headerRowBorderDxfId="18" tableBorderDxfId="16">
  <autoFilter ref="A13:G16" xr:uid="{00000000-0009-0000-0100-00000F000000}"/>
  <tableColumns count="7">
    <tableColumn id="8" xr3:uid="{00000000-0010-0000-0D00-000008000000}" name="Code Locatie" dataDxfId="14" totalsRowDxfId="13"/>
    <tableColumn id="1" xr3:uid="{00000000-0010-0000-0D00-000001000000}" name="Locaties" totalsRowLabel="Totaal" dataDxfId="12" totalsRowDxfId="11">
      <calculatedColumnFormula>VLOOKUP(Totalisatie[[#This Row],[Code Locatie]],Locaties[],2,0)</calculatedColumnFormula>
    </tableColumn>
    <tableColumn id="4" xr3:uid="{00000000-0010-0000-0D00-000004000000}" name="Schoonmaakonderhoud_x000a_Kosten / jaar" totalsRowFunction="sum" dataDxfId="10" totalsRowDxfId="9">
      <calculatedColumnFormula>SUMIF('Ruimtestaat'!A:A,Totalisatie[[#This Row],[Code Locatie]],'Ruimtestaat'!AH:AH)</calculatedColumnFormula>
    </tableColumn>
    <tableColumn id="2" xr3:uid="{00000000-0010-0000-0D00-000002000000}" name="Vloeronderhoud_x000a_Kosten / jaar" totalsRowFunction="sum" dataDxfId="8" totalsRowDxfId="7">
      <calculatedColumnFormula>SUMIF(Vloeronderhoud!$A$21:$A$33,Totalisatie[[#This Row],[Code Locatie]],Vloeronderhoud!$H$21:$H$33)</calculatedColumnFormula>
    </tableColumn>
    <tableColumn id="5" xr3:uid="{A656B1E7-84F1-4453-9BF5-3FD3C801D853}" name="Glasbewassing_x000a_Kosten / jaar" totalsRowFunction="sum" dataDxfId="6" totalsRowDxfId="5">
      <calculatedColumnFormula>SUMIF(OverzichtGlas[[Code Locatie]:[Kosten/jaar excl. BTW]],Totalisatie[[#This Row],[Code Locatie]],OverzichtGlas[Kosten/jaar excl. BTW])</calculatedColumnFormula>
    </tableColumn>
    <tableColumn id="3" xr3:uid="{00000000-0010-0000-0D00-000003000000}" name="Extra Werkzaamheden_x000a_Kosten / jaar" totalsRowFunction="sum" dataDxfId="4" totalsRowDxfId="3">
      <calculatedColumnFormula>SUMIF(OverzichtExtra[Code Locatie],Totalisatie[[#This Row],[Code Locatie]],OverzichtExtra[Kosten/jaar excl. BTW])</calculatedColumnFormula>
    </tableColumn>
    <tableColumn id="7" xr3:uid="{00000000-0010-0000-0D00-000007000000}" name="Totaalprijs_x000a_Kosten / jaar" totalsRowFunction="sum" dataDxfId="2" totalsRowDxfId="1">
      <calculatedColumnFormula>SUM(Totalisatie[[#This Row],[Schoonmaakonderhoud
Kosten / jaar]:[Extra Werkzaamheden
Kosten / jaar]])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Vloersoorten" displayName="Vloersoorten" ref="A38:F42" totalsRowShown="0" headerRowDxfId="201" dataDxfId="200">
  <autoFilter ref="A38:F42" xr:uid="{00000000-0009-0000-0100-000007000000}"/>
  <tableColumns count="6">
    <tableColumn id="1" xr3:uid="{00000000-0010-0000-0100-000001000000}" name="Code" dataDxfId="199"/>
    <tableColumn id="4" xr3:uid="{00000000-0010-0000-0100-000004000000}" name="Naam" dataDxfId="198"/>
    <tableColumn id="5" xr3:uid="{00000000-0010-0000-0100-000005000000}" name="Aanpassing norm" dataDxfId="197" dataCellStyle="Procent"/>
    <tableColumn id="2" xr3:uid="{00000000-0010-0000-0100-000002000000}" name="Vloersoort omschrijving" dataDxfId="196" dataCellStyle="Standaard 4"/>
    <tableColumn id="7" xr3:uid="{00000000-0010-0000-0100-000007000000}" name="Kolom2" dataDxfId="195" dataCellStyle="Standaard 4"/>
    <tableColumn id="6" xr3:uid="{00000000-0010-0000-0100-000006000000}" name="Kolom1" dataDxfId="194" dataCellStyle="Standaard 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Frequenties" displayName="Frequenties" ref="A45:C55" totalsRowShown="0" headerRowDxfId="193" dataDxfId="192">
  <autoFilter ref="A45:C55" xr:uid="{00000000-0009-0000-0100-000008000000}"/>
  <tableColumns count="3">
    <tableColumn id="1" xr3:uid="{00000000-0010-0000-0200-000001000000}" name="Code" dataDxfId="191" dataCellStyle="Standaard 4"/>
    <tableColumn id="2" xr3:uid="{00000000-0010-0000-0200-000002000000}" name="Frequentie omschrijving" dataDxfId="190" dataCellStyle="Standaard 4"/>
    <tableColumn id="3" xr3:uid="{00000000-0010-0000-0200-000003000000}" name="Aanpassing norm" dataDxfId="189" dataCellStyle="Procent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Locaties" displayName="Locaties" ref="A6:F9" totalsRowShown="0" dataDxfId="188">
  <autoFilter ref="A6:F9" xr:uid="{00000000-0009-0000-0100-00000D000000}"/>
  <tableColumns count="6">
    <tableColumn id="1" xr3:uid="{00000000-0010-0000-0300-000001000000}" name="Code" dataDxfId="187"/>
    <tableColumn id="2" xr3:uid="{00000000-0010-0000-0300-000002000000}" name="Locatie" dataDxfId="186"/>
    <tableColumn id="7" xr3:uid="{00000000-0010-0000-0300-000007000000}" name="Aanpassing norm" dataDxfId="185"/>
    <tableColumn id="3" xr3:uid="{00000000-0010-0000-0300-000003000000}" name="Adres" dataDxfId="184" dataCellStyle="Standaard 4"/>
    <tableColumn id="4" xr3:uid="{00000000-0010-0000-0300-000004000000}" name="Postcode" dataDxfId="183" dataCellStyle="Standaard 4"/>
    <tableColumn id="5" xr3:uid="{00000000-0010-0000-0300-000005000000}" name="Plaats" dataDxfId="182" dataCellStyle="Standaard 4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Ruimtestaat" displayName="Ruimtestaat" ref="A4:AH575" totalsRowShown="0" headerRowDxfId="181" dataDxfId="180">
  <autoFilter ref="A4:AH575" xr:uid="{00000000-0009-0000-0100-000009000000}"/>
  <tableColumns count="34">
    <tableColumn id="32" xr3:uid="{00000000-0010-0000-0400-000020000000}" name="Code" dataDxfId="179"/>
    <tableColumn id="1" xr3:uid="{00000000-0010-0000-0400-000001000000}" name="Locatie" dataDxfId="178"/>
    <tableColumn id="3" xr3:uid="{00000000-0010-0000-0400-000003000000}" name="Adres" dataDxfId="177">
      <calculatedColumnFormula>VLOOKUP(Ruimtestaat[[#This Row],[Code]],Locaties[#All],4,FALSE)</calculatedColumnFormula>
    </tableColumn>
    <tableColumn id="4" xr3:uid="{00000000-0010-0000-0400-000004000000}" name="Postcode" dataDxfId="176">
      <calculatedColumnFormula>VLOOKUP(Ruimtestaat[[#This Row],[Code]],Locaties[#All],5,FALSE)</calculatedColumnFormula>
    </tableColumn>
    <tableColumn id="5" xr3:uid="{00000000-0010-0000-0400-000005000000}" name="Plaats" dataDxfId="175">
      <calculatedColumnFormula>VLOOKUP(Ruimtestaat[[#This Row],[Code]],Locaties[#All],6,FALSE)</calculatedColumnFormula>
    </tableColumn>
    <tableColumn id="33" xr3:uid="{750B53FB-7675-41E2-91E3-6BB91EA46D31}" name="Gebouw gedeelte" dataDxfId="174"/>
    <tableColumn id="2" xr3:uid="{00000000-0010-0000-0400-000002000000}" name="bouwtekening no." dataDxfId="173"/>
    <tableColumn id="6" xr3:uid="{00000000-0010-0000-0400-000006000000}" name="Etage" dataDxfId="172"/>
    <tableColumn id="7" xr3:uid="{00000000-0010-0000-0400-000007000000}" name="Ruimte- nummer" dataDxfId="171"/>
    <tableColumn id="8" xr3:uid="{00000000-0010-0000-0400-000008000000}" name="Ruimte omschrijving" dataDxfId="170"/>
    <tableColumn id="9" xr3:uid="{00000000-0010-0000-0400-000009000000}" name="Ruimte code" dataDxfId="169"/>
    <tableColumn id="10" xr3:uid="{00000000-0010-0000-0400-00000A000000}" name="Ruimtesoort" dataDxfId="168"/>
    <tableColumn id="11" xr3:uid="{00000000-0010-0000-0400-00000B000000}" name="Vloer code" dataDxfId="167"/>
    <tableColumn id="12" xr3:uid="{00000000-0010-0000-0400-00000C000000}" name="Vloer afwerking" dataDxfId="166"/>
    <tableColumn id="13" xr3:uid="{00000000-0010-0000-0400-00000D000000}" name="Oppervlak (netto)" dataDxfId="165"/>
    <tableColumn id="14" xr3:uid="{00000000-0010-0000-0400-00000E000000}" name="Oppervlakte n.i.o." dataDxfId="164"/>
    <tableColumn id="15" xr3:uid="{00000000-0010-0000-0400-00000F000000}" name="Inspectie categorie" dataDxfId="163">
      <calculatedColumnFormula>LEFT(VLOOKUP(Ruimtestaat[[#This Row],[Ruimte code]],Ruimtegroepen[#All],4,1),2)</calculatedColumnFormula>
    </tableColumn>
    <tableColumn id="16" xr3:uid="{00000000-0010-0000-0400-000010000000}" name="Opmerking" dataDxfId="162"/>
    <tableColumn id="17" xr3:uid="{00000000-0010-0000-0400-000011000000}" name="Aantal weken/jr" dataDxfId="161"/>
    <tableColumn id="18" xr3:uid="{00000000-0010-0000-0400-000012000000}" name="Frequentie werkdagen" dataDxfId="160"/>
    <tableColumn id="19" xr3:uid="{00000000-0010-0000-0400-000013000000}" name="Uitvoeringen werkdagen" dataDxfId="159">
      <calculatedColumnFormula>IF(S5&gt;0,IF(RIGHT(Ruimtestaat[[#This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calculatedColumnFormula>
    </tableColumn>
    <tableColumn id="20" xr3:uid="{00000000-0010-0000-0400-000014000000}" name="Norm (m2/uur) werkdagen" dataDxfId="158">
      <calculatedColumnFormula>IF(U5&gt;0,VLOOKUP($K5,Ruimtegroepen[],3,FALSE)*VLOOKUP($M5,Vloersoorten[],3,FALSE)*VLOOKUP($T5,Frequenties[],3,FALSE)*VLOOKUP($A5,Locaties[],3,FALSE),0)</calculatedColumnFormula>
    </tableColumn>
    <tableColumn id="21" xr3:uid="{00000000-0010-0000-0400-000015000000}" name="Prest. (m2 /jaar) werkdagen" dataDxfId="157"/>
    <tableColumn id="22" xr3:uid="{00000000-0010-0000-0400-000016000000}" name="uren / jaar werkdagen" dataDxfId="156">
      <calculatedColumnFormula>IF(V5&gt;0,Ruimtestaat[[#This Row],[Prest. (m2 /jaar) werkdagen]]/Ruimtestaat[[#This Row],[Norm (m2/uur) werkdagen]],0)</calculatedColumnFormula>
    </tableColumn>
    <tableColumn id="23" xr3:uid="{00000000-0010-0000-0400-000017000000}" name="kosten / jaar werkdagen" dataDxfId="155">
      <calculatedColumnFormula>Ruimtestaat[[#This Row],[uren / jaar werkdagen]]*Tariefsopbouw!$E$35</calculatedColumnFormula>
    </tableColumn>
    <tableColumn id="24" xr3:uid="{00000000-0010-0000-0400-000018000000}" name="Frequentie weekend" dataDxfId="154"/>
    <tableColumn id="38" xr3:uid="{00000000-0010-0000-0400-000026000000}" name="Uitvoeringen weekend" dataDxfId="153">
      <calculatedColumnFormula>IF(Ruimtestaat[[#This Row],[Frequentie weekend]]&gt;0,VALUE(LEFT(Z5,1))*S5,0)</calculatedColumnFormula>
    </tableColumn>
    <tableColumn id="25" xr3:uid="{00000000-0010-0000-0400-000019000000}" name="Norm (m2/uur) weekend" dataDxfId="152">
      <calculatedColumnFormula>IF($AA5&gt;0,VLOOKUP($K5,Ruimtegroepen[],3,FALSE)*VLOOKUP($M5,Vloersoorten[],3,FALSE)*VLOOKUP($Z5,Frequenties[],3,FALSE)*VLOOKUP($A1,Locaties[],3,FALSE),0)</calculatedColumnFormula>
    </tableColumn>
    <tableColumn id="26" xr3:uid="{00000000-0010-0000-0400-00001A000000}" name="Prest. (m2 /jaar) weekend" dataDxfId="151"/>
    <tableColumn id="27" xr3:uid="{00000000-0010-0000-0400-00001B000000}" name="uren / jaar weekend" dataDxfId="150"/>
    <tableColumn id="28" xr3:uid="{00000000-0010-0000-0400-00001C000000}" name="kosten / jaar weekend" dataDxfId="149">
      <calculatedColumnFormula>Ruimtestaat[[#This Row],[uren / jaar weekend]]*Tariefsopbouw!$D$40</calculatedColumnFormula>
    </tableColumn>
    <tableColumn id="29" xr3:uid="{00000000-0010-0000-0400-00001D000000}" name="Prest. (m2 /jaar)" dataDxfId="148" dataCellStyle="Komma">
      <calculatedColumnFormula>Ruimtestaat[[#This Row],[Prest. (m2 /jaar) weekend]]+Ruimtestaat[[#This Row],[Prest. (m2 /jaar) werkdagen]]</calculatedColumnFormula>
    </tableColumn>
    <tableColumn id="30" xr3:uid="{00000000-0010-0000-0400-00001E000000}" name="uren / jaar" dataDxfId="147" dataCellStyle="Komma">
      <calculatedColumnFormula>Ruimtestaat[[#This Row],[uren / jaar weekend]]+Ruimtestaat[[#This Row],[uren / jaar werkdagen]]</calculatedColumnFormula>
    </tableColumn>
    <tableColumn id="31" xr3:uid="{00000000-0010-0000-0400-00001F000000}" name="kosten / jaar" dataDxfId="146">
      <calculatedColumnFormula>Ruimtestaat[[#This Row],[kosten / jaar weekend]]+Ruimtestaat[[#This Row],[kosten / jaar werkdagen]]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7000000}" name="InvulVloer" displayName="InvulVloer" ref="A8:I17" totalsRowShown="0" headerRowDxfId="145">
  <autoFilter ref="A8:I17" xr:uid="{00000000-0009-0000-0100-000001000000}"/>
  <tableColumns count="9">
    <tableColumn id="1" xr3:uid="{00000000-0010-0000-0700-000001000000}" name="Code Taak" dataDxfId="144"/>
    <tableColumn id="2" xr3:uid="{00000000-0010-0000-0700-000002000000}" name="Werkzaamheden"/>
    <tableColumn id="3" xr3:uid="{00000000-0010-0000-0700-000003000000}" name="Prijs" dataDxfId="143"/>
    <tableColumn id="4" xr3:uid="{00000000-0010-0000-0700-000004000000}" name="Omschrijving" dataDxfId="142"/>
    <tableColumn id="5" xr3:uid="{7B224336-2E90-4786-8885-F9B3CAAAC600}" name="2025" dataDxfId="141" dataCellStyle="Valuta 4">
      <calculatedColumnFormula>InvulVloer[[#This Row],[Prijs]]*Tariefsopbouw!$I$37+InvulVloer[[#This Row],[Prijs]]</calculatedColumnFormula>
    </tableColumn>
    <tableColumn id="6" xr3:uid="{0211B985-6953-45B6-8A6A-749D6F313951}" name="2026" dataDxfId="140">
      <calculatedColumnFormula>InvulVloer[[#This Row],[2025]]*Tariefsopbouw!$K$37+InvulVloer[[#This Row],[2025]]</calculatedColumnFormula>
    </tableColumn>
    <tableColumn id="7" xr3:uid="{9E193464-F35C-49B3-A477-D7B0835ABCF2}" name="2027" dataDxfId="139">
      <calculatedColumnFormula>InvulVloer[[#This Row],[2026]]*Tariefsopbouw!$M$37+InvulVloer[[#This Row],[2026]]</calculatedColumnFormula>
    </tableColumn>
    <tableColumn id="8" xr3:uid="{8069DF64-F4BB-49BA-8609-74BCEBC0E84C}" name="2028" dataDxfId="138">
      <calculatedColumnFormula>InvulVloer[[#This Row],[2027]]*Tariefsopbouw!$O$37+InvulVloer[[#This Row],[2027]]</calculatedColumnFormula>
    </tableColumn>
    <tableColumn id="9" xr3:uid="{FCBF02FF-403C-4DC9-8F5B-108F47020EEA}" name="2029" dataDxfId="137">
      <calculatedColumnFormula>InvulVloer[[#This Row],[2028]]*Tariefsopbouw!$Q$37+InvulVloer[[#This Row],[2028]]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8000000}" name="OverzichtVloer" displayName="OverzichtVloer" ref="A20:H33" totalsRowCount="1" headerRowDxfId="136" dataDxfId="135" totalsRowDxfId="134">
  <autoFilter ref="A20:H32" xr:uid="{00000000-0009-0000-0100-000002000000}"/>
  <tableColumns count="8">
    <tableColumn id="11" xr3:uid="{00000000-0010-0000-0800-00000B000000}" name="Code Locatie" dataDxfId="133" totalsRowDxfId="132"/>
    <tableColumn id="1" xr3:uid="{00000000-0010-0000-0800-000001000000}" name="Locatie" totalsRowLabel="Totaal" dataDxfId="131" totalsRowDxfId="130"/>
    <tableColumn id="3" xr3:uid="{00000000-0010-0000-0800-000003000000}" name="Code Taak" dataDxfId="129" totalsRowDxfId="128"/>
    <tableColumn id="4" xr3:uid="{00000000-0010-0000-0800-000004000000}" name="Werkzaamheden" dataDxfId="127" totalsRowDxfId="126">
      <calculatedColumnFormula>IF(Vloeronderhoud!$C21&gt;0,VLOOKUP(Vloeronderhoud!$C21,$A$8:$B$17,2,FALSE),"")</calculatedColumnFormula>
    </tableColumn>
    <tableColumn id="5" xr3:uid="{00000000-0010-0000-0800-000005000000}" name="Vloersoort" dataDxfId="125" totalsRowDxfId="124"/>
    <tableColumn id="6" xr3:uid="{00000000-0010-0000-0800-000006000000}" name="Oppervlakte" dataDxfId="123" totalsRowDxfId="122">
      <calculatedColumnFormula>SUMIFS('Ruimtestaat'!$O:$O,'Ruimtestaat'!M:M,Vloeronderhoud!E21,'Ruimtestaat'!A:A,Vloeronderhoud!A21)</calculatedColumnFormula>
    </tableColumn>
    <tableColumn id="8" xr3:uid="{00000000-0010-0000-0800-000008000000}" name="Frequentie (uitv./jaar)" dataDxfId="121" totalsRowDxfId="120"/>
    <tableColumn id="9" xr3:uid="{00000000-0010-0000-0800-000009000000}" name="Kosten/jaar excl. BTW" totalsRowFunction="sum" dataDxfId="119" totalsRowDxfId="118">
      <calculatedColumnFormula>G21*#REF!*F21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B56DD7F-E31F-4738-A2A6-B6195742F83D}" name="InvulGlas" displayName="InvulGlas" ref="A8:I22" totalsRowShown="0" headerRowDxfId="117">
  <autoFilter ref="A8:I22" xr:uid="{3B56DD7F-E31F-4738-A2A6-B6195742F83D}"/>
  <tableColumns count="9">
    <tableColumn id="1" xr3:uid="{E535CE63-335F-4482-A4E0-E125D9A2B340}" name="Code taak" dataDxfId="116"/>
    <tableColumn id="2" xr3:uid="{25BA42B2-ED5A-4BB6-B11D-C43B4833E11E}" name="Glassoort/voorziening" dataDxfId="115"/>
    <tableColumn id="3" xr3:uid="{CF51549B-5B5B-4DAA-9B7E-C0E281B3CE61}" name="Prijs excl. BTW" dataDxfId="114"/>
    <tableColumn id="4" xr3:uid="{6F94C37D-4D34-45AA-883D-F6E668605F2E}" name="Eenheid" dataDxfId="113"/>
    <tableColumn id="5" xr3:uid="{B42CEB27-60B6-49B0-917A-9BE12D2DA665}" name="2025" dataDxfId="112">
      <calculatedColumnFormula>(InvulGlas[[#This Row],[Prijs excl. BTW]]*Tariefsopbouw!$I$37)+InvulGlas[[#This Row],[Prijs excl. BTW]]</calculatedColumnFormula>
    </tableColumn>
    <tableColumn id="6" xr3:uid="{8237F260-0DF8-45FA-8B35-F9EFF1B9C431}" name="2026" dataDxfId="111">
      <calculatedColumnFormula>(InvulGlas[[#This Row],[2025]]*Tariefsopbouw!$K$37)+InvulGlas[[#This Row],[2025]]</calculatedColumnFormula>
    </tableColumn>
    <tableColumn id="7" xr3:uid="{55531EE1-56B0-423A-AC5D-7780403A0A80}" name="2027" dataDxfId="110">
      <calculatedColumnFormula>(InvulGlas[[#This Row],[2026]]*Tariefsopbouw!$M$37)+InvulGlas[[#This Row],[2026]]</calculatedColumnFormula>
    </tableColumn>
    <tableColumn id="8" xr3:uid="{419C290D-2527-48A8-999A-C82B165194BA}" name="2028" dataDxfId="109">
      <calculatedColumnFormula>(InvulGlas[[#This Row],[2027]]*Tariefsopbouw!$O$37)+InvulGlas[[#This Row],[2027]]</calculatedColumnFormula>
    </tableColumn>
    <tableColumn id="9" xr3:uid="{E4E2B8F8-E445-4912-8989-9751C8DD6970}" name="2029" dataDxfId="108">
      <calculatedColumnFormula>(InvulGlas[[#This Row],[2028]]*Tariefsopbouw!$Q$37)+InvulGlas[[#This Row],[2028]]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20012B9-E2E3-462E-92FA-D2ECE74E3DC6}" name="OverzichtGlas" displayName="OverzichtGlas" ref="A24:I42" totalsRowCount="1" headerRowDxfId="107" dataDxfId="106" totalsRowDxfId="105">
  <autoFilter ref="A24:I41" xr:uid="{620012B9-E2E3-462E-92FA-D2ECE74E3DC6}"/>
  <sortState xmlns:xlrd2="http://schemas.microsoft.com/office/spreadsheetml/2017/richdata2" ref="A25:G41">
    <sortCondition ref="A35:A41"/>
  </sortState>
  <tableColumns count="9">
    <tableColumn id="1" xr3:uid="{2536BA71-4E9E-4699-B1D3-AD672C5D2A84}" name="Code Locatie" totalsRowLabel="Totaal" dataDxfId="104" totalsRowDxfId="103"/>
    <tableColumn id="2" xr3:uid="{50EE039F-714D-4763-852C-089B9B9C7380}" name="Locatie" dataDxfId="102" totalsRowDxfId="101">
      <calculatedColumnFormula>VLOOKUP(OverzichtGlas[[#This Row],[Code Locatie]],Samenvattingschoonmaak[[#All],[Code Locatie]:[Locatie]],2,FALSE)</calculatedColumnFormula>
    </tableColumn>
    <tableColumn id="3" xr3:uid="{D15C2F41-1594-45D7-9803-C8C7AEECECF7}" name="Code taak" dataDxfId="100" totalsRowDxfId="99"/>
    <tableColumn id="4" xr3:uid="{642A0D23-31BA-42AE-8CB0-DC6E3B12DFB6}" name="Glassoort/voorziening" dataDxfId="98" totalsRowDxfId="97"/>
    <tableColumn id="5" xr3:uid="{C9661328-A370-44DF-8207-78449C8D44D2}" name="Oppervlakte of dagen" dataDxfId="96" totalsRowDxfId="95"/>
    <tableColumn id="7" xr3:uid="{BDAD6D23-D82B-43C1-9D0E-6A2C6CAB4C1A}" name="Frequentie" dataDxfId="94" totalsRowDxfId="93"/>
    <tableColumn id="8" xr3:uid="{BDB7ACE8-E58D-4776-9BBB-A8732570A475}" name="Kosten/jaar excl. BTW" totalsRowFunction="sum" dataDxfId="92" totalsRowDxfId="91">
      <calculatedColumnFormula>IF(C25&gt;0,VLOOKUP(OverzichtGlas[[#This Row],[Code taak]],InvulGlas[],3,0)*E25*F25,0)</calculatedColumnFormula>
    </tableColumn>
    <tableColumn id="9" xr3:uid="{8F415E75-25DE-41FA-86DA-16C5EB0A9299}" name="Kosten/jaar incl. BTW" totalsRowFunction="sum" dataDxfId="90" totalsRowDxfId="89">
      <calculatedColumnFormula>OverzichtGlas[[#This Row],[Kosten/jaar excl. BTW]]*1.21</calculatedColumnFormula>
    </tableColumn>
    <tableColumn id="10" xr3:uid="{8B05202D-C69A-4C8D-9EBD-9530B2C0368D}" name="Opmerking" dataDxfId="88" totalsRowDxfId="87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FA6C8-DE36-4FA0-8D82-522EE24A94D3}">
  <sheetPr>
    <tabColor theme="0" tint="-0.14999847407452621"/>
  </sheetPr>
  <dimension ref="A1:T19"/>
  <sheetViews>
    <sheetView tabSelected="1" zoomScale="110" zoomScaleNormal="110" workbookViewId="0">
      <selection activeCell="F13" sqref="F13"/>
    </sheetView>
  </sheetViews>
  <sheetFormatPr defaultRowHeight="12.75"/>
  <cols>
    <col min="1" max="1" width="3.28515625" style="136" bestFit="1" customWidth="1"/>
    <col min="2" max="2" width="11.5703125" style="136" customWidth="1"/>
    <col min="3" max="3" width="10.42578125" style="136" bestFit="1" customWidth="1"/>
    <col min="4" max="4" width="11.5703125" style="136" bestFit="1" customWidth="1"/>
    <col min="5" max="5" width="16.42578125" style="136" bestFit="1" customWidth="1"/>
    <col min="6" max="6" width="17.5703125" style="136" customWidth="1"/>
    <col min="7" max="7" width="30.5703125" style="272" bestFit="1" customWidth="1"/>
    <col min="8" max="8" width="20.140625" style="272" bestFit="1" customWidth="1"/>
    <col min="9" max="9" width="8.140625" style="249" bestFit="1" customWidth="1"/>
    <col min="10" max="10" width="45.85546875" style="136" bestFit="1" customWidth="1"/>
    <col min="11" max="11" width="12.5703125" style="249" bestFit="1" customWidth="1"/>
    <col min="12" max="12" width="11.28515625" style="249" bestFit="1" customWidth="1"/>
    <col min="13" max="13" width="8.42578125" style="136" bestFit="1" customWidth="1"/>
    <col min="14" max="14" width="12.28515625" style="136" bestFit="1" customWidth="1"/>
    <col min="15" max="15" width="8.140625" style="136" bestFit="1" customWidth="1"/>
    <col min="16" max="16" width="8.5703125" style="136" bestFit="1" customWidth="1"/>
    <col min="17" max="17" width="14.42578125" style="136" bestFit="1" customWidth="1"/>
    <col min="18" max="18" width="17.7109375" style="136" customWidth="1"/>
    <col min="19" max="19" width="14.5703125" style="249" bestFit="1" customWidth="1"/>
    <col min="20" max="20" width="18.28515625" style="136" customWidth="1"/>
  </cols>
  <sheetData>
    <row r="1" spans="1:20" ht="45">
      <c r="A1" s="241"/>
      <c r="B1" s="171" t="s">
        <v>663</v>
      </c>
      <c r="C1" s="171" t="s">
        <v>664</v>
      </c>
      <c r="D1" s="171" t="s">
        <v>665</v>
      </c>
      <c r="E1" s="171" t="s">
        <v>666</v>
      </c>
      <c r="F1" s="171" t="s">
        <v>139</v>
      </c>
      <c r="G1" s="270" t="s">
        <v>667</v>
      </c>
      <c r="H1" s="171" t="s">
        <v>1342</v>
      </c>
      <c r="I1" s="171" t="s">
        <v>668</v>
      </c>
      <c r="J1" s="171" t="s">
        <v>227</v>
      </c>
      <c r="K1" s="171" t="s">
        <v>669</v>
      </c>
      <c r="L1" s="171" t="s">
        <v>670</v>
      </c>
      <c r="M1" s="171" t="s">
        <v>671</v>
      </c>
      <c r="N1" s="171" t="s">
        <v>672</v>
      </c>
      <c r="O1" s="171" t="s">
        <v>673</v>
      </c>
      <c r="P1" s="171" t="s">
        <v>674</v>
      </c>
      <c r="Q1" s="171" t="s">
        <v>675</v>
      </c>
      <c r="R1" s="171" t="s">
        <v>676</v>
      </c>
      <c r="S1" s="171" t="s">
        <v>677</v>
      </c>
      <c r="T1" s="171" t="s">
        <v>150</v>
      </c>
    </row>
    <row r="2" spans="1:20">
      <c r="A2" s="242">
        <v>1</v>
      </c>
      <c r="B2" s="243">
        <v>26391</v>
      </c>
      <c r="C2" s="243">
        <v>42135</v>
      </c>
      <c r="D2" s="243">
        <v>39349</v>
      </c>
      <c r="E2" s="244" t="s">
        <v>1100</v>
      </c>
      <c r="F2" s="244"/>
      <c r="G2" s="271">
        <v>7</v>
      </c>
      <c r="H2" s="275" t="s">
        <v>1341</v>
      </c>
      <c r="I2" s="245" t="s">
        <v>1101</v>
      </c>
      <c r="J2" s="244" t="s">
        <v>1102</v>
      </c>
      <c r="K2" s="245">
        <v>10</v>
      </c>
      <c r="L2" s="245">
        <v>1</v>
      </c>
      <c r="M2" s="246">
        <v>13.87</v>
      </c>
      <c r="N2" s="247" t="s">
        <v>1103</v>
      </c>
      <c r="O2" s="244" t="s">
        <v>1103</v>
      </c>
      <c r="P2" s="244" t="s">
        <v>1103</v>
      </c>
      <c r="Q2" s="245" t="s">
        <v>1103</v>
      </c>
      <c r="R2" s="245" t="s">
        <v>1104</v>
      </c>
      <c r="S2" s="245" t="s">
        <v>1101</v>
      </c>
      <c r="T2" s="244" t="s">
        <v>1105</v>
      </c>
    </row>
    <row r="3" spans="1:20">
      <c r="A3" s="242">
        <v>2</v>
      </c>
      <c r="B3" s="243">
        <v>28247</v>
      </c>
      <c r="C3" s="243">
        <v>42135</v>
      </c>
      <c r="D3" s="243">
        <v>36312</v>
      </c>
      <c r="E3" s="244" t="s">
        <v>1100</v>
      </c>
      <c r="F3" s="244"/>
      <c r="G3" s="271">
        <v>18</v>
      </c>
      <c r="H3" s="275" t="s">
        <v>1341</v>
      </c>
      <c r="I3" s="245" t="s">
        <v>1101</v>
      </c>
      <c r="J3" s="244" t="s">
        <v>1102</v>
      </c>
      <c r="K3" s="245">
        <v>10</v>
      </c>
      <c r="L3" s="245">
        <v>1</v>
      </c>
      <c r="M3" s="246">
        <v>13.87</v>
      </c>
      <c r="N3" s="247" t="s">
        <v>1103</v>
      </c>
      <c r="O3" s="244" t="s">
        <v>1103</v>
      </c>
      <c r="P3" s="244" t="s">
        <v>1103</v>
      </c>
      <c r="Q3" s="245" t="s">
        <v>1103</v>
      </c>
      <c r="R3" s="245" t="s">
        <v>1104</v>
      </c>
      <c r="S3" s="245" t="s">
        <v>1101</v>
      </c>
      <c r="T3" s="244" t="s">
        <v>1105</v>
      </c>
    </row>
    <row r="4" spans="1:20" ht="22.5">
      <c r="A4" s="242">
        <v>3</v>
      </c>
      <c r="B4" s="276">
        <v>38316</v>
      </c>
      <c r="C4" s="243">
        <v>44796</v>
      </c>
      <c r="D4" s="243">
        <v>44796</v>
      </c>
      <c r="E4" s="244" t="s">
        <v>1106</v>
      </c>
      <c r="F4" s="264" t="s">
        <v>1327</v>
      </c>
      <c r="G4" s="271">
        <v>11.65</v>
      </c>
      <c r="H4" s="275" t="s">
        <v>1341</v>
      </c>
      <c r="I4" s="245" t="s">
        <v>1107</v>
      </c>
      <c r="J4" s="244" t="s">
        <v>1102</v>
      </c>
      <c r="K4" s="245">
        <v>10</v>
      </c>
      <c r="L4" s="245">
        <v>1</v>
      </c>
      <c r="M4" s="246">
        <v>10.33</v>
      </c>
      <c r="N4" s="248" t="s">
        <v>1103</v>
      </c>
      <c r="O4" s="244" t="s">
        <v>1103</v>
      </c>
      <c r="P4" s="244" t="s">
        <v>1103</v>
      </c>
      <c r="Q4" s="245" t="s">
        <v>1103</v>
      </c>
      <c r="R4" s="245" t="s">
        <v>1104</v>
      </c>
      <c r="S4" s="245" t="s">
        <v>1107</v>
      </c>
      <c r="T4" s="244" t="s">
        <v>1105</v>
      </c>
    </row>
    <row r="5" spans="1:20">
      <c r="A5" s="242">
        <v>4</v>
      </c>
      <c r="B5" s="243">
        <v>28128</v>
      </c>
      <c r="C5" s="243">
        <v>43521</v>
      </c>
      <c r="D5" s="243">
        <v>43031</v>
      </c>
      <c r="E5" s="244" t="s">
        <v>1100</v>
      </c>
      <c r="F5" s="244"/>
      <c r="G5" s="271">
        <v>11.65</v>
      </c>
      <c r="H5" s="275" t="s">
        <v>1341</v>
      </c>
      <c r="I5" s="245" t="s">
        <v>1101</v>
      </c>
      <c r="J5" s="244" t="s">
        <v>1102</v>
      </c>
      <c r="K5" s="245">
        <v>10</v>
      </c>
      <c r="L5" s="245">
        <v>1</v>
      </c>
      <c r="M5" s="246">
        <v>13.87</v>
      </c>
      <c r="N5" s="248" t="s">
        <v>1103</v>
      </c>
      <c r="O5" s="244" t="s">
        <v>1103</v>
      </c>
      <c r="P5" s="244" t="s">
        <v>1103</v>
      </c>
      <c r="Q5" s="245" t="s">
        <v>1103</v>
      </c>
      <c r="R5" s="245" t="s">
        <v>1104</v>
      </c>
      <c r="S5" s="245" t="s">
        <v>1107</v>
      </c>
      <c r="T5" s="244" t="s">
        <v>1105</v>
      </c>
    </row>
    <row r="6" spans="1:20">
      <c r="A6" s="242">
        <v>5</v>
      </c>
      <c r="B6" s="243">
        <v>31634</v>
      </c>
      <c r="C6" s="243">
        <v>43521</v>
      </c>
      <c r="D6" s="243">
        <v>43016</v>
      </c>
      <c r="E6" s="244" t="s">
        <v>1100</v>
      </c>
      <c r="F6" s="244"/>
      <c r="G6" s="271">
        <v>11.65</v>
      </c>
      <c r="H6" s="275" t="s">
        <v>1341</v>
      </c>
      <c r="I6" s="245" t="s">
        <v>1101</v>
      </c>
      <c r="J6" s="244" t="s">
        <v>1102</v>
      </c>
      <c r="K6" s="245">
        <v>10</v>
      </c>
      <c r="L6" s="245">
        <v>1</v>
      </c>
      <c r="M6" s="246">
        <v>13.97</v>
      </c>
      <c r="N6" s="248" t="s">
        <v>1103</v>
      </c>
      <c r="O6" s="244" t="s">
        <v>1103</v>
      </c>
      <c r="P6" s="244" t="s">
        <v>1103</v>
      </c>
      <c r="Q6" s="245" t="s">
        <v>1103</v>
      </c>
      <c r="R6" s="245" t="s">
        <v>1104</v>
      </c>
      <c r="S6" s="245" t="s">
        <v>1107</v>
      </c>
      <c r="T6" s="244" t="s">
        <v>1105</v>
      </c>
    </row>
    <row r="7" spans="1:20">
      <c r="A7" s="242">
        <v>6</v>
      </c>
      <c r="B7" s="243">
        <v>27012</v>
      </c>
      <c r="C7" s="243">
        <v>41518</v>
      </c>
      <c r="D7" s="243">
        <v>37725</v>
      </c>
      <c r="E7" s="244" t="s">
        <v>1312</v>
      </c>
      <c r="F7" s="244"/>
      <c r="G7" s="271" t="s">
        <v>1313</v>
      </c>
      <c r="H7" s="271" t="s">
        <v>1343</v>
      </c>
      <c r="I7" s="245" t="s">
        <v>1101</v>
      </c>
      <c r="J7" s="244" t="s">
        <v>1314</v>
      </c>
      <c r="K7" s="245">
        <v>665</v>
      </c>
      <c r="L7" s="245">
        <v>3</v>
      </c>
      <c r="M7" s="246">
        <v>14.78</v>
      </c>
      <c r="N7" s="248" t="s">
        <v>1315</v>
      </c>
      <c r="O7" s="244" t="s">
        <v>1315</v>
      </c>
      <c r="P7" s="244" t="s">
        <v>1315</v>
      </c>
      <c r="Q7" s="245" t="s">
        <v>1315</v>
      </c>
      <c r="R7" s="245" t="s">
        <v>1315</v>
      </c>
      <c r="S7" s="245" t="s">
        <v>1316</v>
      </c>
      <c r="T7" s="244" t="s">
        <v>1115</v>
      </c>
    </row>
    <row r="8" spans="1:20">
      <c r="A8" s="242">
        <v>7</v>
      </c>
      <c r="B8" s="243">
        <v>27089</v>
      </c>
      <c r="C8" s="243">
        <v>41518</v>
      </c>
      <c r="D8" s="243">
        <v>39146</v>
      </c>
      <c r="E8" s="244" t="s">
        <v>1312</v>
      </c>
      <c r="F8" s="244"/>
      <c r="G8" s="271" t="s">
        <v>1317</v>
      </c>
      <c r="H8" s="271" t="s">
        <v>1343</v>
      </c>
      <c r="I8" s="245" t="s">
        <v>1101</v>
      </c>
      <c r="J8" s="244" t="s">
        <v>1318</v>
      </c>
      <c r="K8" s="245">
        <v>651</v>
      </c>
      <c r="L8" s="245">
        <v>1</v>
      </c>
      <c r="M8" s="246">
        <v>13.78</v>
      </c>
      <c r="N8" s="248" t="s">
        <v>1315</v>
      </c>
      <c r="O8" s="244" t="s">
        <v>1315</v>
      </c>
      <c r="P8" s="244" t="s">
        <v>1315</v>
      </c>
      <c r="Q8" s="245" t="s">
        <v>1315</v>
      </c>
      <c r="R8" s="245" t="s">
        <v>1315</v>
      </c>
      <c r="S8" s="245" t="s">
        <v>1316</v>
      </c>
      <c r="T8" s="244" t="s">
        <v>1115</v>
      </c>
    </row>
    <row r="9" spans="1:20">
      <c r="A9" s="242">
        <v>8</v>
      </c>
      <c r="B9" s="243">
        <v>27576</v>
      </c>
      <c r="C9" s="243">
        <v>42450</v>
      </c>
      <c r="D9" s="243">
        <v>42262</v>
      </c>
      <c r="E9" s="244" t="s">
        <v>1312</v>
      </c>
      <c r="F9" s="244"/>
      <c r="G9" s="271" t="s">
        <v>1317</v>
      </c>
      <c r="H9" s="271" t="s">
        <v>1343</v>
      </c>
      <c r="I9" s="245" t="s">
        <v>1101</v>
      </c>
      <c r="J9" s="244" t="s">
        <v>1318</v>
      </c>
      <c r="K9" s="245">
        <v>651</v>
      </c>
      <c r="L9" s="245">
        <v>1</v>
      </c>
      <c r="M9" s="246">
        <v>13.78</v>
      </c>
      <c r="N9" s="248" t="s">
        <v>1315</v>
      </c>
      <c r="O9" s="244" t="s">
        <v>1315</v>
      </c>
      <c r="P9" s="244" t="s">
        <v>1315</v>
      </c>
      <c r="Q9" s="245" t="s">
        <v>1315</v>
      </c>
      <c r="R9" s="245" t="s">
        <v>1315</v>
      </c>
      <c r="S9" s="245" t="s">
        <v>1316</v>
      </c>
      <c r="T9" s="244" t="s">
        <v>1115</v>
      </c>
    </row>
    <row r="10" spans="1:20">
      <c r="A10" s="242">
        <v>9</v>
      </c>
      <c r="B10" s="243">
        <v>24256</v>
      </c>
      <c r="C10" s="243">
        <v>43073</v>
      </c>
      <c r="D10" s="243">
        <v>38353</v>
      </c>
      <c r="E10" s="244" t="s">
        <v>1312</v>
      </c>
      <c r="F10" s="244"/>
      <c r="G10" s="271" t="s">
        <v>1319</v>
      </c>
      <c r="H10" s="271" t="s">
        <v>1343</v>
      </c>
      <c r="I10" s="245" t="s">
        <v>1101</v>
      </c>
      <c r="J10" s="244" t="s">
        <v>1318</v>
      </c>
      <c r="K10" s="245">
        <v>651</v>
      </c>
      <c r="L10" s="245">
        <v>1</v>
      </c>
      <c r="M10" s="246">
        <v>13.78</v>
      </c>
      <c r="N10" s="248" t="s">
        <v>1315</v>
      </c>
      <c r="O10" s="244" t="s">
        <v>1315</v>
      </c>
      <c r="P10" s="244" t="s">
        <v>1315</v>
      </c>
      <c r="Q10" s="245" t="s">
        <v>1315</v>
      </c>
      <c r="R10" s="245" t="s">
        <v>1315</v>
      </c>
      <c r="S10" s="245" t="s">
        <v>1316</v>
      </c>
      <c r="T10" s="244" t="s">
        <v>1115</v>
      </c>
    </row>
    <row r="11" spans="1:20">
      <c r="A11" s="242">
        <v>10</v>
      </c>
      <c r="B11" s="243">
        <v>30988</v>
      </c>
      <c r="C11" s="243">
        <v>43073</v>
      </c>
      <c r="D11" s="243">
        <v>41058</v>
      </c>
      <c r="E11" s="244" t="s">
        <v>1312</v>
      </c>
      <c r="F11" s="244"/>
      <c r="G11" s="271" t="s">
        <v>1319</v>
      </c>
      <c r="H11" s="271" t="s">
        <v>1343</v>
      </c>
      <c r="I11" s="245" t="s">
        <v>1101</v>
      </c>
      <c r="J11" s="244" t="s">
        <v>1318</v>
      </c>
      <c r="K11" s="245">
        <v>651</v>
      </c>
      <c r="L11" s="245">
        <v>1</v>
      </c>
      <c r="M11" s="246">
        <v>13.78</v>
      </c>
      <c r="N11" s="248" t="s">
        <v>1315</v>
      </c>
      <c r="O11" s="244" t="s">
        <v>1315</v>
      </c>
      <c r="P11" s="244" t="s">
        <v>1315</v>
      </c>
      <c r="Q11" s="245" t="s">
        <v>1315</v>
      </c>
      <c r="R11" s="245" t="s">
        <v>1315</v>
      </c>
      <c r="S11" s="245" t="s">
        <v>1316</v>
      </c>
      <c r="T11" s="244" t="s">
        <v>1115</v>
      </c>
    </row>
    <row r="12" spans="1:20">
      <c r="A12" s="242">
        <v>11</v>
      </c>
      <c r="B12" s="243">
        <v>27186</v>
      </c>
      <c r="C12" s="243">
        <v>44203</v>
      </c>
      <c r="D12" s="243">
        <v>43009</v>
      </c>
      <c r="E12" s="244" t="s">
        <v>1312</v>
      </c>
      <c r="F12" s="244"/>
      <c r="G12" s="271" t="s">
        <v>1320</v>
      </c>
      <c r="H12" s="271" t="s">
        <v>1343</v>
      </c>
      <c r="I12" s="245" t="s">
        <v>1101</v>
      </c>
      <c r="J12" s="244" t="s">
        <v>1318</v>
      </c>
      <c r="K12" s="245">
        <v>651</v>
      </c>
      <c r="L12" s="245">
        <v>1</v>
      </c>
      <c r="M12" s="246">
        <v>13.78</v>
      </c>
      <c r="N12" s="248" t="s">
        <v>1315</v>
      </c>
      <c r="O12" s="244" t="s">
        <v>1315</v>
      </c>
      <c r="P12" s="244" t="s">
        <v>1315</v>
      </c>
      <c r="Q12" s="245" t="s">
        <v>1315</v>
      </c>
      <c r="R12" s="245" t="s">
        <v>1315</v>
      </c>
      <c r="S12" s="245" t="s">
        <v>1316</v>
      </c>
      <c r="T12" s="244" t="s">
        <v>1115</v>
      </c>
    </row>
    <row r="13" spans="1:20">
      <c r="A13" s="242">
        <v>12</v>
      </c>
      <c r="B13" s="243">
        <v>29038</v>
      </c>
      <c r="C13" s="243">
        <v>45017</v>
      </c>
      <c r="D13" s="243">
        <v>45017</v>
      </c>
      <c r="E13" s="244" t="s">
        <v>1321</v>
      </c>
      <c r="F13" s="244"/>
      <c r="G13" s="271" t="s">
        <v>1322</v>
      </c>
      <c r="H13" s="271" t="s">
        <v>1343</v>
      </c>
      <c r="I13" s="245" t="s">
        <v>1323</v>
      </c>
      <c r="J13" s="244" t="s">
        <v>1318</v>
      </c>
      <c r="K13" s="245">
        <v>651</v>
      </c>
      <c r="L13" s="245">
        <v>1</v>
      </c>
      <c r="M13" s="246">
        <v>13.78</v>
      </c>
      <c r="N13" s="248" t="s">
        <v>1315</v>
      </c>
      <c r="O13" s="244" t="s">
        <v>1315</v>
      </c>
      <c r="P13" s="244" t="s">
        <v>1315</v>
      </c>
      <c r="Q13" s="245" t="s">
        <v>1315</v>
      </c>
      <c r="R13" s="245" t="s">
        <v>1315</v>
      </c>
      <c r="S13" s="245" t="s">
        <v>1323</v>
      </c>
      <c r="T13" s="244" t="s">
        <v>1115</v>
      </c>
    </row>
    <row r="14" spans="1:20">
      <c r="A14" s="242">
        <v>13</v>
      </c>
      <c r="B14" s="243">
        <v>23690</v>
      </c>
      <c r="C14" s="243">
        <v>37257</v>
      </c>
      <c r="D14" s="243">
        <v>44562</v>
      </c>
      <c r="E14" s="244" t="s">
        <v>1328</v>
      </c>
      <c r="F14" s="265"/>
      <c r="G14" s="271">
        <v>15</v>
      </c>
      <c r="H14" s="348" t="s">
        <v>1343</v>
      </c>
      <c r="I14" s="245" t="s">
        <v>1101</v>
      </c>
      <c r="J14" s="266" t="s">
        <v>1329</v>
      </c>
      <c r="K14" s="245">
        <v>10</v>
      </c>
      <c r="L14" s="245">
        <v>1</v>
      </c>
      <c r="M14" s="246">
        <v>13.88</v>
      </c>
      <c r="N14" s="248" t="s">
        <v>1315</v>
      </c>
      <c r="O14" s="244" t="s">
        <v>1107</v>
      </c>
      <c r="P14" s="244" t="s">
        <v>1315</v>
      </c>
      <c r="Q14" s="245" t="s">
        <v>1107</v>
      </c>
      <c r="R14" s="245" t="s">
        <v>1107</v>
      </c>
      <c r="S14" s="245" t="s">
        <v>1107</v>
      </c>
      <c r="T14" s="244" t="s">
        <v>679</v>
      </c>
    </row>
    <row r="15" spans="1:20">
      <c r="A15" s="242">
        <v>14</v>
      </c>
      <c r="B15" s="243">
        <v>25325</v>
      </c>
      <c r="C15" s="243">
        <v>43687</v>
      </c>
      <c r="D15" s="267">
        <v>38596</v>
      </c>
      <c r="E15" s="244" t="s">
        <v>1328</v>
      </c>
      <c r="F15" s="265"/>
      <c r="G15" s="271">
        <v>24</v>
      </c>
      <c r="H15" s="348" t="s">
        <v>1343</v>
      </c>
      <c r="I15" s="245" t="s">
        <v>1101</v>
      </c>
      <c r="J15" s="266" t="s">
        <v>1330</v>
      </c>
      <c r="K15" s="245">
        <v>10</v>
      </c>
      <c r="L15" s="245">
        <v>1</v>
      </c>
      <c r="M15" s="246">
        <v>14.58</v>
      </c>
      <c r="N15" s="248" t="s">
        <v>1315</v>
      </c>
      <c r="O15" s="244" t="s">
        <v>1107</v>
      </c>
      <c r="P15" s="244" t="s">
        <v>1315</v>
      </c>
      <c r="Q15" s="349" t="s">
        <v>1344</v>
      </c>
      <c r="R15" s="245" t="s">
        <v>1107</v>
      </c>
      <c r="S15" s="245" t="s">
        <v>1101</v>
      </c>
      <c r="T15" s="244" t="s">
        <v>679</v>
      </c>
    </row>
    <row r="16" spans="1:20">
      <c r="A16" s="242">
        <v>15</v>
      </c>
      <c r="B16" s="243">
        <v>30178</v>
      </c>
      <c r="C16" s="243">
        <v>43687</v>
      </c>
      <c r="D16" s="268">
        <v>40792</v>
      </c>
      <c r="E16" s="244" t="s">
        <v>1328</v>
      </c>
      <c r="F16" s="265"/>
      <c r="G16" s="271">
        <v>20</v>
      </c>
      <c r="H16" s="348" t="s">
        <v>1343</v>
      </c>
      <c r="I16" s="245" t="s">
        <v>1101</v>
      </c>
      <c r="J16" s="266" t="s">
        <v>1329</v>
      </c>
      <c r="K16" s="245">
        <v>10</v>
      </c>
      <c r="L16" s="245">
        <v>1</v>
      </c>
      <c r="M16" s="246">
        <v>13.87</v>
      </c>
      <c r="N16" s="248" t="s">
        <v>1315</v>
      </c>
      <c r="O16" s="244" t="s">
        <v>1107</v>
      </c>
      <c r="P16" s="244" t="s">
        <v>1315</v>
      </c>
      <c r="Q16" s="245" t="s">
        <v>1107</v>
      </c>
      <c r="R16" s="245" t="s">
        <v>1107</v>
      </c>
      <c r="S16" s="245" t="s">
        <v>1101</v>
      </c>
      <c r="T16" s="244" t="s">
        <v>679</v>
      </c>
    </row>
    <row r="17" spans="1:20">
      <c r="A17" s="242">
        <v>16</v>
      </c>
      <c r="B17" s="243">
        <v>29221</v>
      </c>
      <c r="C17" s="243">
        <v>43687</v>
      </c>
      <c r="D17" s="267">
        <v>43342</v>
      </c>
      <c r="E17" s="244" t="s">
        <v>1328</v>
      </c>
      <c r="F17" s="265"/>
      <c r="G17" s="271">
        <v>21</v>
      </c>
      <c r="H17" s="348" t="s">
        <v>1343</v>
      </c>
      <c r="I17" s="245" t="s">
        <v>1101</v>
      </c>
      <c r="J17" s="266" t="s">
        <v>1329</v>
      </c>
      <c r="K17" s="245">
        <v>10</v>
      </c>
      <c r="L17" s="245">
        <v>1</v>
      </c>
      <c r="M17" s="246">
        <v>13.87</v>
      </c>
      <c r="N17" s="248" t="s">
        <v>1315</v>
      </c>
      <c r="O17" s="244" t="s">
        <v>1107</v>
      </c>
      <c r="P17" s="244" t="s">
        <v>1315</v>
      </c>
      <c r="Q17" s="245" t="s">
        <v>1107</v>
      </c>
      <c r="R17" s="245" t="s">
        <v>1107</v>
      </c>
      <c r="S17" s="245" t="s">
        <v>1101</v>
      </c>
      <c r="T17" s="244" t="s">
        <v>679</v>
      </c>
    </row>
    <row r="18" spans="1:20">
      <c r="A18" s="242">
        <v>17</v>
      </c>
      <c r="B18" s="243">
        <v>25529</v>
      </c>
      <c r="C18" s="243">
        <v>43687</v>
      </c>
      <c r="D18" s="267">
        <v>42404</v>
      </c>
      <c r="E18" s="244" t="s">
        <v>1328</v>
      </c>
      <c r="F18" s="265"/>
      <c r="G18" s="271">
        <v>20</v>
      </c>
      <c r="H18" s="348" t="s">
        <v>1343</v>
      </c>
      <c r="I18" s="245" t="s">
        <v>1101</v>
      </c>
      <c r="J18" s="266" t="s">
        <v>1329</v>
      </c>
      <c r="K18" s="245">
        <v>10</v>
      </c>
      <c r="L18" s="245">
        <v>1</v>
      </c>
      <c r="M18" s="246">
        <v>13.87</v>
      </c>
      <c r="N18" s="248" t="s">
        <v>1315</v>
      </c>
      <c r="O18" s="244" t="s">
        <v>1107</v>
      </c>
      <c r="P18" s="244" t="s">
        <v>1315</v>
      </c>
      <c r="Q18" s="245" t="s">
        <v>1107</v>
      </c>
      <c r="R18" s="245" t="s">
        <v>1107</v>
      </c>
      <c r="S18" s="245" t="s">
        <v>1101</v>
      </c>
      <c r="T18" s="244" t="s">
        <v>679</v>
      </c>
    </row>
    <row r="19" spans="1:20">
      <c r="A19" s="242">
        <v>18</v>
      </c>
      <c r="B19" s="243">
        <v>33808</v>
      </c>
      <c r="C19" s="243">
        <v>43998</v>
      </c>
      <c r="D19" s="243">
        <v>40756</v>
      </c>
      <c r="E19" s="244" t="s">
        <v>1328</v>
      </c>
      <c r="F19" s="265"/>
      <c r="G19" s="271">
        <v>15</v>
      </c>
      <c r="H19" s="348" t="s">
        <v>1343</v>
      </c>
      <c r="I19" s="245" t="s">
        <v>1107</v>
      </c>
      <c r="J19" s="244" t="s">
        <v>1331</v>
      </c>
      <c r="K19" s="245">
        <v>10</v>
      </c>
      <c r="L19" s="245">
        <v>4</v>
      </c>
      <c r="M19" s="246">
        <v>16.010000000000002</v>
      </c>
      <c r="N19" s="248" t="s">
        <v>1315</v>
      </c>
      <c r="O19" s="244" t="s">
        <v>1107</v>
      </c>
      <c r="P19" s="244" t="s">
        <v>1315</v>
      </c>
      <c r="Q19" s="245" t="s">
        <v>1107</v>
      </c>
      <c r="R19" s="245" t="s">
        <v>1107</v>
      </c>
      <c r="S19" s="245" t="s">
        <v>1101</v>
      </c>
      <c r="T19" s="244" t="s">
        <v>679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  <pageSetUpPr fitToPage="1"/>
  </sheetPr>
  <dimension ref="A1:K79"/>
  <sheetViews>
    <sheetView showGridLines="0" zoomScaleNormal="100" zoomScaleSheetLayoutView="100" workbookViewId="0">
      <selection activeCell="C14" sqref="C14"/>
    </sheetView>
  </sheetViews>
  <sheetFormatPr defaultColWidth="9.140625" defaultRowHeight="15" customHeight="1"/>
  <cols>
    <col min="1" max="1" width="9.42578125" style="3" customWidth="1"/>
    <col min="2" max="2" width="46.85546875" style="3" customWidth="1"/>
    <col min="3" max="3" width="13" style="3" customWidth="1"/>
    <col min="4" max="4" width="44.7109375" style="23" bestFit="1" customWidth="1"/>
    <col min="5" max="5" width="16.7109375" style="3" customWidth="1"/>
    <col min="6" max="6" width="17.7109375" style="153" bestFit="1" customWidth="1"/>
    <col min="7" max="7" width="20.28515625" style="3" bestFit="1" customWidth="1"/>
    <col min="8" max="8" width="18" style="102" bestFit="1" customWidth="1"/>
    <col min="9" max="10" width="17.7109375" style="3" bestFit="1" customWidth="1"/>
    <col min="11" max="16384" width="9.140625" style="3"/>
  </cols>
  <sheetData>
    <row r="1" spans="1:11" s="6" customFormat="1" ht="22.5" customHeight="1">
      <c r="A1" s="307" t="s">
        <v>179</v>
      </c>
      <c r="B1" s="307"/>
      <c r="C1" s="307"/>
      <c r="D1" s="307"/>
      <c r="E1" s="307"/>
      <c r="F1" s="307"/>
      <c r="G1" s="307"/>
      <c r="H1" s="307"/>
      <c r="I1" s="59"/>
    </row>
    <row r="2" spans="1:11" s="6" customFormat="1" ht="15" customHeight="1">
      <c r="A2" s="321" t="s">
        <v>221</v>
      </c>
      <c r="B2" s="306"/>
      <c r="C2" s="306"/>
      <c r="D2" s="306"/>
      <c r="E2" s="306"/>
      <c r="F2" s="306"/>
      <c r="G2" s="306"/>
      <c r="H2" s="322"/>
    </row>
    <row r="3" spans="1:11" ht="15" customHeight="1">
      <c r="B3" s="23"/>
      <c r="D3" s="3"/>
    </row>
    <row r="4" spans="1:11" ht="15" customHeight="1">
      <c r="A4" s="3" t="s">
        <v>180</v>
      </c>
      <c r="B4" s="23"/>
      <c r="D4" s="3"/>
    </row>
    <row r="5" spans="1:11" ht="15" customHeight="1">
      <c r="A5" s="3" t="s">
        <v>256</v>
      </c>
      <c r="B5" s="23"/>
      <c r="D5" s="3"/>
    </row>
    <row r="6" spans="1:11" ht="15" customHeight="1">
      <c r="A6" s="3" t="s">
        <v>201</v>
      </c>
      <c r="B6" s="23"/>
      <c r="D6" s="3"/>
    </row>
    <row r="7" spans="1:11" ht="15" customHeight="1">
      <c r="B7" s="27"/>
      <c r="C7" s="27"/>
      <c r="D7" s="22"/>
      <c r="E7" s="22"/>
      <c r="G7" s="28"/>
      <c r="H7" s="119"/>
    </row>
    <row r="8" spans="1:11" s="18" customFormat="1" ht="30.75" customHeight="1">
      <c r="A8" s="41" t="s">
        <v>219</v>
      </c>
      <c r="B8" s="42" t="s">
        <v>184</v>
      </c>
      <c r="C8" s="41" t="s">
        <v>152</v>
      </c>
      <c r="D8" s="41" t="s">
        <v>214</v>
      </c>
      <c r="E8" s="43" t="s">
        <v>181</v>
      </c>
      <c r="F8" s="41" t="s">
        <v>263</v>
      </c>
      <c r="G8" s="41" t="s">
        <v>262</v>
      </c>
      <c r="H8" s="41" t="s">
        <v>261</v>
      </c>
      <c r="I8" s="41" t="s">
        <v>272</v>
      </c>
      <c r="J8" s="41" t="s">
        <v>1324</v>
      </c>
    </row>
    <row r="9" spans="1:11" ht="11.25">
      <c r="A9" s="195">
        <v>1</v>
      </c>
      <c r="B9" s="148" t="s">
        <v>1098</v>
      </c>
      <c r="C9" s="148" t="s">
        <v>185</v>
      </c>
      <c r="D9" s="148" t="s">
        <v>1099</v>
      </c>
      <c r="E9" s="255">
        <f>Tariefsopbouw!$E$35</f>
        <v>0</v>
      </c>
      <c r="F9" s="189" t="e">
        <f>InvulExtra[[#This Row],[Prijs
Excl. BTW]]*Tariefsopbouw!$I$37+InvulExtra[[#This Row],[Prijs
Excl. BTW]]</f>
        <v>#DIV/0!</v>
      </c>
      <c r="G9" s="189" t="e">
        <f>InvulExtra[[#This Row],[2025]]*Tariefsopbouw!$K$37+InvulExtra[[#This Row],[2025]]</f>
        <v>#DIV/0!</v>
      </c>
      <c r="H9" s="189" t="e">
        <f>InvulExtra[[#This Row],[2026]]*Tariefsopbouw!$M$37+InvulExtra[[#This Row],[2026]]</f>
        <v>#DIV/0!</v>
      </c>
      <c r="I9" s="189" t="e">
        <f>InvulExtra[[#This Row],[2027]]*Tariefsopbouw!$O$37+InvulExtra[[#This Row],[2027]]</f>
        <v>#DIV/0!</v>
      </c>
      <c r="J9" s="189" t="e">
        <f>InvulExtra[[#This Row],[2028]]*Tariefsopbouw!$Q$37+InvulExtra[[#This Row],[2028]]</f>
        <v>#DIV/0!</v>
      </c>
    </row>
    <row r="10" spans="1:11" ht="11.25">
      <c r="A10" s="195">
        <v>2</v>
      </c>
      <c r="B10" s="217" t="s">
        <v>1332</v>
      </c>
      <c r="C10" s="148" t="s">
        <v>185</v>
      </c>
      <c r="D10" s="256" t="s">
        <v>1334</v>
      </c>
      <c r="E10" s="255">
        <f>Tariefsopbouw!$E$35</f>
        <v>0</v>
      </c>
      <c r="F10" s="189" t="e">
        <f>InvulExtra[[#This Row],[Prijs
Excl. BTW]]*Tariefsopbouw!$I$37+InvulExtra[[#This Row],[Prijs
Excl. BTW]]</f>
        <v>#DIV/0!</v>
      </c>
      <c r="G10" s="189" t="e">
        <f>InvulExtra[[#This Row],[2025]]*Tariefsopbouw!$K$37+InvulExtra[[#This Row],[2025]]</f>
        <v>#DIV/0!</v>
      </c>
      <c r="H10" s="189" t="e">
        <f>InvulExtra[[#This Row],[2026]]*Tariefsopbouw!$M$37+InvulExtra[[#This Row],[2026]]</f>
        <v>#DIV/0!</v>
      </c>
      <c r="I10" s="189" t="e">
        <f>InvulExtra[[#This Row],[2027]]*Tariefsopbouw!$O$37+InvulExtra[[#This Row],[2027]]</f>
        <v>#DIV/0!</v>
      </c>
      <c r="J10" s="189" t="e">
        <f>InvulExtra[[#This Row],[2028]]*Tariefsopbouw!$Q$37+InvulExtra[[#This Row],[2028]]</f>
        <v>#DIV/0!</v>
      </c>
    </row>
    <row r="11" spans="1:11" ht="11.25">
      <c r="B11" s="23"/>
      <c r="C11" s="23"/>
      <c r="D11" s="3"/>
      <c r="E11" s="30"/>
      <c r="G11" s="29"/>
      <c r="H11" s="120"/>
      <c r="I11" s="30"/>
    </row>
    <row r="12" spans="1:11" ht="12.75">
      <c r="C12" s="24"/>
      <c r="D12" s="24"/>
      <c r="K12" s="31"/>
    </row>
    <row r="13" spans="1:11" s="21" customFormat="1" ht="37.5" customHeight="1">
      <c r="A13" s="122" t="s">
        <v>218</v>
      </c>
      <c r="B13" s="41" t="s">
        <v>150</v>
      </c>
      <c r="C13" s="41" t="s">
        <v>219</v>
      </c>
      <c r="D13" s="53" t="s">
        <v>184</v>
      </c>
      <c r="E13" s="53" t="s">
        <v>152</v>
      </c>
      <c r="F13" s="53" t="s">
        <v>1333</v>
      </c>
      <c r="G13" s="53" t="s">
        <v>252</v>
      </c>
      <c r="H13" s="121" t="s">
        <v>151</v>
      </c>
      <c r="K13" s="32"/>
    </row>
    <row r="14" spans="1:11" ht="12.75">
      <c r="A14" s="195">
        <v>2</v>
      </c>
      <c r="B14" s="148" t="str">
        <f>VLOOKUP(OverzichtExtra[[#This Row],[Code Locatie]],Locaties[],2,0)</f>
        <v>RSG Slingerbos</v>
      </c>
      <c r="C14" s="195">
        <v>1</v>
      </c>
      <c r="D14" s="22" t="str">
        <f>IF('Extra werkzaamheden'!$C14&gt;0,VLOOKUP('Extra werkzaamheden'!$C14,$A$8:$B$10,2,0),"")</f>
        <v>vloer scheikundelokaal (B.04 / B.05)</v>
      </c>
      <c r="E14" s="159" t="str">
        <f>VLOOKUP(OverzichtExtra[[#This Row],[Code Taak]],InvulExtra[#All],3,0)</f>
        <v>Prijs per uur</v>
      </c>
      <c r="F14" s="224"/>
      <c r="G14" s="149">
        <v>40</v>
      </c>
      <c r="H14" s="197">
        <f>IF(G14&gt;0,VLOOKUP(OverzichtExtra[[#This Row],[Code Taak]],InvulExtra[],5,2)*F14*G14,0)</f>
        <v>0</v>
      </c>
      <c r="K14" s="31"/>
    </row>
    <row r="15" spans="1:11" ht="12.75">
      <c r="A15" s="269">
        <v>1</v>
      </c>
      <c r="B15" s="148" t="str">
        <f>VLOOKUP(OverzichtExtra[[#This Row],[Code Locatie]],Locaties[],2,0)</f>
        <v>RSG Levant</v>
      </c>
      <c r="C15" s="195">
        <v>2</v>
      </c>
      <c r="D15" s="22" t="str">
        <f>IF('Extra werkzaamheden'!$C15&gt;0,VLOOKUP('Extra werkzaamheden'!$C15,$A$8:$B$10,2,0),"")</f>
        <v>Vakantieschoonmaak ivm gedeeltelijke openstelling</v>
      </c>
      <c r="E15" s="159" t="str">
        <f>VLOOKUP(OverzichtExtra[[#This Row],[Code Taak]],InvulExtra[#All],3,0)</f>
        <v>Prijs per uur</v>
      </c>
      <c r="F15" s="155">
        <v>6</v>
      </c>
      <c r="G15" s="149">
        <v>10</v>
      </c>
      <c r="H15" s="197">
        <f>IF(G15&gt;0,VLOOKUP(OverzichtExtra[[#This Row],[Code Taak]],InvulExtra[],5,2)*F15*G15,0)</f>
        <v>0</v>
      </c>
      <c r="K15" s="31"/>
    </row>
    <row r="16" spans="1:11" ht="12.75">
      <c r="A16" s="214">
        <v>2</v>
      </c>
      <c r="B16" s="148" t="str">
        <f>VLOOKUP(OverzichtExtra[[#This Row],[Code Locatie]],Locaties[],2,0)</f>
        <v>RSG Slingerbos</v>
      </c>
      <c r="C16" s="195">
        <v>2</v>
      </c>
      <c r="D16" s="22" t="str">
        <f>IF('Extra werkzaamheden'!$C16&gt;0,VLOOKUP('Extra werkzaamheden'!$C16,$A$8:$B$10,2,0),"")</f>
        <v>Vakantieschoonmaak ivm gedeeltelijke openstelling</v>
      </c>
      <c r="E16" s="159" t="str">
        <f>VLOOKUP(OverzichtExtra[[#This Row],[Code Taak]],InvulExtra[#All],3,0)</f>
        <v>Prijs per uur</v>
      </c>
      <c r="F16" s="155">
        <v>6</v>
      </c>
      <c r="G16" s="149">
        <v>10</v>
      </c>
      <c r="H16" s="197">
        <f>IF(G16&gt;0,VLOOKUP(OverzichtExtra[[#This Row],[Code Taak]],InvulExtra[],5,2)*F16*G16,0)</f>
        <v>0</v>
      </c>
      <c r="K16" s="31"/>
    </row>
    <row r="17" spans="1:11" ht="12.75">
      <c r="A17" s="214">
        <v>3</v>
      </c>
      <c r="B17" s="148" t="str">
        <f>VLOOKUP(OverzichtExtra[[#This Row],[Code Locatie]],Locaties[],2,0)</f>
        <v>RSG N.O. Veluwe</v>
      </c>
      <c r="C17" s="195">
        <v>2</v>
      </c>
      <c r="D17" s="22" t="str">
        <f>IF('Extra werkzaamheden'!$C17&gt;0,VLOOKUP('Extra werkzaamheden'!$C17,$A$8:$B$10,2,0),"")</f>
        <v>Vakantieschoonmaak ivm gedeeltelijke openstelling</v>
      </c>
      <c r="E17" s="159" t="str">
        <f>VLOOKUP(OverzichtExtra[[#This Row],[Code Taak]],InvulExtra[#All],3,0)</f>
        <v>Prijs per uur</v>
      </c>
      <c r="F17" s="155">
        <v>6</v>
      </c>
      <c r="G17" s="149">
        <v>10</v>
      </c>
      <c r="H17" s="197">
        <f>IF(G17&gt;0,VLOOKUP(OverzichtExtra[[#This Row],[Code Taak]],InvulExtra[],5,2)*F17*G17,0)</f>
        <v>0</v>
      </c>
      <c r="K17" s="31"/>
    </row>
    <row r="18" spans="1:11" ht="11.25">
      <c r="A18" s="225"/>
      <c r="B18" s="226" t="s">
        <v>33</v>
      </c>
      <c r="C18" s="225"/>
      <c r="D18" s="227"/>
      <c r="E18" s="225"/>
      <c r="F18" s="261"/>
      <c r="G18" s="225"/>
      <c r="H18" s="228">
        <f>SUBTOTAL(109,OverzichtExtra[Kosten/jaar excl. BTW])</f>
        <v>0</v>
      </c>
    </row>
    <row r="19" spans="1:11" ht="11.25">
      <c r="C19" s="23"/>
      <c r="D19" s="3"/>
    </row>
    <row r="20" spans="1:11" ht="11.25">
      <c r="C20" s="23"/>
      <c r="D20" s="3"/>
    </row>
    <row r="21" spans="1:11" ht="15" customHeight="1">
      <c r="C21" s="23"/>
      <c r="D21" s="3"/>
    </row>
    <row r="22" spans="1:11" ht="15" customHeight="1">
      <c r="C22" s="23"/>
      <c r="D22" s="3"/>
    </row>
    <row r="23" spans="1:11" ht="15" customHeight="1">
      <c r="C23" s="23"/>
      <c r="D23" s="3"/>
    </row>
    <row r="24" spans="1:11" ht="15" customHeight="1">
      <c r="C24" s="23"/>
      <c r="D24" s="3"/>
    </row>
    <row r="25" spans="1:11" ht="15" customHeight="1">
      <c r="C25" s="23"/>
      <c r="D25" s="3"/>
    </row>
    <row r="26" spans="1:11" ht="15" customHeight="1">
      <c r="C26" s="23"/>
      <c r="D26" s="3"/>
    </row>
    <row r="27" spans="1:11" ht="15" customHeight="1">
      <c r="C27" s="23"/>
      <c r="D27" s="3"/>
    </row>
    <row r="28" spans="1:11" ht="15" customHeight="1">
      <c r="C28" s="23"/>
      <c r="D28" s="3"/>
    </row>
    <row r="29" spans="1:11" ht="15" customHeight="1">
      <c r="C29" s="23"/>
      <c r="D29" s="3"/>
    </row>
    <row r="30" spans="1:11" ht="15" customHeight="1">
      <c r="C30" s="23"/>
      <c r="D30" s="3"/>
    </row>
    <row r="31" spans="1:11" ht="15" customHeight="1">
      <c r="C31" s="23"/>
      <c r="D31" s="3"/>
    </row>
    <row r="32" spans="1:11" ht="15" customHeight="1">
      <c r="C32" s="23"/>
      <c r="D32" s="3"/>
    </row>
    <row r="33" spans="3:4" ht="15" customHeight="1">
      <c r="C33" s="23"/>
      <c r="D33" s="3"/>
    </row>
    <row r="34" spans="3:4" ht="15" customHeight="1">
      <c r="C34" s="23"/>
      <c r="D34" s="3"/>
    </row>
    <row r="35" spans="3:4" ht="15" customHeight="1">
      <c r="C35" s="23"/>
      <c r="D35" s="3"/>
    </row>
    <row r="36" spans="3:4" ht="15" customHeight="1">
      <c r="C36" s="23"/>
      <c r="D36" s="3"/>
    </row>
    <row r="37" spans="3:4" ht="15" customHeight="1">
      <c r="C37" s="23"/>
      <c r="D37" s="3"/>
    </row>
    <row r="38" spans="3:4" ht="15" customHeight="1">
      <c r="C38" s="23"/>
      <c r="D38" s="3"/>
    </row>
    <row r="39" spans="3:4" ht="15" customHeight="1">
      <c r="C39" s="23"/>
      <c r="D39" s="3"/>
    </row>
    <row r="40" spans="3:4" ht="15" customHeight="1">
      <c r="C40" s="23"/>
      <c r="D40" s="3"/>
    </row>
    <row r="41" spans="3:4" ht="15" customHeight="1">
      <c r="C41" s="23"/>
      <c r="D41" s="3"/>
    </row>
    <row r="42" spans="3:4" ht="15" customHeight="1">
      <c r="C42" s="23"/>
      <c r="D42" s="3"/>
    </row>
    <row r="43" spans="3:4" ht="15" customHeight="1">
      <c r="C43" s="23"/>
      <c r="D43" s="3"/>
    </row>
    <row r="44" spans="3:4" ht="15" customHeight="1">
      <c r="C44" s="23"/>
      <c r="D44" s="3"/>
    </row>
    <row r="45" spans="3:4" ht="15" customHeight="1">
      <c r="C45" s="23"/>
      <c r="D45" s="3"/>
    </row>
    <row r="46" spans="3:4" ht="15" customHeight="1">
      <c r="C46" s="23"/>
      <c r="D46" s="3"/>
    </row>
    <row r="47" spans="3:4" ht="15" customHeight="1">
      <c r="C47" s="23"/>
      <c r="D47" s="3"/>
    </row>
    <row r="48" spans="3:4" ht="15" customHeight="1">
      <c r="C48" s="23"/>
      <c r="D48" s="3"/>
    </row>
    <row r="49" spans="3:4" ht="15" customHeight="1">
      <c r="C49" s="23"/>
      <c r="D49" s="3"/>
    </row>
    <row r="50" spans="3:4" ht="15" customHeight="1">
      <c r="C50" s="23"/>
      <c r="D50" s="3"/>
    </row>
    <row r="51" spans="3:4" ht="15" customHeight="1">
      <c r="C51" s="23"/>
      <c r="D51" s="3"/>
    </row>
    <row r="52" spans="3:4" ht="15" customHeight="1">
      <c r="C52" s="23"/>
      <c r="D52" s="3"/>
    </row>
    <row r="53" spans="3:4" ht="15" customHeight="1">
      <c r="C53" s="23"/>
      <c r="D53" s="3"/>
    </row>
    <row r="54" spans="3:4" ht="15" customHeight="1">
      <c r="C54" s="23"/>
      <c r="D54" s="3"/>
    </row>
    <row r="55" spans="3:4" ht="15" customHeight="1">
      <c r="C55" s="23"/>
      <c r="D55" s="3"/>
    </row>
    <row r="56" spans="3:4" ht="15" customHeight="1">
      <c r="C56" s="23"/>
      <c r="D56" s="3"/>
    </row>
    <row r="57" spans="3:4" ht="15" customHeight="1">
      <c r="C57" s="23"/>
      <c r="D57" s="3"/>
    </row>
    <row r="58" spans="3:4" ht="15" customHeight="1">
      <c r="C58" s="23"/>
      <c r="D58" s="3"/>
    </row>
    <row r="59" spans="3:4" ht="15" customHeight="1">
      <c r="C59" s="23"/>
      <c r="D59" s="3"/>
    </row>
    <row r="60" spans="3:4" ht="15" customHeight="1">
      <c r="C60" s="23"/>
      <c r="D60" s="3"/>
    </row>
    <row r="61" spans="3:4" ht="15" customHeight="1">
      <c r="C61" s="23"/>
      <c r="D61" s="3"/>
    </row>
    <row r="62" spans="3:4" ht="15" customHeight="1">
      <c r="C62" s="23"/>
      <c r="D62" s="3"/>
    </row>
    <row r="63" spans="3:4" ht="15" customHeight="1">
      <c r="C63" s="23"/>
      <c r="D63" s="3"/>
    </row>
    <row r="64" spans="3:4" ht="15" customHeight="1">
      <c r="C64" s="23"/>
      <c r="D64" s="3"/>
    </row>
    <row r="65" spans="3:4" ht="15" customHeight="1">
      <c r="C65" s="23"/>
      <c r="D65" s="3"/>
    </row>
    <row r="66" spans="3:4" ht="15" customHeight="1">
      <c r="C66" s="23"/>
      <c r="D66" s="3"/>
    </row>
    <row r="67" spans="3:4" ht="15" customHeight="1">
      <c r="C67" s="23"/>
      <c r="D67" s="3"/>
    </row>
    <row r="68" spans="3:4" ht="15" customHeight="1">
      <c r="C68" s="23"/>
      <c r="D68" s="3"/>
    </row>
    <row r="69" spans="3:4" ht="15" customHeight="1">
      <c r="C69" s="23"/>
      <c r="D69" s="3"/>
    </row>
    <row r="70" spans="3:4" ht="15" customHeight="1">
      <c r="C70" s="23"/>
      <c r="D70" s="3"/>
    </row>
    <row r="71" spans="3:4" ht="15" customHeight="1">
      <c r="C71" s="23"/>
      <c r="D71" s="3"/>
    </row>
    <row r="72" spans="3:4" ht="15" customHeight="1">
      <c r="C72" s="23"/>
      <c r="D72" s="3"/>
    </row>
    <row r="73" spans="3:4" ht="15" customHeight="1">
      <c r="C73" s="23"/>
      <c r="D73" s="3"/>
    </row>
    <row r="74" spans="3:4" ht="15" customHeight="1">
      <c r="C74" s="23"/>
      <c r="D74" s="3"/>
    </row>
    <row r="75" spans="3:4" ht="15" customHeight="1">
      <c r="C75" s="23"/>
      <c r="D75" s="3"/>
    </row>
    <row r="76" spans="3:4" ht="15" customHeight="1">
      <c r="C76" s="23"/>
      <c r="D76" s="3"/>
    </row>
    <row r="77" spans="3:4" ht="15" customHeight="1">
      <c r="C77" s="23"/>
      <c r="D77" s="3"/>
    </row>
    <row r="78" spans="3:4" ht="15" customHeight="1">
      <c r="C78" s="23"/>
      <c r="D78" s="3"/>
    </row>
    <row r="79" spans="3:4" ht="15" customHeight="1">
      <c r="C79" s="23"/>
      <c r="D79" s="3"/>
    </row>
  </sheetData>
  <mergeCells count="2">
    <mergeCell ref="A2:H2"/>
    <mergeCell ref="A1:H1"/>
  </mergeCells>
  <pageMargins left="0.70866141732283472" right="0.70866141732283472" top="0.35433070866141736" bottom="0.47244094488188981" header="0.31496062992125984" footer="0.31496062992125984"/>
  <pageSetup paperSize="9" scale="62" fitToHeight="0" orientation="landscape" r:id="rId1"/>
  <headerFooter alignWithMargins="0">
    <oddFooter>&amp;L&amp;F&amp;C&amp;D&amp;R&amp;A</oddFooter>
  </headerFooter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fitToPage="1"/>
  </sheetPr>
  <dimension ref="A1:I82"/>
  <sheetViews>
    <sheetView zoomScale="90" zoomScaleNormal="90" zoomScaleSheetLayoutView="100" workbookViewId="0">
      <selection sqref="A1:I1"/>
    </sheetView>
  </sheetViews>
  <sheetFormatPr defaultColWidth="9.140625" defaultRowHeight="18.75" customHeight="1"/>
  <cols>
    <col min="1" max="1" width="9.140625" style="58"/>
    <col min="2" max="2" width="99.140625" style="1" bestFit="1" customWidth="1"/>
    <col min="3" max="3" width="23.42578125" style="1" customWidth="1"/>
    <col min="4" max="4" width="15.140625" style="1" customWidth="1"/>
    <col min="5" max="9" width="17.7109375" style="1" bestFit="1" customWidth="1"/>
    <col min="10" max="16384" width="9.140625" style="1"/>
  </cols>
  <sheetData>
    <row r="1" spans="1:9" s="6" customFormat="1" ht="26.25" customHeight="1">
      <c r="A1" s="289" t="s">
        <v>182</v>
      </c>
      <c r="B1" s="289"/>
      <c r="C1" s="289"/>
      <c r="D1" s="289"/>
      <c r="E1" s="289"/>
      <c r="F1" s="289"/>
      <c r="G1" s="289"/>
      <c r="H1" s="289"/>
      <c r="I1" s="289"/>
    </row>
    <row r="2" spans="1:9" s="6" customFormat="1" ht="18.75" customHeight="1">
      <c r="A2" s="321" t="s">
        <v>221</v>
      </c>
      <c r="B2" s="306"/>
      <c r="C2" s="306"/>
      <c r="D2" s="306"/>
      <c r="E2" s="306"/>
      <c r="F2" s="306"/>
      <c r="G2" s="306"/>
      <c r="H2" s="306"/>
      <c r="I2" s="322"/>
    </row>
    <row r="3" spans="1:9" s="65" customFormat="1" ht="18.75" customHeight="1">
      <c r="A3" s="64"/>
    </row>
    <row r="4" spans="1:9" s="65" customFormat="1" ht="18.75" customHeight="1">
      <c r="A4" s="65" t="s">
        <v>180</v>
      </c>
    </row>
    <row r="5" spans="1:9" s="65" customFormat="1" ht="18.75" customHeight="1">
      <c r="A5" s="65" t="s">
        <v>183</v>
      </c>
    </row>
    <row r="6" spans="1:9" s="65" customFormat="1" ht="18.75" customHeight="1">
      <c r="A6" s="65" t="s">
        <v>235</v>
      </c>
    </row>
    <row r="7" spans="1:9" s="65" customFormat="1" ht="18.75" customHeight="1">
      <c r="A7" s="64"/>
    </row>
    <row r="8" spans="1:9" s="19" customFormat="1" ht="26.25" customHeight="1">
      <c r="A8" s="62"/>
      <c r="B8" s="61" t="s">
        <v>184</v>
      </c>
      <c r="C8" s="61" t="s">
        <v>152</v>
      </c>
      <c r="D8" s="21" t="s">
        <v>178</v>
      </c>
      <c r="E8" s="61" t="s">
        <v>263</v>
      </c>
      <c r="F8" s="61" t="s">
        <v>262</v>
      </c>
      <c r="G8" s="61" t="s">
        <v>261</v>
      </c>
      <c r="H8" s="61" t="s">
        <v>272</v>
      </c>
      <c r="I8" s="61" t="s">
        <v>1324</v>
      </c>
    </row>
    <row r="9" spans="1:9" ht="18.75" customHeight="1">
      <c r="A9" s="325" t="s">
        <v>200</v>
      </c>
      <c r="B9" s="61" t="s">
        <v>186</v>
      </c>
      <c r="C9" s="61" t="s">
        <v>185</v>
      </c>
      <c r="D9" s="63">
        <v>0</v>
      </c>
      <c r="E9" s="199" t="e">
        <f>InvulRegie[[#This Row],[Prijs excl. BTW]]*Tariefsopbouw!$I$37+InvulRegie[[#This Row],[Prijs excl. BTW]]</f>
        <v>#DIV/0!</v>
      </c>
      <c r="F9" s="200" t="e">
        <f>InvulRegie[[#This Row],[2025]]*Tariefsopbouw!$K$37+InvulRegie[[#This Row],[2025]]</f>
        <v>#DIV/0!</v>
      </c>
      <c r="G9" s="200" t="e">
        <f>InvulRegie[[#This Row],[2026]]*Tariefsopbouw!$M$37+InvulRegie[[#This Row],[2026]]</f>
        <v>#DIV/0!</v>
      </c>
      <c r="H9" s="200" t="e">
        <f>InvulRegie[[#This Row],[2027]]*Tariefsopbouw!$O$37+InvulRegie[[#This Row],[2027]]</f>
        <v>#DIV/0!</v>
      </c>
      <c r="I9" s="200" t="e">
        <f>InvulRegie[[#This Row],[2028]]*Tariefsopbouw!$Q$37+InvulRegie[[#This Row],[2028]]</f>
        <v>#DIV/0!</v>
      </c>
    </row>
    <row r="10" spans="1:9" ht="18.75" customHeight="1">
      <c r="A10" s="326"/>
      <c r="B10" s="61" t="s">
        <v>187</v>
      </c>
      <c r="C10" s="61" t="s">
        <v>185</v>
      </c>
      <c r="D10" s="63">
        <v>0</v>
      </c>
      <c r="E10" s="199" t="e">
        <f>InvulRegie[[#This Row],[Prijs excl. BTW]]*Tariefsopbouw!$I$37+InvulRegie[[#This Row],[Prijs excl. BTW]]</f>
        <v>#DIV/0!</v>
      </c>
      <c r="F10" s="199" t="e">
        <f>InvulRegie[[#This Row],[2025]]*Tariefsopbouw!$K$37+InvulRegie[[#This Row],[2025]]</f>
        <v>#DIV/0!</v>
      </c>
      <c r="G10" s="199" t="e">
        <f>InvulRegie[[#This Row],[2026]]*Tariefsopbouw!$M$37+InvulRegie[[#This Row],[2026]]</f>
        <v>#DIV/0!</v>
      </c>
      <c r="H10" s="199" t="e">
        <f>InvulRegie[[#This Row],[2027]]*Tariefsopbouw!$O$37+InvulRegie[[#This Row],[2027]]</f>
        <v>#DIV/0!</v>
      </c>
      <c r="I10" s="199" t="e">
        <f>InvulRegie[[#This Row],[2028]]*Tariefsopbouw!$Q$37+InvulRegie[[#This Row],[2028]]</f>
        <v>#DIV/0!</v>
      </c>
    </row>
    <row r="11" spans="1:9" ht="22.5">
      <c r="A11" s="326"/>
      <c r="B11" s="61" t="s">
        <v>188</v>
      </c>
      <c r="C11" s="61" t="s">
        <v>185</v>
      </c>
      <c r="D11" s="63">
        <v>0</v>
      </c>
      <c r="E11" s="199" t="e">
        <f>InvulRegie[[#This Row],[Prijs excl. BTW]]*Tariefsopbouw!$I$37+InvulRegie[[#This Row],[Prijs excl. BTW]]</f>
        <v>#DIV/0!</v>
      </c>
      <c r="F11" s="199" t="e">
        <f>InvulRegie[[#This Row],[2025]]*Tariefsopbouw!$K$37+InvulRegie[[#This Row],[2025]]</f>
        <v>#DIV/0!</v>
      </c>
      <c r="G11" s="199" t="e">
        <f>InvulRegie[[#This Row],[2026]]*Tariefsopbouw!$M$37+InvulRegie[[#This Row],[2026]]</f>
        <v>#DIV/0!</v>
      </c>
      <c r="H11" s="199" t="e">
        <f>InvulRegie[[#This Row],[2027]]*Tariefsopbouw!$O$37+InvulRegie[[#This Row],[2027]]</f>
        <v>#DIV/0!</v>
      </c>
      <c r="I11" s="199" t="e">
        <f>InvulRegie[[#This Row],[2028]]*Tariefsopbouw!$Q$37+InvulRegie[[#This Row],[2028]]</f>
        <v>#DIV/0!</v>
      </c>
    </row>
    <row r="12" spans="1:9" ht="18.75" customHeight="1">
      <c r="A12" s="326"/>
      <c r="B12" s="60" t="s">
        <v>189</v>
      </c>
      <c r="C12" s="61" t="s">
        <v>185</v>
      </c>
      <c r="D12" s="63">
        <v>0</v>
      </c>
      <c r="E12" s="199" t="e">
        <f>InvulRegie[[#This Row],[Prijs excl. BTW]]*Tariefsopbouw!$I$37+InvulRegie[[#This Row],[Prijs excl. BTW]]</f>
        <v>#DIV/0!</v>
      </c>
      <c r="F12" s="199" t="e">
        <f>InvulRegie[[#This Row],[2025]]*Tariefsopbouw!$K$37+InvulRegie[[#This Row],[2025]]</f>
        <v>#DIV/0!</v>
      </c>
      <c r="G12" s="199" t="e">
        <f>InvulRegie[[#This Row],[2026]]*Tariefsopbouw!$M$37+InvulRegie[[#This Row],[2026]]</f>
        <v>#DIV/0!</v>
      </c>
      <c r="H12" s="199" t="e">
        <f>InvulRegie[[#This Row],[2027]]*Tariefsopbouw!$O$37+InvulRegie[[#This Row],[2027]]</f>
        <v>#DIV/0!</v>
      </c>
      <c r="I12" s="199" t="e">
        <f>InvulRegie[[#This Row],[2028]]*Tariefsopbouw!$Q$37+InvulRegie[[#This Row],[2028]]</f>
        <v>#DIV/0!</v>
      </c>
    </row>
    <row r="13" spans="1:9" ht="18.75" customHeight="1">
      <c r="A13" s="326"/>
      <c r="B13" s="60" t="s">
        <v>208</v>
      </c>
      <c r="C13" s="61" t="s">
        <v>185</v>
      </c>
      <c r="D13" s="63">
        <v>0</v>
      </c>
      <c r="E13" s="202" t="e">
        <f>InvulRegie[[#This Row],[Prijs excl. BTW]]*Tariefsopbouw!$I$37+InvulRegie[[#This Row],[Prijs excl. BTW]]</f>
        <v>#DIV/0!</v>
      </c>
      <c r="F13" s="202" t="e">
        <f>InvulRegie[[#This Row],[2025]]*Tariefsopbouw!$K$37+InvulRegie[[#This Row],[2025]]</f>
        <v>#DIV/0!</v>
      </c>
      <c r="G13" s="202" t="e">
        <f>InvulRegie[[#This Row],[2026]]*Tariefsopbouw!$M$37+InvulRegie[[#This Row],[2026]]</f>
        <v>#DIV/0!</v>
      </c>
      <c r="H13" s="202" t="e">
        <f>InvulRegie[[#This Row],[2027]]*Tariefsopbouw!$O$37+InvulRegie[[#This Row],[2027]]</f>
        <v>#DIV/0!</v>
      </c>
      <c r="I13" s="202" t="e">
        <f>InvulRegie[[#This Row],[2028]]*Tariefsopbouw!$Q$37+InvulRegie[[#This Row],[2028]]</f>
        <v>#DIV/0!</v>
      </c>
    </row>
    <row r="14" spans="1:9" ht="18.75" customHeight="1">
      <c r="A14" s="327"/>
      <c r="B14" s="61" t="s">
        <v>195</v>
      </c>
      <c r="C14" s="61" t="s">
        <v>185</v>
      </c>
      <c r="D14" s="63">
        <v>0</v>
      </c>
      <c r="E14" s="202" t="e">
        <f>InvulRegie[[#This Row],[Prijs excl. BTW]]*Tariefsopbouw!$I$37+InvulRegie[[#This Row],[Prijs excl. BTW]]</f>
        <v>#DIV/0!</v>
      </c>
      <c r="F14" s="202" t="e">
        <f>InvulRegie[[#This Row],[2025]]*Tariefsopbouw!$K$37+InvulRegie[[#This Row],[2025]]</f>
        <v>#DIV/0!</v>
      </c>
      <c r="G14" s="202" t="e">
        <f>InvulRegie[[#This Row],[2026]]*Tariefsopbouw!$M$37+InvulRegie[[#This Row],[2026]]</f>
        <v>#DIV/0!</v>
      </c>
      <c r="H14" s="202" t="e">
        <f>InvulRegie[[#This Row],[2027]]*Tariefsopbouw!$O$37+InvulRegie[[#This Row],[2027]]</f>
        <v>#DIV/0!</v>
      </c>
      <c r="I14" s="202" t="e">
        <f>InvulRegie[[#This Row],[2028]]*Tariefsopbouw!$Q$37+InvulRegie[[#This Row],[2028]]</f>
        <v>#DIV/0!</v>
      </c>
    </row>
    <row r="15" spans="1:9" ht="18.75" customHeight="1">
      <c r="A15" s="325" t="s">
        <v>135</v>
      </c>
      <c r="B15" s="61" t="s">
        <v>42</v>
      </c>
      <c r="C15" s="61" t="s">
        <v>43</v>
      </c>
      <c r="D15" s="63">
        <v>0</v>
      </c>
      <c r="E15" s="202" t="e">
        <f>InvulRegie[[#This Row],[Prijs excl. BTW]]*Tariefsopbouw!$I$37+InvulRegie[[#This Row],[Prijs excl. BTW]]</f>
        <v>#DIV/0!</v>
      </c>
      <c r="F15" s="202" t="e">
        <f>InvulRegie[[#This Row],[2025]]*Tariefsopbouw!$K$37+InvulRegie[[#This Row],[2025]]</f>
        <v>#DIV/0!</v>
      </c>
      <c r="G15" s="202" t="e">
        <f>InvulRegie[[#This Row],[2026]]*Tariefsopbouw!$M$37+InvulRegie[[#This Row],[2026]]</f>
        <v>#DIV/0!</v>
      </c>
      <c r="H15" s="202" t="e">
        <f>InvulRegie[[#This Row],[2027]]*Tariefsopbouw!$O$37+InvulRegie[[#This Row],[2027]]</f>
        <v>#DIV/0!</v>
      </c>
      <c r="I15" s="202" t="e">
        <f>InvulRegie[[#This Row],[2028]]*Tariefsopbouw!$Q$37+InvulRegie[[#This Row],[2028]]</f>
        <v>#DIV/0!</v>
      </c>
    </row>
    <row r="16" spans="1:9" ht="18.75" customHeight="1">
      <c r="A16" s="326"/>
      <c r="B16" s="61" t="s">
        <v>44</v>
      </c>
      <c r="C16" s="61" t="s">
        <v>190</v>
      </c>
      <c r="D16" s="63">
        <v>0</v>
      </c>
      <c r="E16" s="202" t="e">
        <f>InvulRegie[[#This Row],[Prijs excl. BTW]]*Tariefsopbouw!$I$37+InvulRegie[[#This Row],[Prijs excl. BTW]]</f>
        <v>#DIV/0!</v>
      </c>
      <c r="F16" s="202" t="e">
        <f>InvulRegie[[#This Row],[2025]]*Tariefsopbouw!$K$37+InvulRegie[[#This Row],[2025]]</f>
        <v>#DIV/0!</v>
      </c>
      <c r="G16" s="202" t="e">
        <f>InvulRegie[[#This Row],[2026]]*Tariefsopbouw!$M$37+InvulRegie[[#This Row],[2026]]</f>
        <v>#DIV/0!</v>
      </c>
      <c r="H16" s="202" t="e">
        <f>InvulRegie[[#This Row],[2027]]*Tariefsopbouw!$O$37+InvulRegie[[#This Row],[2027]]</f>
        <v>#DIV/0!</v>
      </c>
      <c r="I16" s="202" t="e">
        <f>InvulRegie[[#This Row],[2028]]*Tariefsopbouw!$Q$37+InvulRegie[[#This Row],[2028]]</f>
        <v>#DIV/0!</v>
      </c>
    </row>
    <row r="17" spans="1:9" ht="18.75" customHeight="1">
      <c r="A17" s="326"/>
      <c r="B17" s="61" t="s">
        <v>191</v>
      </c>
      <c r="C17" s="61" t="s">
        <v>190</v>
      </c>
      <c r="D17" s="63">
        <v>0</v>
      </c>
      <c r="E17" s="202" t="e">
        <f>InvulRegie[[#This Row],[Prijs excl. BTW]]*Tariefsopbouw!$I$37+InvulRegie[[#This Row],[Prijs excl. BTW]]</f>
        <v>#DIV/0!</v>
      </c>
      <c r="F17" s="202" t="e">
        <f>InvulRegie[[#This Row],[2025]]*Tariefsopbouw!$K$37+InvulRegie[[#This Row],[2025]]</f>
        <v>#DIV/0!</v>
      </c>
      <c r="G17" s="202" t="e">
        <f>InvulRegie[[#This Row],[2026]]*Tariefsopbouw!$M$37+InvulRegie[[#This Row],[2026]]</f>
        <v>#DIV/0!</v>
      </c>
      <c r="H17" s="202" t="e">
        <f>InvulRegie[[#This Row],[2027]]*Tariefsopbouw!$O$37+InvulRegie[[#This Row],[2027]]</f>
        <v>#DIV/0!</v>
      </c>
      <c r="I17" s="202" t="e">
        <f>InvulRegie[[#This Row],[2028]]*Tariefsopbouw!$Q$37+InvulRegie[[#This Row],[2028]]</f>
        <v>#DIV/0!</v>
      </c>
    </row>
    <row r="18" spans="1:9" ht="18.75" customHeight="1">
      <c r="A18" s="326"/>
      <c r="B18" s="61" t="s">
        <v>192</v>
      </c>
      <c r="C18" s="61" t="s">
        <v>45</v>
      </c>
      <c r="D18" s="63">
        <v>0</v>
      </c>
      <c r="E18" s="202" t="e">
        <f>InvulRegie[[#This Row],[Prijs excl. BTW]]*Tariefsopbouw!$I$37+InvulRegie[[#This Row],[Prijs excl. BTW]]</f>
        <v>#DIV/0!</v>
      </c>
      <c r="F18" s="202" t="e">
        <f>InvulRegie[[#This Row],[2025]]*Tariefsopbouw!$K$37+InvulRegie[[#This Row],[2025]]</f>
        <v>#DIV/0!</v>
      </c>
      <c r="G18" s="202" t="e">
        <f>InvulRegie[[#This Row],[2026]]*Tariefsopbouw!$M$37+InvulRegie[[#This Row],[2026]]</f>
        <v>#DIV/0!</v>
      </c>
      <c r="H18" s="202" t="e">
        <f>InvulRegie[[#This Row],[2027]]*Tariefsopbouw!$O$37+InvulRegie[[#This Row],[2027]]</f>
        <v>#DIV/0!</v>
      </c>
      <c r="I18" s="202" t="e">
        <f>InvulRegie[[#This Row],[2028]]*Tariefsopbouw!$Q$37+InvulRegie[[#This Row],[2028]]</f>
        <v>#DIV/0!</v>
      </c>
    </row>
    <row r="19" spans="1:9" ht="18.75" customHeight="1">
      <c r="A19" s="326"/>
      <c r="B19" s="61" t="s">
        <v>260</v>
      </c>
      <c r="C19" s="61" t="s">
        <v>45</v>
      </c>
      <c r="D19" s="63">
        <v>0</v>
      </c>
      <c r="E19" s="202" t="e">
        <f>InvulRegie[[#This Row],[Prijs excl. BTW]]*Tariefsopbouw!$I$37+InvulRegie[[#This Row],[Prijs excl. BTW]]</f>
        <v>#DIV/0!</v>
      </c>
      <c r="F19" s="202" t="e">
        <f>InvulRegie[[#This Row],[2025]]*Tariefsopbouw!$K$37+InvulRegie[[#This Row],[2025]]</f>
        <v>#DIV/0!</v>
      </c>
      <c r="G19" s="202" t="e">
        <f>InvulRegie[[#This Row],[2026]]*Tariefsopbouw!$M$37+InvulRegie[[#This Row],[2026]]</f>
        <v>#DIV/0!</v>
      </c>
      <c r="H19" s="202" t="e">
        <f>InvulRegie[[#This Row],[2027]]*Tariefsopbouw!$O$37+InvulRegie[[#This Row],[2027]]</f>
        <v>#DIV/0!</v>
      </c>
      <c r="I19" s="202" t="e">
        <f>InvulRegie[[#This Row],[2028]]*Tariefsopbouw!$Q$37+InvulRegie[[#This Row],[2028]]</f>
        <v>#DIV/0!</v>
      </c>
    </row>
    <row r="20" spans="1:9" ht="18.75" customHeight="1">
      <c r="A20" s="326"/>
      <c r="B20" s="61" t="s">
        <v>193</v>
      </c>
      <c r="C20" s="61" t="s">
        <v>45</v>
      </c>
      <c r="D20" s="63">
        <v>0</v>
      </c>
      <c r="E20" s="202" t="e">
        <f>InvulRegie[[#This Row],[Prijs excl. BTW]]*Tariefsopbouw!$I$37+InvulRegie[[#This Row],[Prijs excl. BTW]]</f>
        <v>#DIV/0!</v>
      </c>
      <c r="F20" s="202" t="e">
        <f>InvulRegie[[#This Row],[2025]]*Tariefsopbouw!$K$37+InvulRegie[[#This Row],[2025]]</f>
        <v>#DIV/0!</v>
      </c>
      <c r="G20" s="202" t="e">
        <f>InvulRegie[[#This Row],[2026]]*Tariefsopbouw!$M$37+InvulRegie[[#This Row],[2026]]</f>
        <v>#DIV/0!</v>
      </c>
      <c r="H20" s="202" t="e">
        <f>InvulRegie[[#This Row],[2027]]*Tariefsopbouw!$O$37+InvulRegie[[#This Row],[2027]]</f>
        <v>#DIV/0!</v>
      </c>
      <c r="I20" s="202" t="e">
        <f>InvulRegie[[#This Row],[2028]]*Tariefsopbouw!$Q$37+InvulRegie[[#This Row],[2028]]</f>
        <v>#DIV/0!</v>
      </c>
    </row>
    <row r="21" spans="1:9" ht="18.75" customHeight="1">
      <c r="A21" s="327"/>
      <c r="B21" s="61" t="s">
        <v>194</v>
      </c>
      <c r="C21" s="61" t="s">
        <v>45</v>
      </c>
      <c r="D21" s="63">
        <v>0</v>
      </c>
      <c r="E21" s="202" t="e">
        <f>InvulRegie[[#This Row],[Prijs excl. BTW]]*Tariefsopbouw!$I$37+InvulRegie[[#This Row],[Prijs excl. BTW]]</f>
        <v>#DIV/0!</v>
      </c>
      <c r="F21" s="202" t="e">
        <f>InvulRegie[[#This Row],[2025]]*Tariefsopbouw!$K$37+InvulRegie[[#This Row],[2025]]</f>
        <v>#DIV/0!</v>
      </c>
      <c r="G21" s="202" t="e">
        <f>InvulRegie[[#This Row],[2026]]*Tariefsopbouw!$M$37+InvulRegie[[#This Row],[2026]]</f>
        <v>#DIV/0!</v>
      </c>
      <c r="H21" s="202" t="e">
        <f>InvulRegie[[#This Row],[2027]]*Tariefsopbouw!$O$37+InvulRegie[[#This Row],[2027]]</f>
        <v>#DIV/0!</v>
      </c>
      <c r="I21" s="202" t="e">
        <f>InvulRegie[[#This Row],[2028]]*Tariefsopbouw!$Q$37+InvulRegie[[#This Row],[2028]]</f>
        <v>#DIV/0!</v>
      </c>
    </row>
    <row r="22" spans="1:9" ht="18.75" customHeight="1">
      <c r="A22" s="325" t="s">
        <v>197</v>
      </c>
      <c r="B22" s="61" t="s">
        <v>58</v>
      </c>
      <c r="C22" s="61" t="s">
        <v>50</v>
      </c>
      <c r="D22" s="63">
        <v>0</v>
      </c>
      <c r="E22" s="202" t="e">
        <f>InvulRegie[[#This Row],[Prijs excl. BTW]]*Tariefsopbouw!$I$37+InvulRegie[[#This Row],[Prijs excl. BTW]]</f>
        <v>#DIV/0!</v>
      </c>
      <c r="F22" s="202" t="e">
        <f>InvulRegie[[#This Row],[2025]]*Tariefsopbouw!$K$37+InvulRegie[[#This Row],[2025]]</f>
        <v>#DIV/0!</v>
      </c>
      <c r="G22" s="202" t="e">
        <f>InvulRegie[[#This Row],[2026]]*Tariefsopbouw!$M$37+InvulRegie[[#This Row],[2026]]</f>
        <v>#DIV/0!</v>
      </c>
      <c r="H22" s="202" t="e">
        <f>InvulRegie[[#This Row],[2027]]*Tariefsopbouw!$O$37+InvulRegie[[#This Row],[2027]]</f>
        <v>#DIV/0!</v>
      </c>
      <c r="I22" s="202" t="e">
        <f>InvulRegie[[#This Row],[2028]]*Tariefsopbouw!$Q$37+InvulRegie[[#This Row],[2028]]</f>
        <v>#DIV/0!</v>
      </c>
    </row>
    <row r="23" spans="1:9" ht="18.75" customHeight="1">
      <c r="A23" s="327"/>
      <c r="B23" s="61" t="s">
        <v>46</v>
      </c>
      <c r="C23" s="61" t="s">
        <v>76</v>
      </c>
      <c r="D23" s="63">
        <v>0</v>
      </c>
      <c r="E23" s="202" t="e">
        <f>InvulRegie[[#This Row],[Prijs excl. BTW]]*Tariefsopbouw!$I$37+InvulRegie[[#This Row],[Prijs excl. BTW]]</f>
        <v>#DIV/0!</v>
      </c>
      <c r="F23" s="202" t="e">
        <f>InvulRegie[[#This Row],[2025]]*Tariefsopbouw!$K$37+InvulRegie[[#This Row],[2025]]</f>
        <v>#DIV/0!</v>
      </c>
      <c r="G23" s="202" t="e">
        <f>InvulRegie[[#This Row],[2026]]*Tariefsopbouw!$M$37+InvulRegie[[#This Row],[2026]]</f>
        <v>#DIV/0!</v>
      </c>
      <c r="H23" s="202" t="e">
        <f>InvulRegie[[#This Row],[2027]]*Tariefsopbouw!$O$37+InvulRegie[[#This Row],[2027]]</f>
        <v>#DIV/0!</v>
      </c>
      <c r="I23" s="202" t="e">
        <f>InvulRegie[[#This Row],[2028]]*Tariefsopbouw!$Q$37+InvulRegie[[#This Row],[2028]]</f>
        <v>#DIV/0!</v>
      </c>
    </row>
    <row r="24" spans="1:9" ht="18.75" customHeight="1">
      <c r="A24" s="325" t="s">
        <v>209</v>
      </c>
      <c r="B24" s="61" t="s">
        <v>198</v>
      </c>
      <c r="C24" s="61" t="s">
        <v>199</v>
      </c>
      <c r="D24" s="63">
        <v>0</v>
      </c>
      <c r="E24" s="202" t="e">
        <f>InvulRegie[[#This Row],[Prijs excl. BTW]]*Tariefsopbouw!$I$37+InvulRegie[[#This Row],[Prijs excl. BTW]]</f>
        <v>#DIV/0!</v>
      </c>
      <c r="F24" s="202" t="e">
        <f>InvulRegie[[#This Row],[2025]]*Tariefsopbouw!$K$37+InvulRegie[[#This Row],[2025]]</f>
        <v>#DIV/0!</v>
      </c>
      <c r="G24" s="202" t="e">
        <f>InvulRegie[[#This Row],[2026]]*Tariefsopbouw!$M$37+InvulRegie[[#This Row],[2026]]</f>
        <v>#DIV/0!</v>
      </c>
      <c r="H24" s="202" t="e">
        <f>InvulRegie[[#This Row],[2027]]*Tariefsopbouw!$O$37+InvulRegie[[#This Row],[2027]]</f>
        <v>#DIV/0!</v>
      </c>
      <c r="I24" s="202" t="e">
        <f>InvulRegie[[#This Row],[2028]]*Tariefsopbouw!$Q$37+InvulRegie[[#This Row],[2028]]</f>
        <v>#DIV/0!</v>
      </c>
    </row>
    <row r="25" spans="1:9" ht="18.75" customHeight="1">
      <c r="A25" s="326"/>
      <c r="B25" s="61" t="s">
        <v>253</v>
      </c>
      <c r="C25" s="61" t="s">
        <v>199</v>
      </c>
      <c r="D25" s="63">
        <v>0</v>
      </c>
      <c r="E25" s="202" t="e">
        <f>InvulRegie[[#This Row],[Prijs excl. BTW]]*Tariefsopbouw!$I$37+InvulRegie[[#This Row],[Prijs excl. BTW]]</f>
        <v>#DIV/0!</v>
      </c>
      <c r="F25" s="202" t="e">
        <f>InvulRegie[[#This Row],[2025]]*Tariefsopbouw!$K$37+InvulRegie[[#This Row],[2025]]</f>
        <v>#DIV/0!</v>
      </c>
      <c r="G25" s="202" t="e">
        <f>InvulRegie[[#This Row],[2026]]*Tariefsopbouw!$M$37+InvulRegie[[#This Row],[2026]]</f>
        <v>#DIV/0!</v>
      </c>
      <c r="H25" s="202" t="e">
        <f>InvulRegie[[#This Row],[2027]]*Tariefsopbouw!$O$37+InvulRegie[[#This Row],[2027]]</f>
        <v>#DIV/0!</v>
      </c>
      <c r="I25" s="202" t="e">
        <f>InvulRegie[[#This Row],[2028]]*Tariefsopbouw!$Q$37+InvulRegie[[#This Row],[2028]]</f>
        <v>#DIV/0!</v>
      </c>
    </row>
    <row r="26" spans="1:9" ht="18.75" customHeight="1">
      <c r="A26" s="326"/>
      <c r="B26" s="61" t="s">
        <v>255</v>
      </c>
      <c r="C26" s="61" t="s">
        <v>199</v>
      </c>
      <c r="D26" s="63">
        <v>0</v>
      </c>
      <c r="E26" s="202" t="e">
        <f>InvulRegie[[#This Row],[Prijs excl. BTW]]*Tariefsopbouw!$I$37+InvulRegie[[#This Row],[Prijs excl. BTW]]</f>
        <v>#DIV/0!</v>
      </c>
      <c r="F26" s="202" t="e">
        <f>InvulRegie[[#This Row],[2025]]*Tariefsopbouw!$K$37+InvulRegie[[#This Row],[2025]]</f>
        <v>#DIV/0!</v>
      </c>
      <c r="G26" s="202" t="e">
        <f>InvulRegie[[#This Row],[2026]]*Tariefsopbouw!$M$37+InvulRegie[[#This Row],[2026]]</f>
        <v>#DIV/0!</v>
      </c>
      <c r="H26" s="202" t="e">
        <f>InvulRegie[[#This Row],[2027]]*Tariefsopbouw!$O$37+InvulRegie[[#This Row],[2027]]</f>
        <v>#DIV/0!</v>
      </c>
      <c r="I26" s="202" t="e">
        <f>InvulRegie[[#This Row],[2028]]*Tariefsopbouw!$Q$37+InvulRegie[[#This Row],[2028]]</f>
        <v>#DIV/0!</v>
      </c>
    </row>
    <row r="27" spans="1:9" ht="18.75" customHeight="1">
      <c r="A27" s="326"/>
      <c r="B27" s="61" t="s">
        <v>254</v>
      </c>
      <c r="C27" s="61" t="s">
        <v>199</v>
      </c>
      <c r="D27" s="63">
        <v>0</v>
      </c>
      <c r="E27" s="202" t="e">
        <f>InvulRegie[[#This Row],[Prijs excl. BTW]]*Tariefsopbouw!$I$37+InvulRegie[[#This Row],[Prijs excl. BTW]]</f>
        <v>#DIV/0!</v>
      </c>
      <c r="F27" s="202" t="e">
        <f>InvulRegie[[#This Row],[2025]]*Tariefsopbouw!$K$37+InvulRegie[[#This Row],[2025]]</f>
        <v>#DIV/0!</v>
      </c>
      <c r="G27" s="202" t="e">
        <f>InvulRegie[[#This Row],[2026]]*Tariefsopbouw!$M$37+InvulRegie[[#This Row],[2026]]</f>
        <v>#DIV/0!</v>
      </c>
      <c r="H27" s="202" t="e">
        <f>InvulRegie[[#This Row],[2027]]*Tariefsopbouw!$O$37+InvulRegie[[#This Row],[2027]]</f>
        <v>#DIV/0!</v>
      </c>
      <c r="I27" s="202" t="e">
        <f>InvulRegie[[#This Row],[2028]]*Tariefsopbouw!$Q$37+InvulRegie[[#This Row],[2028]]</f>
        <v>#DIV/0!</v>
      </c>
    </row>
    <row r="28" spans="1:9" ht="18.75" customHeight="1">
      <c r="A28" s="327"/>
      <c r="B28" s="61" t="s">
        <v>49</v>
      </c>
      <c r="C28" s="61" t="s">
        <v>199</v>
      </c>
      <c r="D28" s="63">
        <v>0</v>
      </c>
      <c r="E28" s="202" t="e">
        <f>InvulRegie[[#This Row],[Prijs excl. BTW]]*Tariefsopbouw!$I$37+InvulRegie[[#This Row],[Prijs excl. BTW]]</f>
        <v>#DIV/0!</v>
      </c>
      <c r="F28" s="202" t="e">
        <f>InvulRegie[[#This Row],[2025]]*Tariefsopbouw!$K$37+InvulRegie[[#This Row],[2025]]</f>
        <v>#DIV/0!</v>
      </c>
      <c r="G28" s="202" t="e">
        <f>InvulRegie[[#This Row],[2026]]*Tariefsopbouw!$M$37+InvulRegie[[#This Row],[2026]]</f>
        <v>#DIV/0!</v>
      </c>
      <c r="H28" s="202" t="e">
        <f>InvulRegie[[#This Row],[2027]]*Tariefsopbouw!$O$37+InvulRegie[[#This Row],[2027]]</f>
        <v>#DIV/0!</v>
      </c>
      <c r="I28" s="202" t="e">
        <f>InvulRegie[[#This Row],[2028]]*Tariefsopbouw!$Q$37+InvulRegie[[#This Row],[2028]]</f>
        <v>#DIV/0!</v>
      </c>
    </row>
    <row r="29" spans="1:9" ht="18.75" customHeight="1">
      <c r="A29" s="325" t="s">
        <v>210</v>
      </c>
      <c r="B29" s="60" t="s">
        <v>211</v>
      </c>
      <c r="C29" s="61" t="s">
        <v>196</v>
      </c>
      <c r="D29" s="63">
        <v>0</v>
      </c>
      <c r="E29" s="202" t="e">
        <f>InvulRegie[[#This Row],[Prijs excl. BTW]]*Tariefsopbouw!$I$37+InvulRegie[[#This Row],[Prijs excl. BTW]]</f>
        <v>#DIV/0!</v>
      </c>
      <c r="F29" s="201" t="e">
        <f>InvulRegie[[#This Row],[2025]]*Tariefsopbouw!$K$37+InvulRegie[[#This Row],[2025]]</f>
        <v>#DIV/0!</v>
      </c>
      <c r="G29" s="202" t="e">
        <f>InvulRegie[[#This Row],[2026]]*Tariefsopbouw!$M$37+InvulRegie[[#This Row],[2026]]</f>
        <v>#DIV/0!</v>
      </c>
      <c r="H29" s="202" t="e">
        <f>InvulRegie[[#This Row],[2027]]*Tariefsopbouw!$O$37+InvulRegie[[#This Row],[2027]]</f>
        <v>#DIV/0!</v>
      </c>
      <c r="I29" s="202" t="e">
        <f>InvulRegie[[#This Row],[2028]]*Tariefsopbouw!$Q$37+InvulRegie[[#This Row],[2028]]</f>
        <v>#DIV/0!</v>
      </c>
    </row>
    <row r="30" spans="1:9" ht="18.75" customHeight="1">
      <c r="A30" s="326"/>
      <c r="B30" s="60" t="s">
        <v>212</v>
      </c>
      <c r="C30" s="61" t="s">
        <v>196</v>
      </c>
      <c r="D30" s="63">
        <v>0</v>
      </c>
      <c r="E30" s="202" t="e">
        <f>InvulRegie[[#This Row],[Prijs excl. BTW]]*Tariefsopbouw!$I$37+InvulRegie[[#This Row],[Prijs excl. BTW]]</f>
        <v>#DIV/0!</v>
      </c>
      <c r="F30" s="201" t="e">
        <f>InvulRegie[[#This Row],[2025]]*Tariefsopbouw!$K$37+InvulRegie[[#This Row],[2025]]</f>
        <v>#DIV/0!</v>
      </c>
      <c r="G30" s="202" t="e">
        <f>InvulRegie[[#This Row],[2026]]*Tariefsopbouw!$M$37+InvulRegie[[#This Row],[2026]]</f>
        <v>#DIV/0!</v>
      </c>
      <c r="H30" s="202" t="e">
        <f>InvulRegie[[#This Row],[2027]]*Tariefsopbouw!$O$37+InvulRegie[[#This Row],[2027]]</f>
        <v>#DIV/0!</v>
      </c>
      <c r="I30" s="202" t="e">
        <f>InvulRegie[[#This Row],[2028]]*Tariefsopbouw!$Q$37+InvulRegie[[#This Row],[2028]]</f>
        <v>#DIV/0!</v>
      </c>
    </row>
    <row r="31" spans="1:9" ht="18.75" customHeight="1">
      <c r="A31" s="327"/>
      <c r="B31" s="60" t="s">
        <v>213</v>
      </c>
      <c r="C31" s="61" t="s">
        <v>196</v>
      </c>
      <c r="D31" s="63">
        <v>0</v>
      </c>
      <c r="E31" s="202" t="e">
        <f>InvulRegie[[#This Row],[Prijs excl. BTW]]*Tariefsopbouw!$I$37+InvulRegie[[#This Row],[Prijs excl. BTW]]</f>
        <v>#DIV/0!</v>
      </c>
      <c r="F31" s="201" t="e">
        <f>InvulRegie[[#This Row],[2025]]*Tariefsopbouw!$K$37+InvulRegie[[#This Row],[2025]]</f>
        <v>#DIV/0!</v>
      </c>
      <c r="G31" s="202" t="e">
        <f>InvulRegie[[#This Row],[2026]]*Tariefsopbouw!$M$37+InvulRegie[[#This Row],[2026]]</f>
        <v>#DIV/0!</v>
      </c>
      <c r="H31" s="202" t="e">
        <f>InvulRegie[[#This Row],[2027]]*Tariefsopbouw!$O$37+InvulRegie[[#This Row],[2027]]</f>
        <v>#DIV/0!</v>
      </c>
      <c r="I31" s="202" t="e">
        <f>InvulRegie[[#This Row],[2028]]*Tariefsopbouw!$Q$37+InvulRegie[[#This Row],[2028]]</f>
        <v>#DIV/0!</v>
      </c>
    </row>
    <row r="32" spans="1:9" ht="18.75" customHeight="1">
      <c r="A32" s="325" t="s">
        <v>204</v>
      </c>
      <c r="B32" s="61" t="s">
        <v>51</v>
      </c>
      <c r="C32" s="61" t="s">
        <v>50</v>
      </c>
      <c r="D32" s="63">
        <v>0</v>
      </c>
      <c r="E32" s="202" t="e">
        <f>InvulRegie[[#This Row],[Prijs excl. BTW]]*Tariefsopbouw!$I$37+InvulRegie[[#This Row],[Prijs excl. BTW]]</f>
        <v>#DIV/0!</v>
      </c>
      <c r="F32" s="202" t="e">
        <f>InvulRegie[[#This Row],[2025]]*Tariefsopbouw!$K$37+InvulRegie[[#This Row],[2025]]</f>
        <v>#DIV/0!</v>
      </c>
      <c r="G32" s="202" t="e">
        <f>InvulRegie[[#This Row],[2026]]*Tariefsopbouw!$M$37+InvulRegie[[#This Row],[2026]]</f>
        <v>#DIV/0!</v>
      </c>
      <c r="H32" s="202" t="e">
        <f>InvulRegie[[#This Row],[2027]]*Tariefsopbouw!$O$37+InvulRegie[[#This Row],[2027]]</f>
        <v>#DIV/0!</v>
      </c>
      <c r="I32" s="202" t="e">
        <f>InvulRegie[[#This Row],[2028]]*Tariefsopbouw!$Q$37+InvulRegie[[#This Row],[2028]]</f>
        <v>#DIV/0!</v>
      </c>
    </row>
    <row r="33" spans="1:9" ht="18.75" customHeight="1">
      <c r="A33" s="326"/>
      <c r="B33" s="61" t="s">
        <v>52</v>
      </c>
      <c r="C33" s="61" t="s">
        <v>50</v>
      </c>
      <c r="D33" s="63">
        <v>0</v>
      </c>
      <c r="E33" s="202" t="e">
        <f>InvulRegie[[#This Row],[Prijs excl. BTW]]*Tariefsopbouw!$I$37+InvulRegie[[#This Row],[Prijs excl. BTW]]</f>
        <v>#DIV/0!</v>
      </c>
      <c r="F33" s="202" t="e">
        <f>InvulRegie[[#This Row],[2025]]*Tariefsopbouw!$K$37+InvulRegie[[#This Row],[2025]]</f>
        <v>#DIV/0!</v>
      </c>
      <c r="G33" s="202" t="e">
        <f>InvulRegie[[#This Row],[2026]]*Tariefsopbouw!$M$37+InvulRegie[[#This Row],[2026]]</f>
        <v>#DIV/0!</v>
      </c>
      <c r="H33" s="202" t="e">
        <f>InvulRegie[[#This Row],[2027]]*Tariefsopbouw!$O$37+InvulRegie[[#This Row],[2027]]</f>
        <v>#DIV/0!</v>
      </c>
      <c r="I33" s="202" t="e">
        <f>InvulRegie[[#This Row],[2028]]*Tariefsopbouw!$Q$37+InvulRegie[[#This Row],[2028]]</f>
        <v>#DIV/0!</v>
      </c>
    </row>
    <row r="34" spans="1:9" ht="18.75" customHeight="1">
      <c r="A34" s="326"/>
      <c r="B34" s="61" t="s">
        <v>53</v>
      </c>
      <c r="C34" s="61" t="s">
        <v>50</v>
      </c>
      <c r="D34" s="63">
        <v>0</v>
      </c>
      <c r="E34" s="202" t="e">
        <f>InvulRegie[[#This Row],[Prijs excl. BTW]]*Tariefsopbouw!$I$37+InvulRegie[[#This Row],[Prijs excl. BTW]]</f>
        <v>#DIV/0!</v>
      </c>
      <c r="F34" s="202" t="e">
        <f>InvulRegie[[#This Row],[2025]]*Tariefsopbouw!$K$37+InvulRegie[[#This Row],[2025]]</f>
        <v>#DIV/0!</v>
      </c>
      <c r="G34" s="202" t="e">
        <f>InvulRegie[[#This Row],[2026]]*Tariefsopbouw!$M$37+InvulRegie[[#This Row],[2026]]</f>
        <v>#DIV/0!</v>
      </c>
      <c r="H34" s="202" t="e">
        <f>InvulRegie[[#This Row],[2027]]*Tariefsopbouw!$O$37+InvulRegie[[#This Row],[2027]]</f>
        <v>#DIV/0!</v>
      </c>
      <c r="I34" s="202" t="e">
        <f>InvulRegie[[#This Row],[2028]]*Tariefsopbouw!$Q$37+InvulRegie[[#This Row],[2028]]</f>
        <v>#DIV/0!</v>
      </c>
    </row>
    <row r="35" spans="1:9" ht="18.75" customHeight="1">
      <c r="A35" s="326"/>
      <c r="B35" s="61" t="s">
        <v>54</v>
      </c>
      <c r="C35" s="61" t="s">
        <v>50</v>
      </c>
      <c r="D35" s="63">
        <v>0</v>
      </c>
      <c r="E35" s="202" t="e">
        <f>InvulRegie[[#This Row],[Prijs excl. BTW]]*Tariefsopbouw!$I$37+InvulRegie[[#This Row],[Prijs excl. BTW]]</f>
        <v>#DIV/0!</v>
      </c>
      <c r="F35" s="202" t="e">
        <f>InvulRegie[[#This Row],[2025]]*Tariefsopbouw!$K$37+InvulRegie[[#This Row],[2025]]</f>
        <v>#DIV/0!</v>
      </c>
      <c r="G35" s="202" t="e">
        <f>InvulRegie[[#This Row],[2026]]*Tariefsopbouw!$M$37+InvulRegie[[#This Row],[2026]]</f>
        <v>#DIV/0!</v>
      </c>
      <c r="H35" s="202" t="e">
        <f>InvulRegie[[#This Row],[2027]]*Tariefsopbouw!$O$37+InvulRegie[[#This Row],[2027]]</f>
        <v>#DIV/0!</v>
      </c>
      <c r="I35" s="202" t="e">
        <f>InvulRegie[[#This Row],[2028]]*Tariefsopbouw!$Q$37+InvulRegie[[#This Row],[2028]]</f>
        <v>#DIV/0!</v>
      </c>
    </row>
    <row r="36" spans="1:9" ht="18.75" customHeight="1">
      <c r="A36" s="327"/>
      <c r="B36" s="61" t="s">
        <v>47</v>
      </c>
      <c r="C36" s="61" t="s">
        <v>48</v>
      </c>
      <c r="D36" s="63">
        <v>0</v>
      </c>
      <c r="E36" s="202" t="e">
        <f>InvulRegie[[#This Row],[Prijs excl. BTW]]*Tariefsopbouw!$I$37+InvulRegie[[#This Row],[Prijs excl. BTW]]</f>
        <v>#DIV/0!</v>
      </c>
      <c r="F36" s="202" t="e">
        <f>InvulRegie[[#This Row],[2025]]*Tariefsopbouw!$K$37+InvulRegie[[#This Row],[2025]]</f>
        <v>#DIV/0!</v>
      </c>
      <c r="G36" s="202" t="e">
        <f>InvulRegie[[#This Row],[2026]]*Tariefsopbouw!$M$37+InvulRegie[[#This Row],[2026]]</f>
        <v>#DIV/0!</v>
      </c>
      <c r="H36" s="202" t="e">
        <f>InvulRegie[[#This Row],[2027]]*Tariefsopbouw!$O$37+InvulRegie[[#This Row],[2027]]</f>
        <v>#DIV/0!</v>
      </c>
      <c r="I36" s="202" t="e">
        <f>InvulRegie[[#This Row],[2028]]*Tariefsopbouw!$Q$37+InvulRegie[[#This Row],[2028]]</f>
        <v>#DIV/0!</v>
      </c>
    </row>
    <row r="37" spans="1:9" ht="18.75" customHeight="1">
      <c r="A37" s="328" t="s">
        <v>205</v>
      </c>
      <c r="B37" s="61" t="s">
        <v>55</v>
      </c>
      <c r="C37" s="61" t="s">
        <v>234</v>
      </c>
      <c r="D37" s="63">
        <v>0</v>
      </c>
      <c r="E37" s="202" t="e">
        <f>InvulRegie[[#This Row],[Prijs excl. BTW]]*Tariefsopbouw!$I$37+InvulRegie[[#This Row],[Prijs excl. BTW]]</f>
        <v>#DIV/0!</v>
      </c>
      <c r="F37" s="202" t="e">
        <f>InvulRegie[[#This Row],[2025]]*Tariefsopbouw!$K$37+InvulRegie[[#This Row],[2025]]</f>
        <v>#DIV/0!</v>
      </c>
      <c r="G37" s="202" t="e">
        <f>InvulRegie[[#This Row],[2026]]*Tariefsopbouw!$M$37+InvulRegie[[#This Row],[2026]]</f>
        <v>#DIV/0!</v>
      </c>
      <c r="H37" s="202" t="e">
        <f>InvulRegie[[#This Row],[2027]]*Tariefsopbouw!$O$37+InvulRegie[[#This Row],[2027]]</f>
        <v>#DIV/0!</v>
      </c>
      <c r="I37" s="202" t="e">
        <f>InvulRegie[[#This Row],[2028]]*Tariefsopbouw!$Q$37+InvulRegie[[#This Row],[2028]]</f>
        <v>#DIV/0!</v>
      </c>
    </row>
    <row r="38" spans="1:9" ht="18.75" customHeight="1">
      <c r="A38" s="329"/>
      <c r="B38" s="61" t="s">
        <v>56</v>
      </c>
      <c r="C38" s="61" t="s">
        <v>57</v>
      </c>
      <c r="D38" s="63">
        <v>0</v>
      </c>
      <c r="E38" s="202" t="e">
        <f>InvulRegie[[#This Row],[Prijs excl. BTW]]*Tariefsopbouw!$I$37+InvulRegie[[#This Row],[Prijs excl. BTW]]</f>
        <v>#DIV/0!</v>
      </c>
      <c r="F38" s="202" t="e">
        <f>InvulRegie[[#This Row],[2025]]*Tariefsopbouw!$K$37+InvulRegie[[#This Row],[2025]]</f>
        <v>#DIV/0!</v>
      </c>
      <c r="G38" s="202" t="e">
        <f>InvulRegie[[#This Row],[2026]]*Tariefsopbouw!$M$37+InvulRegie[[#This Row],[2026]]</f>
        <v>#DIV/0!</v>
      </c>
      <c r="H38" s="202" t="e">
        <f>InvulRegie[[#This Row],[2027]]*Tariefsopbouw!$O$37+InvulRegie[[#This Row],[2027]]</f>
        <v>#DIV/0!</v>
      </c>
      <c r="I38" s="202" t="e">
        <f>InvulRegie[[#This Row],[2028]]*Tariefsopbouw!$Q$37+InvulRegie[[#This Row],[2028]]</f>
        <v>#DIV/0!</v>
      </c>
    </row>
    <row r="39" spans="1:9" ht="18.75" customHeight="1">
      <c r="A39" s="329"/>
      <c r="B39" s="61" t="s">
        <v>206</v>
      </c>
      <c r="C39" s="61" t="s">
        <v>57</v>
      </c>
      <c r="D39" s="63">
        <v>0</v>
      </c>
      <c r="E39" s="202" t="e">
        <f>InvulRegie[[#This Row],[Prijs excl. BTW]]*Tariefsopbouw!$I$37+InvulRegie[[#This Row],[Prijs excl. BTW]]</f>
        <v>#DIV/0!</v>
      </c>
      <c r="F39" s="202" t="e">
        <f>InvulRegie[[#This Row],[2025]]*Tariefsopbouw!$K$37+InvulRegie[[#This Row],[2025]]</f>
        <v>#DIV/0!</v>
      </c>
      <c r="G39" s="202" t="e">
        <f>InvulRegie[[#This Row],[2026]]*Tariefsopbouw!$M$37+InvulRegie[[#This Row],[2026]]</f>
        <v>#DIV/0!</v>
      </c>
      <c r="H39" s="202" t="e">
        <f>InvulRegie[[#This Row],[2027]]*Tariefsopbouw!$O$37+InvulRegie[[#This Row],[2027]]</f>
        <v>#DIV/0!</v>
      </c>
      <c r="I39" s="202" t="e">
        <f>InvulRegie[[#This Row],[2028]]*Tariefsopbouw!$Q$37+InvulRegie[[#This Row],[2028]]</f>
        <v>#DIV/0!</v>
      </c>
    </row>
    <row r="40" spans="1:9" ht="18.75" customHeight="1">
      <c r="A40" s="330"/>
      <c r="B40" s="61" t="s">
        <v>207</v>
      </c>
      <c r="C40" s="61" t="s">
        <v>57</v>
      </c>
      <c r="D40" s="63">
        <v>0</v>
      </c>
      <c r="E40" s="202" t="e">
        <f>InvulRegie[[#This Row],[Prijs excl. BTW]]*Tariefsopbouw!$I$37+InvulRegie[[#This Row],[Prijs excl. BTW]]</f>
        <v>#DIV/0!</v>
      </c>
      <c r="F40" s="202" t="e">
        <f>InvulRegie[[#This Row],[2025]]*Tariefsopbouw!$K$37+InvulRegie[[#This Row],[2025]]</f>
        <v>#DIV/0!</v>
      </c>
      <c r="G40" s="202" t="e">
        <f>InvulRegie[[#This Row],[2026]]*Tariefsopbouw!$M$37+InvulRegie[[#This Row],[2026]]</f>
        <v>#DIV/0!</v>
      </c>
      <c r="H40" s="202" t="e">
        <f>InvulRegie[[#This Row],[2027]]*Tariefsopbouw!$O$37+InvulRegie[[#This Row],[2027]]</f>
        <v>#DIV/0!</v>
      </c>
      <c r="I40" s="202" t="e">
        <f>InvulRegie[[#This Row],[2028]]*Tariefsopbouw!$Q$37+InvulRegie[[#This Row],[2028]]</f>
        <v>#DIV/0!</v>
      </c>
    </row>
    <row r="41" spans="1:9" s="136" customFormat="1" ht="26.25" customHeight="1">
      <c r="A41" s="135"/>
      <c r="B41" s="198" t="s">
        <v>33</v>
      </c>
      <c r="C41" s="198"/>
      <c r="D41" s="198"/>
      <c r="E41" s="198"/>
      <c r="F41" s="198"/>
      <c r="G41" s="198"/>
      <c r="H41" s="198"/>
      <c r="I41" s="198"/>
    </row>
    <row r="42" spans="1:9" ht="18.75" customHeight="1" thickBot="1"/>
    <row r="43" spans="1:9" ht="15.75">
      <c r="A43" s="229"/>
      <c r="B43" s="230" t="s">
        <v>435</v>
      </c>
      <c r="C43" s="230"/>
      <c r="D43" s="231"/>
    </row>
    <row r="44" spans="1:9" ht="12.75">
      <c r="A44" s="232"/>
      <c r="B44" s="233"/>
      <c r="C44" s="233"/>
      <c r="D44" s="234"/>
    </row>
    <row r="45" spans="1:9" ht="12.75">
      <c r="A45" s="232"/>
      <c r="B45" s="235" t="s">
        <v>436</v>
      </c>
      <c r="C45" s="233"/>
      <c r="D45" s="234"/>
    </row>
    <row r="46" spans="1:9" ht="12.75">
      <c r="A46" s="232"/>
      <c r="B46" s="233"/>
      <c r="C46" s="233"/>
      <c r="D46" s="234"/>
    </row>
    <row r="47" spans="1:9" ht="12.75">
      <c r="A47" s="232"/>
      <c r="B47" s="236" t="s">
        <v>437</v>
      </c>
      <c r="C47" s="233"/>
      <c r="D47" s="234"/>
    </row>
    <row r="48" spans="1:9" ht="12.75">
      <c r="A48" s="232"/>
      <c r="B48" s="233"/>
      <c r="C48" s="233"/>
      <c r="D48" s="234"/>
    </row>
    <row r="49" spans="1:4" ht="12.75">
      <c r="A49" s="237" t="s">
        <v>438</v>
      </c>
      <c r="B49" s="323" t="s">
        <v>439</v>
      </c>
      <c r="C49" s="323"/>
      <c r="D49" s="324"/>
    </row>
    <row r="50" spans="1:4" ht="12.75">
      <c r="A50" s="237" t="s">
        <v>438</v>
      </c>
      <c r="B50" s="323" t="s">
        <v>440</v>
      </c>
      <c r="C50" s="323" t="s">
        <v>440</v>
      </c>
      <c r="D50" s="324" t="s">
        <v>440</v>
      </c>
    </row>
    <row r="51" spans="1:4" ht="12.75">
      <c r="A51" s="237" t="s">
        <v>438</v>
      </c>
      <c r="B51" s="323" t="s">
        <v>441</v>
      </c>
      <c r="C51" s="323" t="s">
        <v>441</v>
      </c>
      <c r="D51" s="324" t="s">
        <v>441</v>
      </c>
    </row>
    <row r="52" spans="1:4" ht="12.75">
      <c r="A52" s="237" t="s">
        <v>438</v>
      </c>
      <c r="B52" s="323" t="s">
        <v>442</v>
      </c>
      <c r="C52" s="323" t="s">
        <v>442</v>
      </c>
      <c r="D52" s="324" t="s">
        <v>442</v>
      </c>
    </row>
    <row r="53" spans="1:4" ht="12.75">
      <c r="A53" s="237" t="s">
        <v>438</v>
      </c>
      <c r="B53" s="323" t="s">
        <v>443</v>
      </c>
      <c r="C53" s="323" t="s">
        <v>443</v>
      </c>
      <c r="D53" s="324" t="s">
        <v>443</v>
      </c>
    </row>
    <row r="54" spans="1:4" ht="12.75">
      <c r="A54" s="237" t="s">
        <v>438</v>
      </c>
      <c r="B54" s="323" t="s">
        <v>444</v>
      </c>
      <c r="C54" s="323" t="s">
        <v>444</v>
      </c>
      <c r="D54" s="324" t="s">
        <v>444</v>
      </c>
    </row>
    <row r="55" spans="1:4" ht="12.75">
      <c r="A55" s="237" t="s">
        <v>438</v>
      </c>
      <c r="B55" s="323" t="s">
        <v>445</v>
      </c>
      <c r="C55" s="323" t="s">
        <v>445</v>
      </c>
      <c r="D55" s="324" t="s">
        <v>445</v>
      </c>
    </row>
    <row r="56" spans="1:4" ht="12.75">
      <c r="A56" s="237" t="s">
        <v>438</v>
      </c>
      <c r="B56" s="323" t="s">
        <v>446</v>
      </c>
      <c r="C56" s="323" t="s">
        <v>446</v>
      </c>
      <c r="D56" s="324" t="s">
        <v>446</v>
      </c>
    </row>
    <row r="57" spans="1:4" ht="12.75">
      <c r="A57" s="237" t="s">
        <v>438</v>
      </c>
      <c r="B57" s="323" t="s">
        <v>447</v>
      </c>
      <c r="C57" s="323" t="s">
        <v>447</v>
      </c>
      <c r="D57" s="324" t="s">
        <v>447</v>
      </c>
    </row>
    <row r="58" spans="1:4" ht="12.75">
      <c r="A58" s="237" t="s">
        <v>438</v>
      </c>
      <c r="B58" s="323" t="s">
        <v>448</v>
      </c>
      <c r="C58" s="323" t="s">
        <v>448</v>
      </c>
      <c r="D58" s="324" t="s">
        <v>448</v>
      </c>
    </row>
    <row r="59" spans="1:4" ht="12.75">
      <c r="A59" s="237" t="s">
        <v>438</v>
      </c>
      <c r="B59" s="323" t="s">
        <v>449</v>
      </c>
      <c r="C59" s="323" t="s">
        <v>449</v>
      </c>
      <c r="D59" s="324" t="s">
        <v>449</v>
      </c>
    </row>
    <row r="60" spans="1:4" ht="12.75">
      <c r="A60" s="237" t="s">
        <v>438</v>
      </c>
      <c r="B60" s="323" t="s">
        <v>450</v>
      </c>
      <c r="C60" s="323" t="s">
        <v>450</v>
      </c>
      <c r="D60" s="324" t="s">
        <v>450</v>
      </c>
    </row>
    <row r="61" spans="1:4" ht="12.75">
      <c r="A61" s="232"/>
      <c r="B61" s="238"/>
      <c r="C61" s="233"/>
      <c r="D61" s="234"/>
    </row>
    <row r="62" spans="1:4" ht="12.75">
      <c r="A62" s="232"/>
      <c r="B62" s="239" t="s">
        <v>451</v>
      </c>
      <c r="C62" s="233"/>
      <c r="D62" s="234"/>
    </row>
    <row r="63" spans="1:4" ht="12.75">
      <c r="A63" s="232"/>
      <c r="B63" s="238"/>
      <c r="C63" s="233"/>
      <c r="D63" s="234"/>
    </row>
    <row r="64" spans="1:4" ht="24" customHeight="1">
      <c r="A64" s="237" t="s">
        <v>438</v>
      </c>
      <c r="B64" s="323" t="s">
        <v>452</v>
      </c>
      <c r="C64" s="323" t="s">
        <v>452</v>
      </c>
      <c r="D64" s="324" t="s">
        <v>452</v>
      </c>
    </row>
    <row r="65" spans="1:4" ht="12.75">
      <c r="A65" s="237" t="s">
        <v>438</v>
      </c>
      <c r="B65" s="323" t="s">
        <v>453</v>
      </c>
      <c r="C65" s="323" t="s">
        <v>453</v>
      </c>
      <c r="D65" s="324" t="s">
        <v>453</v>
      </c>
    </row>
    <row r="66" spans="1:4" ht="12.75">
      <c r="A66" s="237" t="s">
        <v>438</v>
      </c>
      <c r="B66" s="323" t="s">
        <v>454</v>
      </c>
      <c r="C66" s="323" t="s">
        <v>454</v>
      </c>
      <c r="D66" s="324" t="s">
        <v>454</v>
      </c>
    </row>
    <row r="67" spans="1:4" ht="12.75">
      <c r="A67" s="237" t="s">
        <v>438</v>
      </c>
      <c r="B67" s="323" t="s">
        <v>448</v>
      </c>
      <c r="C67" s="323" t="s">
        <v>448</v>
      </c>
      <c r="D67" s="324" t="s">
        <v>448</v>
      </c>
    </row>
    <row r="68" spans="1:4" ht="12.75">
      <c r="A68" s="237" t="s">
        <v>438</v>
      </c>
      <c r="B68" s="323" t="s">
        <v>455</v>
      </c>
      <c r="C68" s="323" t="s">
        <v>455</v>
      </c>
      <c r="D68" s="324" t="s">
        <v>455</v>
      </c>
    </row>
    <row r="69" spans="1:4" ht="12.75">
      <c r="A69" s="237" t="s">
        <v>438</v>
      </c>
      <c r="B69" s="323" t="s">
        <v>456</v>
      </c>
      <c r="C69" s="323" t="s">
        <v>456</v>
      </c>
      <c r="D69" s="324" t="s">
        <v>456</v>
      </c>
    </row>
    <row r="70" spans="1:4" ht="12.75">
      <c r="A70" s="237" t="s">
        <v>438</v>
      </c>
      <c r="B70" s="323" t="s">
        <v>457</v>
      </c>
      <c r="C70" s="323" t="s">
        <v>457</v>
      </c>
      <c r="D70" s="324" t="s">
        <v>457</v>
      </c>
    </row>
    <row r="71" spans="1:4" ht="12.75">
      <c r="A71" s="237" t="s">
        <v>438</v>
      </c>
      <c r="B71" s="323" t="s">
        <v>458</v>
      </c>
      <c r="C71" s="323" t="s">
        <v>458</v>
      </c>
      <c r="D71" s="324" t="s">
        <v>458</v>
      </c>
    </row>
    <row r="72" spans="1:4" ht="12.75">
      <c r="A72" s="237" t="s">
        <v>438</v>
      </c>
      <c r="B72" s="323" t="s">
        <v>459</v>
      </c>
      <c r="C72" s="323" t="s">
        <v>459</v>
      </c>
      <c r="D72" s="324" t="s">
        <v>459</v>
      </c>
    </row>
    <row r="73" spans="1:4" ht="12.75">
      <c r="A73" s="232"/>
      <c r="B73" s="233"/>
      <c r="C73" s="233"/>
      <c r="D73" s="234"/>
    </row>
    <row r="74" spans="1:4" ht="12.75">
      <c r="A74" s="232"/>
      <c r="B74" s="239" t="s">
        <v>59</v>
      </c>
      <c r="C74" s="233"/>
      <c r="D74" s="234"/>
    </row>
    <row r="75" spans="1:4" ht="12.75">
      <c r="A75" s="232"/>
      <c r="B75" s="238"/>
      <c r="C75" s="233"/>
      <c r="D75" s="234"/>
    </row>
    <row r="76" spans="1:4" ht="12.75">
      <c r="A76" s="237" t="s">
        <v>438</v>
      </c>
      <c r="B76" s="331" t="s">
        <v>460</v>
      </c>
      <c r="C76" s="331" t="s">
        <v>460</v>
      </c>
      <c r="D76" s="332" t="s">
        <v>460</v>
      </c>
    </row>
    <row r="77" spans="1:4" ht="12.75">
      <c r="A77" s="237" t="s">
        <v>438</v>
      </c>
      <c r="B77" s="331" t="s">
        <v>461</v>
      </c>
      <c r="C77" s="331" t="s">
        <v>461</v>
      </c>
      <c r="D77" s="332" t="s">
        <v>461</v>
      </c>
    </row>
    <row r="78" spans="1:4" ht="12.75">
      <c r="A78" s="237" t="s">
        <v>438</v>
      </c>
      <c r="B78" s="331" t="s">
        <v>462</v>
      </c>
      <c r="C78" s="331" t="s">
        <v>462</v>
      </c>
      <c r="D78" s="332" t="s">
        <v>462</v>
      </c>
    </row>
    <row r="79" spans="1:4" ht="12.75">
      <c r="A79" s="237" t="s">
        <v>438</v>
      </c>
      <c r="B79" s="331" t="s">
        <v>463</v>
      </c>
      <c r="C79" s="331" t="s">
        <v>463</v>
      </c>
      <c r="D79" s="332" t="s">
        <v>463</v>
      </c>
    </row>
    <row r="80" spans="1:4" ht="12.75">
      <c r="A80" s="237" t="s">
        <v>438</v>
      </c>
      <c r="B80" s="331" t="s">
        <v>464</v>
      </c>
      <c r="C80" s="331" t="s">
        <v>464</v>
      </c>
      <c r="D80" s="332" t="s">
        <v>464</v>
      </c>
    </row>
    <row r="81" spans="1:4" ht="12.75">
      <c r="A81" s="237" t="s">
        <v>438</v>
      </c>
      <c r="B81" s="331" t="s">
        <v>465</v>
      </c>
      <c r="C81" s="331" t="s">
        <v>465</v>
      </c>
      <c r="D81" s="332" t="s">
        <v>465</v>
      </c>
    </row>
    <row r="82" spans="1:4" ht="13.5" thickBot="1">
      <c r="A82" s="240" t="s">
        <v>438</v>
      </c>
      <c r="B82" s="333" t="s">
        <v>466</v>
      </c>
      <c r="C82" s="333" t="s">
        <v>466</v>
      </c>
      <c r="D82" s="334" t="s">
        <v>466</v>
      </c>
    </row>
  </sheetData>
  <mergeCells count="37">
    <mergeCell ref="B70:D70"/>
    <mergeCell ref="B71:D71"/>
    <mergeCell ref="B80:D80"/>
    <mergeCell ref="B81:D81"/>
    <mergeCell ref="B82:D82"/>
    <mergeCell ref="B72:D72"/>
    <mergeCell ref="B76:D76"/>
    <mergeCell ref="B77:D77"/>
    <mergeCell ref="B78:D78"/>
    <mergeCell ref="B79:D79"/>
    <mergeCell ref="B65:D65"/>
    <mergeCell ref="B66:D66"/>
    <mergeCell ref="B67:D67"/>
    <mergeCell ref="B68:D68"/>
    <mergeCell ref="B69:D69"/>
    <mergeCell ref="B57:D57"/>
    <mergeCell ref="B58:D58"/>
    <mergeCell ref="B59:D59"/>
    <mergeCell ref="B60:D60"/>
    <mergeCell ref="B64:D64"/>
    <mergeCell ref="B52:D52"/>
    <mergeCell ref="B53:D53"/>
    <mergeCell ref="B54:D54"/>
    <mergeCell ref="B55:D55"/>
    <mergeCell ref="B56:D56"/>
    <mergeCell ref="A1:I1"/>
    <mergeCell ref="A2:I2"/>
    <mergeCell ref="B49:D49"/>
    <mergeCell ref="B50:D50"/>
    <mergeCell ref="B51:D51"/>
    <mergeCell ref="A9:A14"/>
    <mergeCell ref="A32:A36"/>
    <mergeCell ref="A37:A40"/>
    <mergeCell ref="A24:A28"/>
    <mergeCell ref="A29:A31"/>
    <mergeCell ref="A15:A21"/>
    <mergeCell ref="A22:A2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7" fitToHeight="0" orientation="portrait" r:id="rId1"/>
  <headerFooter alignWithMargins="0">
    <oddFooter>&amp;L&amp;F&amp;C&amp;D&amp;R&amp;A</oddFooter>
  </headerFooter>
  <rowBreaks count="1" manualBreakCount="1">
    <brk id="83" max="16383" man="1"/>
  </rowBreak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61">
    <tabColor theme="0" tint="-0.14999847407452621"/>
    <pageSetUpPr fitToPage="1"/>
  </sheetPr>
  <dimension ref="A1:I25"/>
  <sheetViews>
    <sheetView showGridLines="0" zoomScaleNormal="100" zoomScaleSheetLayoutView="100" workbookViewId="0">
      <selection sqref="A1:H1"/>
    </sheetView>
  </sheetViews>
  <sheetFormatPr defaultColWidth="9.140625" defaultRowHeight="18.75" customHeight="1"/>
  <cols>
    <col min="1" max="1" width="13.7109375" style="2" customWidth="1"/>
    <col min="2" max="2" width="28.7109375" style="127" customWidth="1"/>
    <col min="3" max="4" width="23.28515625" style="2" customWidth="1"/>
    <col min="5" max="5" width="20.7109375" style="2" bestFit="1" customWidth="1"/>
    <col min="6" max="7" width="23.28515625" style="2" customWidth="1"/>
    <col min="8" max="8" width="22.85546875" style="2" customWidth="1"/>
    <col min="9" max="10" width="15.85546875" style="2" customWidth="1"/>
    <col min="11" max="16384" width="9.140625" style="2"/>
  </cols>
  <sheetData>
    <row r="1" spans="1:9" s="6" customFormat="1" ht="25.5" customHeight="1">
      <c r="A1" s="289" t="s">
        <v>223</v>
      </c>
      <c r="B1" s="289"/>
      <c r="C1" s="289"/>
      <c r="D1" s="289"/>
      <c r="E1" s="289"/>
      <c r="F1" s="289"/>
      <c r="G1" s="289"/>
      <c r="H1" s="289"/>
    </row>
    <row r="2" spans="1:9" s="6" customFormat="1" ht="15" customHeight="1">
      <c r="A2" s="317" t="s">
        <v>236</v>
      </c>
      <c r="B2" s="290"/>
      <c r="C2" s="290"/>
      <c r="D2" s="290"/>
      <c r="E2" s="290"/>
      <c r="F2" s="290"/>
      <c r="G2" s="290"/>
      <c r="H2" s="290"/>
    </row>
    <row r="3" spans="1:9" s="3" customFormat="1" ht="15" customHeight="1">
      <c r="B3" s="23"/>
    </row>
    <row r="4" spans="1:9" ht="18.75" customHeight="1">
      <c r="A4" s="127"/>
      <c r="B4" s="2"/>
    </row>
    <row r="5" spans="1:9" ht="26.25" customHeight="1">
      <c r="A5" s="69" t="s">
        <v>233</v>
      </c>
      <c r="B5" s="2"/>
    </row>
    <row r="6" spans="1:9" s="35" customFormat="1" ht="11.25">
      <c r="A6" s="123" t="s">
        <v>218</v>
      </c>
      <c r="B6" s="124" t="s">
        <v>150</v>
      </c>
      <c r="C6" s="123" t="s">
        <v>169</v>
      </c>
      <c r="D6" s="125" t="s">
        <v>132</v>
      </c>
      <c r="E6" s="125" t="s">
        <v>170</v>
      </c>
      <c r="F6" s="123" t="s">
        <v>131</v>
      </c>
      <c r="G6" s="126" t="s">
        <v>171</v>
      </c>
      <c r="H6" s="36" t="s">
        <v>172</v>
      </c>
    </row>
    <row r="7" spans="1:9" ht="12.75" customHeight="1">
      <c r="A7" s="245">
        <v>1</v>
      </c>
      <c r="B7" s="244" t="str">
        <f>VLOOKUP(Samenvattingschoonmaak[[#This Row],[Code Locatie]],Locaties[],2,0)</f>
        <v>RSG Levant</v>
      </c>
      <c r="C7" s="257">
        <f>SUMIF('Ruimtestaat'!$A:$A,Totalisatie!$A7,'Ruimtestaat'!$O:$O)</f>
        <v>5493</v>
      </c>
      <c r="D7" s="257">
        <f>SUMIF('Ruimtestaat'!$A:$A,Totalisatie!$A7,'Ruimtestaat'!$AF:$AF)</f>
        <v>911140</v>
      </c>
      <c r="E7" s="258">
        <f>SUMIF('Ruimtestaat'!$A:$A,Totalisatie!$A7,'Ruimtestaat'!$AG:$AG)</f>
        <v>0</v>
      </c>
      <c r="F7" s="259" t="e">
        <f t="shared" ref="F7" si="0">D7/E7</f>
        <v>#DIV/0!</v>
      </c>
      <c r="G7" s="253">
        <f>SUMIF('Ruimtestaat'!$A:$A,Totalisatie!$A7,'Ruimtestaat'!$AH:$AH)</f>
        <v>0</v>
      </c>
      <c r="H7" s="260">
        <f t="shared" ref="H7" si="1">G7/C7</f>
        <v>0</v>
      </c>
    </row>
    <row r="8" spans="1:9" ht="12.75" customHeight="1">
      <c r="A8" s="245">
        <v>2</v>
      </c>
      <c r="B8" s="244" t="str">
        <f>VLOOKUP(Samenvattingschoonmaak[[#This Row],[Code Locatie]],Locaties[],2,0)</f>
        <v>RSG Slingerbos</v>
      </c>
      <c r="C8" s="257">
        <f>SUMIF('Ruimtestaat'!$A:$A,Totalisatie!$A8,'Ruimtestaat'!$O:$O)</f>
        <v>10166.099999999999</v>
      </c>
      <c r="D8" s="257">
        <f>SUMIF('Ruimtestaat'!$A:$A,Totalisatie!$A8,'Ruimtestaat'!$AF:$AF)</f>
        <v>2019195.2</v>
      </c>
      <c r="E8" s="258">
        <f>SUMIF('Ruimtestaat'!$A:$A,Totalisatie!$A8,'Ruimtestaat'!$AG:$AG)</f>
        <v>0</v>
      </c>
      <c r="F8" s="259" t="e">
        <f t="shared" ref="F8" si="2">D8/E8</f>
        <v>#DIV/0!</v>
      </c>
      <c r="G8" s="253">
        <f>SUMIF('Ruimtestaat'!$A:$A,Totalisatie!$A8,'Ruimtestaat'!$AH:$AH)</f>
        <v>0</v>
      </c>
      <c r="H8" s="260">
        <f t="shared" ref="H8" si="3">G8/C8</f>
        <v>0</v>
      </c>
    </row>
    <row r="9" spans="1:9" ht="12.75" customHeight="1">
      <c r="A9" s="245">
        <v>3</v>
      </c>
      <c r="B9" s="244" t="str">
        <f>VLOOKUP(Samenvattingschoonmaak[[#This Row],[Code Locatie]],Locaties[],2,0)</f>
        <v>RSG N.O. Veluwe</v>
      </c>
      <c r="C9" s="257">
        <f>SUMIF('Ruimtestaat'!$A:$A,Totalisatie!$A9,'Ruimtestaat'!$O:$O)</f>
        <v>9546</v>
      </c>
      <c r="D9" s="257">
        <f>SUMIF('Ruimtestaat'!$A:$A,Totalisatie!$A9,'Ruimtestaat'!$AF:$AF)</f>
        <v>1890022</v>
      </c>
      <c r="E9" s="258">
        <f>SUMIF('Ruimtestaat'!$A:$A,Totalisatie!$A9,'Ruimtestaat'!$AG:$AG)</f>
        <v>0</v>
      </c>
      <c r="F9" s="259" t="e">
        <f t="shared" ref="F9" si="4">D9/E9</f>
        <v>#DIV/0!</v>
      </c>
      <c r="G9" s="253">
        <f>SUMIF('Ruimtestaat'!$A:$A,Totalisatie!$A9,'Ruimtestaat'!$AH:$AH)</f>
        <v>0</v>
      </c>
      <c r="H9" s="260">
        <f t="shared" ref="H9" si="5">G9/C9</f>
        <v>0</v>
      </c>
    </row>
    <row r="10" spans="1:9" s="35" customFormat="1" ht="12.75">
      <c r="A10" s="145"/>
      <c r="B10" s="146" t="s">
        <v>33</v>
      </c>
      <c r="C10" s="250">
        <f>SUBTOTAL(109,Samenvattingschoonmaak[Oppervlakte i/o])</f>
        <v>25205.1</v>
      </c>
      <c r="D10" s="250">
        <f>SUBTOTAL(109,Samenvattingschoonmaak[Prest. (m2 /jaar)])</f>
        <v>4820357.2</v>
      </c>
      <c r="E10" s="251">
        <f>SUBTOTAL(109,Samenvattingschoonmaak[Uren / jaar])</f>
        <v>0</v>
      </c>
      <c r="F10" s="250" t="e">
        <f>Samenvattingschoonmaak[[#Totals],[Prest. (m2 /jaar)]]/Samenvattingschoonmaak[[#Totals],[Uren / jaar]]</f>
        <v>#DIV/0!</v>
      </c>
      <c r="G10" s="147">
        <f>SUBTOTAL(109,Samenvattingschoonmaak[Kosten / jaar])</f>
        <v>0</v>
      </c>
      <c r="H10" s="252">
        <f>Samenvattingschoonmaak[[#Totals],[Kosten / jaar]]/Samenvattingschoonmaak[[#Totals],[Oppervlakte i/o]]</f>
        <v>0</v>
      </c>
    </row>
    <row r="11" spans="1:9" ht="18.75" customHeight="1">
      <c r="A11" s="127"/>
      <c r="B11" s="2"/>
    </row>
    <row r="12" spans="1:9" ht="18.75" customHeight="1">
      <c r="A12" s="69" t="s">
        <v>175</v>
      </c>
      <c r="B12" s="34"/>
      <c r="C12" s="34"/>
      <c r="D12" s="34"/>
      <c r="E12" s="34"/>
      <c r="F12" s="34"/>
      <c r="G12" s="34"/>
      <c r="H12" s="34"/>
    </row>
    <row r="13" spans="1:9" ht="22.5">
      <c r="A13" s="123" t="s">
        <v>218</v>
      </c>
      <c r="B13" s="124" t="s">
        <v>225</v>
      </c>
      <c r="C13" s="123" t="s">
        <v>177</v>
      </c>
      <c r="D13" s="126" t="s">
        <v>173</v>
      </c>
      <c r="E13" s="126" t="s">
        <v>1325</v>
      </c>
      <c r="F13" s="126" t="s">
        <v>174</v>
      </c>
      <c r="G13" s="126" t="s">
        <v>224</v>
      </c>
    </row>
    <row r="14" spans="1:9" ht="12.75">
      <c r="A14" s="245">
        <v>1</v>
      </c>
      <c r="B14" s="244" t="str">
        <f>VLOOKUP(Totalisatie[[#This Row],[Code Locatie]],Locaties[],2,0)</f>
        <v>RSG Levant</v>
      </c>
      <c r="C14" s="253">
        <f>SUMIF('Ruimtestaat'!A:A,Totalisatie[[#This Row],[Code Locatie]],'Ruimtestaat'!AH:AH)</f>
        <v>0</v>
      </c>
      <c r="D14" s="254">
        <f>SUMIF(Vloeronderhoud!$A$21:$A$33,Totalisatie[[#This Row],[Code Locatie]],Vloeronderhoud!$H$21:$H$33)</f>
        <v>0</v>
      </c>
      <c r="E14" s="254">
        <f ca="1">SUMIF(OverzichtGlas[[Code Locatie]:[Kosten/jaar excl. BTW]],Totalisatie[[#This Row],[Code Locatie]],OverzichtGlas[Kosten/jaar excl. BTW])</f>
        <v>0</v>
      </c>
      <c r="F14" s="253">
        <f>SUMIF(OverzichtExtra[Code Locatie],Totalisatie[[#This Row],[Code Locatie]],OverzichtExtra[Kosten/jaar excl. BTW])</f>
        <v>0</v>
      </c>
      <c r="G14" s="253">
        <f ca="1">SUM(Totalisatie[[#This Row],[Schoonmaakonderhoud
Kosten / jaar]:[Extra Werkzaamheden
Kosten / jaar]])</f>
        <v>0</v>
      </c>
      <c r="I14" s="160"/>
    </row>
    <row r="15" spans="1:9" ht="12.75">
      <c r="A15" s="245">
        <v>2</v>
      </c>
      <c r="B15" s="244" t="str">
        <f>VLOOKUP(Totalisatie[[#This Row],[Code Locatie]],Locaties[],2,0)</f>
        <v>RSG Slingerbos</v>
      </c>
      <c r="C15" s="253">
        <f>SUMIF('Ruimtestaat'!A:A,Totalisatie[[#This Row],[Code Locatie]],'Ruimtestaat'!AH:AH)</f>
        <v>0</v>
      </c>
      <c r="D15" s="254">
        <f>SUMIF(Vloeronderhoud!$A$21:$A$33,Totalisatie[[#This Row],[Code Locatie]],Vloeronderhoud!$H$21:$H$33)</f>
        <v>0</v>
      </c>
      <c r="E15" s="254">
        <f ca="1">SUMIF(OverzichtGlas[[Code Locatie]:[Kosten/jaar excl. BTW]],Totalisatie[[#This Row],[Code Locatie]],OverzichtGlas[Kosten/jaar excl. BTW])</f>
        <v>0</v>
      </c>
      <c r="F15" s="253">
        <f>SUMIF(OverzichtExtra[Code Locatie],Totalisatie[[#This Row],[Code Locatie]],OverzichtExtra[Kosten/jaar excl. BTW])</f>
        <v>0</v>
      </c>
      <c r="G15" s="253">
        <f ca="1">SUM(Totalisatie[[#This Row],[Schoonmaakonderhoud
Kosten / jaar]:[Extra Werkzaamheden
Kosten / jaar]])</f>
        <v>0</v>
      </c>
      <c r="I15" s="160"/>
    </row>
    <row r="16" spans="1:9" ht="12.75">
      <c r="A16" s="245">
        <v>3</v>
      </c>
      <c r="B16" s="244" t="str">
        <f>VLOOKUP(Totalisatie[[#This Row],[Code Locatie]],Locaties[],2,0)</f>
        <v>RSG N.O. Veluwe</v>
      </c>
      <c r="C16" s="253">
        <f>SUMIF('Ruimtestaat'!A:A,Totalisatie[[#This Row],[Code Locatie]],'Ruimtestaat'!AH:AH)</f>
        <v>0</v>
      </c>
      <c r="D16" s="254">
        <f>SUMIF(Vloeronderhoud!$A$21:$A$33,Totalisatie[[#This Row],[Code Locatie]],Vloeronderhoud!$H$21:$H$33)</f>
        <v>0</v>
      </c>
      <c r="E16" s="254">
        <f ca="1">SUMIF(OverzichtGlas[[Code Locatie]:[Kosten/jaar excl. BTW]],Totalisatie[[#This Row],[Code Locatie]],OverzichtGlas[Kosten/jaar excl. BTW])</f>
        <v>0</v>
      </c>
      <c r="F16" s="253">
        <f>SUMIF(OverzichtExtra[Code Locatie],Totalisatie[[#This Row],[Code Locatie]],OverzichtExtra[Kosten/jaar excl. BTW])</f>
        <v>0</v>
      </c>
      <c r="G16" s="253">
        <f ca="1">SUM(Totalisatie[[#This Row],[Schoonmaakonderhoud
Kosten / jaar]:[Extra Werkzaamheden
Kosten / jaar]])</f>
        <v>0</v>
      </c>
      <c r="I16" s="160"/>
    </row>
    <row r="17" spans="1:8" ht="12.75">
      <c r="A17" s="145"/>
      <c r="B17" s="146" t="s">
        <v>33</v>
      </c>
      <c r="C17" s="147">
        <f>SUBTOTAL(109,Totalisatie[Schoonmaakonderhoud
Kosten / jaar])</f>
        <v>0</v>
      </c>
      <c r="D17" s="147">
        <f>SUBTOTAL(109,Totalisatie[Vloeronderhoud
Kosten / jaar])</f>
        <v>0</v>
      </c>
      <c r="E17" s="147">
        <f ca="1">SUBTOTAL(109,Totalisatie[Glasbewassing
Kosten / jaar])</f>
        <v>0</v>
      </c>
      <c r="F17" s="147">
        <f>SUBTOTAL(109,Totalisatie[Extra Werkzaamheden
Kosten / jaar])</f>
        <v>0</v>
      </c>
      <c r="G17" s="147">
        <f ca="1">SUBTOTAL(109,Totalisatie[Totaalprijs
Kosten / jaar])</f>
        <v>0</v>
      </c>
    </row>
    <row r="18" spans="1:8" ht="11.25">
      <c r="A18" s="127"/>
      <c r="B18" s="2"/>
      <c r="H18" s="34"/>
    </row>
    <row r="19" spans="1:8" ht="37.5" customHeight="1">
      <c r="A19" s="69" t="s">
        <v>226</v>
      </c>
      <c r="B19" s="2"/>
      <c r="H19" s="143"/>
    </row>
    <row r="20" spans="1:8" ht="26.25" customHeight="1">
      <c r="A20" s="338" t="s">
        <v>230</v>
      </c>
      <c r="B20" s="339"/>
      <c r="C20" s="340"/>
      <c r="D20" s="340"/>
      <c r="E20" s="340"/>
      <c r="F20" s="340"/>
      <c r="G20" s="341"/>
    </row>
    <row r="21" spans="1:8" ht="18.75" customHeight="1">
      <c r="A21" s="128" t="s">
        <v>136</v>
      </c>
      <c r="B21" s="342"/>
      <c r="C21" s="343"/>
      <c r="D21" s="128" t="s">
        <v>136</v>
      </c>
      <c r="E21" s="342" t="s">
        <v>237</v>
      </c>
      <c r="F21" s="346"/>
      <c r="G21" s="343"/>
    </row>
    <row r="22" spans="1:8" ht="18.75" customHeight="1">
      <c r="A22" s="129" t="s">
        <v>227</v>
      </c>
      <c r="B22" s="344"/>
      <c r="C22" s="345"/>
      <c r="D22" s="129" t="s">
        <v>227</v>
      </c>
      <c r="E22" s="344" t="s">
        <v>237</v>
      </c>
      <c r="F22" s="347"/>
      <c r="G22" s="345"/>
    </row>
    <row r="23" spans="1:8" ht="18.75" customHeight="1">
      <c r="A23" s="128" t="s">
        <v>228</v>
      </c>
      <c r="B23" s="342"/>
      <c r="C23" s="343"/>
      <c r="D23" s="128" t="s">
        <v>228</v>
      </c>
      <c r="E23" s="342" t="s">
        <v>237</v>
      </c>
      <c r="F23" s="346"/>
      <c r="G23" s="343"/>
    </row>
    <row r="24" spans="1:8" ht="84.75" customHeight="1">
      <c r="A24" s="129" t="s">
        <v>229</v>
      </c>
      <c r="B24" s="344" t="s">
        <v>237</v>
      </c>
      <c r="C24" s="345"/>
      <c r="D24" s="129" t="s">
        <v>229</v>
      </c>
      <c r="E24" s="335" t="s">
        <v>237</v>
      </c>
      <c r="F24" s="336"/>
      <c r="G24" s="337"/>
    </row>
    <row r="25" spans="1:8" ht="18.75" customHeight="1">
      <c r="A25" s="128" t="s">
        <v>232</v>
      </c>
      <c r="B25" s="130"/>
      <c r="C25" s="131"/>
      <c r="D25" s="132"/>
      <c r="E25" s="133"/>
      <c r="F25" s="133"/>
      <c r="G25" s="134"/>
    </row>
  </sheetData>
  <mergeCells count="12">
    <mergeCell ref="A1:H1"/>
    <mergeCell ref="A2:H2"/>
    <mergeCell ref="E21:G21"/>
    <mergeCell ref="E22:G22"/>
    <mergeCell ref="E23:G23"/>
    <mergeCell ref="E24:G24"/>
    <mergeCell ref="A20:B20"/>
    <mergeCell ref="C20:G20"/>
    <mergeCell ref="B21:C21"/>
    <mergeCell ref="B22:C22"/>
    <mergeCell ref="B23:C23"/>
    <mergeCell ref="B24:C2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>&amp;L&amp;F&amp;C&amp;D&amp;R&amp;A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9">
    <tabColor theme="0" tint="-0.14999847407452621"/>
  </sheetPr>
  <dimension ref="A1:D92"/>
  <sheetViews>
    <sheetView showGridLines="0" view="pageBreakPreview" zoomScaleNormal="100" zoomScaleSheetLayoutView="100" workbookViewId="0">
      <selection activeCell="A66" sqref="A66"/>
    </sheetView>
  </sheetViews>
  <sheetFormatPr defaultColWidth="9" defaultRowHeight="15" customHeight="1"/>
  <cols>
    <col min="1" max="1" width="29.5703125" style="209" customWidth="1"/>
    <col min="2" max="2" width="33.28515625" style="209" customWidth="1"/>
    <col min="3" max="3" width="45.42578125" style="209" bestFit="1" customWidth="1"/>
    <col min="4" max="4" width="54" style="209" customWidth="1"/>
    <col min="5" max="16384" width="9" style="203"/>
  </cols>
  <sheetData>
    <row r="1" spans="1:4" ht="12.75">
      <c r="A1" s="171" t="s">
        <v>273</v>
      </c>
      <c r="B1" s="171"/>
      <c r="C1" s="171"/>
      <c r="D1" s="171"/>
    </row>
    <row r="2" spans="1:4" ht="12.75">
      <c r="A2" s="171" t="s">
        <v>274</v>
      </c>
      <c r="B2" s="171" t="s">
        <v>275</v>
      </c>
      <c r="C2" s="171" t="s">
        <v>276</v>
      </c>
      <c r="D2" s="171" t="s">
        <v>277</v>
      </c>
    </row>
    <row r="3" spans="1:4" ht="12.75">
      <c r="A3" s="171"/>
      <c r="B3" s="171"/>
      <c r="C3" s="171"/>
      <c r="D3" s="171" t="s">
        <v>278</v>
      </c>
    </row>
    <row r="4" spans="1:4" ht="12.75">
      <c r="A4" s="171" t="s">
        <v>279</v>
      </c>
      <c r="B4" s="171"/>
      <c r="C4" s="171"/>
      <c r="D4" s="171"/>
    </row>
    <row r="5" spans="1:4" ht="25.5">
      <c r="A5" s="204" t="s">
        <v>280</v>
      </c>
      <c r="B5" s="204"/>
      <c r="C5" s="205" t="s">
        <v>281</v>
      </c>
      <c r="D5" s="205"/>
    </row>
    <row r="6" spans="1:4" ht="25.5">
      <c r="A6" s="204" t="s">
        <v>410</v>
      </c>
      <c r="B6" s="204" t="s">
        <v>292</v>
      </c>
      <c r="C6" s="205" t="s">
        <v>284</v>
      </c>
      <c r="D6" s="205" t="s">
        <v>411</v>
      </c>
    </row>
    <row r="7" spans="1:4" ht="25.5">
      <c r="A7" s="204" t="s">
        <v>282</v>
      </c>
      <c r="B7" s="204" t="s">
        <v>283</v>
      </c>
      <c r="C7" s="205" t="s">
        <v>284</v>
      </c>
      <c r="D7" s="205" t="s">
        <v>285</v>
      </c>
    </row>
    <row r="8" spans="1:4" ht="12.75">
      <c r="A8" s="204" t="s">
        <v>286</v>
      </c>
      <c r="B8" s="204" t="s">
        <v>283</v>
      </c>
      <c r="C8" s="205" t="s">
        <v>284</v>
      </c>
      <c r="D8" s="205" t="s">
        <v>287</v>
      </c>
    </row>
    <row r="9" spans="1:4" ht="25.5">
      <c r="A9" s="204" t="s">
        <v>288</v>
      </c>
      <c r="B9" s="204" t="s">
        <v>289</v>
      </c>
      <c r="C9" s="205" t="s">
        <v>290</v>
      </c>
      <c r="D9" s="205" t="s">
        <v>291</v>
      </c>
    </row>
    <row r="10" spans="1:4" ht="25.5">
      <c r="A10" s="204" t="s">
        <v>288</v>
      </c>
      <c r="B10" s="204" t="s">
        <v>292</v>
      </c>
      <c r="C10" s="205" t="s">
        <v>293</v>
      </c>
      <c r="D10" s="205" t="s">
        <v>291</v>
      </c>
    </row>
    <row r="11" spans="1:4" ht="12.75">
      <c r="A11" s="204" t="s">
        <v>294</v>
      </c>
      <c r="B11" s="204" t="s">
        <v>292</v>
      </c>
      <c r="C11" s="205" t="s">
        <v>295</v>
      </c>
      <c r="D11" s="205"/>
    </row>
    <row r="12" spans="1:4" ht="30" customHeight="1">
      <c r="A12" s="204" t="s">
        <v>296</v>
      </c>
      <c r="B12" s="204" t="s">
        <v>283</v>
      </c>
      <c r="C12" s="205" t="s">
        <v>284</v>
      </c>
      <c r="D12" s="205" t="s">
        <v>297</v>
      </c>
    </row>
    <row r="13" spans="1:4" ht="12.75">
      <c r="A13" s="204" t="s">
        <v>298</v>
      </c>
      <c r="B13" s="204" t="s">
        <v>283</v>
      </c>
      <c r="C13" s="205" t="s">
        <v>284</v>
      </c>
      <c r="D13" s="204" t="s">
        <v>299</v>
      </c>
    </row>
    <row r="14" spans="1:4" ht="25.5">
      <c r="A14" s="206" t="s">
        <v>300</v>
      </c>
      <c r="B14" s="206" t="s">
        <v>283</v>
      </c>
      <c r="C14" s="207" t="s">
        <v>284</v>
      </c>
      <c r="D14" s="207" t="s">
        <v>301</v>
      </c>
    </row>
    <row r="15" spans="1:4" ht="25.5">
      <c r="A15" s="204" t="s">
        <v>302</v>
      </c>
      <c r="B15" s="204" t="s">
        <v>283</v>
      </c>
      <c r="C15" s="205" t="s">
        <v>284</v>
      </c>
      <c r="D15" s="205" t="s">
        <v>303</v>
      </c>
    </row>
    <row r="16" spans="1:4" ht="25.5">
      <c r="A16" s="204" t="s">
        <v>304</v>
      </c>
      <c r="B16" s="204" t="s">
        <v>292</v>
      </c>
      <c r="C16" s="205" t="s">
        <v>284</v>
      </c>
      <c r="D16" s="205" t="s">
        <v>305</v>
      </c>
    </row>
    <row r="17" spans="1:4" ht="25.5">
      <c r="A17" s="204" t="s">
        <v>306</v>
      </c>
      <c r="B17" s="204" t="s">
        <v>283</v>
      </c>
      <c r="C17" s="205" t="s">
        <v>284</v>
      </c>
      <c r="D17" s="208" t="s">
        <v>307</v>
      </c>
    </row>
    <row r="18" spans="1:4" ht="25.5">
      <c r="A18" s="204" t="s">
        <v>308</v>
      </c>
      <c r="B18" s="204" t="s">
        <v>283</v>
      </c>
      <c r="C18" s="205" t="s">
        <v>284</v>
      </c>
      <c r="D18" s="208" t="s">
        <v>309</v>
      </c>
    </row>
    <row r="19" spans="1:4" ht="25.5">
      <c r="A19" s="204" t="s">
        <v>310</v>
      </c>
      <c r="B19" s="204" t="s">
        <v>292</v>
      </c>
      <c r="C19" s="205" t="s">
        <v>284</v>
      </c>
      <c r="D19" s="208" t="s">
        <v>303</v>
      </c>
    </row>
    <row r="20" spans="1:4" ht="25.5">
      <c r="A20" s="204" t="s">
        <v>311</v>
      </c>
      <c r="B20" s="204" t="s">
        <v>283</v>
      </c>
      <c r="C20" s="205" t="s">
        <v>284</v>
      </c>
      <c r="D20" s="208" t="s">
        <v>309</v>
      </c>
    </row>
    <row r="21" spans="1:4" ht="12.75">
      <c r="A21" s="204" t="s">
        <v>312</v>
      </c>
      <c r="B21" s="204" t="s">
        <v>313</v>
      </c>
      <c r="C21" s="205" t="s">
        <v>314</v>
      </c>
      <c r="D21" s="208"/>
    </row>
    <row r="22" spans="1:4" ht="25.5">
      <c r="A22" s="204" t="s">
        <v>312</v>
      </c>
      <c r="B22" s="204" t="s">
        <v>292</v>
      </c>
      <c r="C22" s="205" t="s">
        <v>284</v>
      </c>
      <c r="D22" s="208" t="s">
        <v>307</v>
      </c>
    </row>
    <row r="23" spans="1:4" ht="25.5">
      <c r="A23" s="204" t="s">
        <v>315</v>
      </c>
      <c r="B23" s="204" t="s">
        <v>283</v>
      </c>
      <c r="C23" s="205" t="s">
        <v>284</v>
      </c>
      <c r="D23" s="208" t="s">
        <v>316</v>
      </c>
    </row>
    <row r="24" spans="1:4" ht="25.5">
      <c r="A24" s="204" t="s">
        <v>317</v>
      </c>
      <c r="B24" s="204" t="s">
        <v>283</v>
      </c>
      <c r="C24" s="205" t="s">
        <v>284</v>
      </c>
      <c r="D24" s="208" t="s">
        <v>318</v>
      </c>
    </row>
    <row r="25" spans="1:4" ht="38.25">
      <c r="A25" s="204" t="s">
        <v>319</v>
      </c>
      <c r="B25" s="204" t="s">
        <v>283</v>
      </c>
      <c r="C25" s="205" t="s">
        <v>284</v>
      </c>
      <c r="D25" s="208" t="s">
        <v>320</v>
      </c>
    </row>
    <row r="26" spans="1:4" ht="25.5">
      <c r="A26" s="204" t="s">
        <v>321</v>
      </c>
      <c r="B26" s="204" t="s">
        <v>283</v>
      </c>
      <c r="C26" s="205" t="s">
        <v>284</v>
      </c>
      <c r="D26" s="208" t="s">
        <v>316</v>
      </c>
    </row>
    <row r="27" spans="1:4" ht="25.5">
      <c r="A27" s="204" t="s">
        <v>322</v>
      </c>
      <c r="B27" s="204" t="s">
        <v>292</v>
      </c>
      <c r="C27" s="205" t="s">
        <v>284</v>
      </c>
      <c r="D27" s="208" t="s">
        <v>323</v>
      </c>
    </row>
    <row r="28" spans="1:4" ht="25.5">
      <c r="A28" s="204" t="s">
        <v>324</v>
      </c>
      <c r="B28" s="204" t="s">
        <v>292</v>
      </c>
      <c r="C28" s="205" t="s">
        <v>284</v>
      </c>
      <c r="D28" s="208" t="s">
        <v>307</v>
      </c>
    </row>
    <row r="29" spans="1:4" ht="25.5">
      <c r="A29" s="204" t="s">
        <v>325</v>
      </c>
      <c r="B29" s="204" t="s">
        <v>283</v>
      </c>
      <c r="C29" s="205" t="s">
        <v>284</v>
      </c>
      <c r="D29" s="208" t="s">
        <v>307</v>
      </c>
    </row>
    <row r="30" spans="1:4" ht="25.5">
      <c r="A30" s="204" t="s">
        <v>326</v>
      </c>
      <c r="B30" s="204" t="s">
        <v>292</v>
      </c>
      <c r="C30" s="205" t="s">
        <v>284</v>
      </c>
      <c r="D30" s="208" t="s">
        <v>307</v>
      </c>
    </row>
    <row r="31" spans="1:4" ht="12.75">
      <c r="A31" s="171" t="s">
        <v>274</v>
      </c>
      <c r="B31" s="171" t="s">
        <v>275</v>
      </c>
      <c r="C31" s="171" t="s">
        <v>276</v>
      </c>
      <c r="D31" s="171" t="s">
        <v>277</v>
      </c>
    </row>
    <row r="32" spans="1:4" ht="12.75">
      <c r="A32" s="171"/>
      <c r="B32" s="171"/>
      <c r="C32" s="171"/>
      <c r="D32" s="171" t="s">
        <v>278</v>
      </c>
    </row>
    <row r="33" spans="1:4" ht="12.75">
      <c r="A33" s="171" t="s">
        <v>327</v>
      </c>
      <c r="B33" s="171"/>
      <c r="C33" s="171"/>
      <c r="D33" s="171"/>
    </row>
    <row r="34" spans="1:4" ht="25.5">
      <c r="A34" s="204" t="s">
        <v>280</v>
      </c>
      <c r="B34" s="204"/>
      <c r="C34" s="205" t="s">
        <v>328</v>
      </c>
      <c r="D34" s="208"/>
    </row>
    <row r="35" spans="1:4" ht="25.5">
      <c r="A35" s="204" t="s">
        <v>329</v>
      </c>
      <c r="B35" s="204" t="s">
        <v>292</v>
      </c>
      <c r="C35" s="205" t="s">
        <v>284</v>
      </c>
      <c r="D35" s="208" t="s">
        <v>330</v>
      </c>
    </row>
    <row r="36" spans="1:4" ht="25.5">
      <c r="A36" s="204" t="s">
        <v>331</v>
      </c>
      <c r="B36" s="204" t="s">
        <v>292</v>
      </c>
      <c r="C36" s="205" t="s">
        <v>284</v>
      </c>
      <c r="D36" s="208" t="s">
        <v>332</v>
      </c>
    </row>
    <row r="37" spans="1:4" ht="25.5">
      <c r="A37" s="204" t="s">
        <v>333</v>
      </c>
      <c r="B37" s="204" t="s">
        <v>283</v>
      </c>
      <c r="C37" s="205" t="s">
        <v>284</v>
      </c>
      <c r="D37" s="208" t="s">
        <v>334</v>
      </c>
    </row>
    <row r="38" spans="1:4" ht="25.5">
      <c r="A38" s="204" t="s">
        <v>304</v>
      </c>
      <c r="B38" s="204" t="s">
        <v>292</v>
      </c>
      <c r="C38" s="205" t="s">
        <v>284</v>
      </c>
      <c r="D38" s="205" t="s">
        <v>305</v>
      </c>
    </row>
    <row r="39" spans="1:4" ht="25.5">
      <c r="A39" s="204" t="s">
        <v>264</v>
      </c>
      <c r="B39" s="204" t="s">
        <v>292</v>
      </c>
      <c r="C39" s="205" t="s">
        <v>284</v>
      </c>
      <c r="D39" s="205" t="s">
        <v>330</v>
      </c>
    </row>
    <row r="40" spans="1:4" ht="25.5">
      <c r="A40" s="204" t="s">
        <v>335</v>
      </c>
      <c r="B40" s="204" t="s">
        <v>292</v>
      </c>
      <c r="C40" s="205" t="s">
        <v>284</v>
      </c>
      <c r="D40" s="205" t="s">
        <v>336</v>
      </c>
    </row>
    <row r="41" spans="1:4" ht="25.5">
      <c r="A41" s="204" t="s">
        <v>337</v>
      </c>
      <c r="B41" s="204" t="s">
        <v>292</v>
      </c>
      <c r="C41" s="205" t="s">
        <v>284</v>
      </c>
      <c r="D41" s="205" t="s">
        <v>338</v>
      </c>
    </row>
    <row r="42" spans="1:4" ht="12.75">
      <c r="A42" s="204" t="s">
        <v>339</v>
      </c>
      <c r="B42" s="204" t="s">
        <v>283</v>
      </c>
      <c r="C42" s="205" t="s">
        <v>284</v>
      </c>
      <c r="D42" s="208" t="s">
        <v>299</v>
      </c>
    </row>
    <row r="43" spans="1:4" ht="25.5">
      <c r="A43" s="204" t="s">
        <v>340</v>
      </c>
      <c r="B43" s="204" t="s">
        <v>283</v>
      </c>
      <c r="C43" s="205" t="s">
        <v>284</v>
      </c>
      <c r="D43" s="208" t="s">
        <v>307</v>
      </c>
    </row>
    <row r="44" spans="1:4" ht="25.5">
      <c r="A44" s="204" t="s">
        <v>341</v>
      </c>
      <c r="B44" s="204" t="s">
        <v>292</v>
      </c>
      <c r="C44" s="205" t="s">
        <v>284</v>
      </c>
      <c r="D44" s="208" t="s">
        <v>342</v>
      </c>
    </row>
    <row r="45" spans="1:4" ht="25.5">
      <c r="A45" s="204" t="s">
        <v>343</v>
      </c>
      <c r="B45" s="204" t="s">
        <v>292</v>
      </c>
      <c r="C45" s="205" t="s">
        <v>284</v>
      </c>
      <c r="D45" s="208" t="s">
        <v>344</v>
      </c>
    </row>
    <row r="46" spans="1:4" ht="25.5">
      <c r="A46" s="204" t="s">
        <v>345</v>
      </c>
      <c r="B46" s="204" t="s">
        <v>292</v>
      </c>
      <c r="C46" s="205" t="s">
        <v>284</v>
      </c>
      <c r="D46" s="205" t="s">
        <v>346</v>
      </c>
    </row>
    <row r="47" spans="1:4" ht="25.5">
      <c r="A47" s="204" t="s">
        <v>347</v>
      </c>
      <c r="B47" s="204" t="s">
        <v>292</v>
      </c>
      <c r="C47" s="205" t="s">
        <v>284</v>
      </c>
      <c r="D47" s="208" t="s">
        <v>307</v>
      </c>
    </row>
    <row r="48" spans="1:4" ht="12.75">
      <c r="A48" s="204" t="s">
        <v>348</v>
      </c>
      <c r="B48" s="204" t="s">
        <v>283</v>
      </c>
      <c r="C48" s="205" t="s">
        <v>284</v>
      </c>
      <c r="D48" s="208" t="s">
        <v>299</v>
      </c>
    </row>
    <row r="49" spans="1:4" ht="25.5">
      <c r="A49" s="204" t="s">
        <v>349</v>
      </c>
      <c r="B49" s="204" t="s">
        <v>283</v>
      </c>
      <c r="C49" s="205" t="s">
        <v>284</v>
      </c>
      <c r="D49" s="208" t="s">
        <v>305</v>
      </c>
    </row>
    <row r="50" spans="1:4" ht="25.5">
      <c r="A50" s="204" t="s">
        <v>350</v>
      </c>
      <c r="B50" s="204" t="s">
        <v>292</v>
      </c>
      <c r="C50" s="205" t="s">
        <v>351</v>
      </c>
      <c r="D50" s="208" t="s">
        <v>352</v>
      </c>
    </row>
    <row r="51" spans="1:4" ht="38.25">
      <c r="A51" s="204" t="s">
        <v>353</v>
      </c>
      <c r="B51" s="204" t="s">
        <v>292</v>
      </c>
      <c r="C51" s="205" t="s">
        <v>284</v>
      </c>
      <c r="D51" s="208" t="s">
        <v>354</v>
      </c>
    </row>
    <row r="52" spans="1:4" ht="12.75">
      <c r="A52" s="171" t="s">
        <v>274</v>
      </c>
      <c r="B52" s="171" t="s">
        <v>275</v>
      </c>
      <c r="C52" s="171" t="s">
        <v>276</v>
      </c>
      <c r="D52" s="171" t="s">
        <v>277</v>
      </c>
    </row>
    <row r="53" spans="1:4" ht="12.75">
      <c r="A53" s="171"/>
      <c r="B53" s="171"/>
      <c r="C53" s="171"/>
      <c r="D53" s="171" t="s">
        <v>278</v>
      </c>
    </row>
    <row r="54" spans="1:4" ht="12.75">
      <c r="A54" s="171" t="s">
        <v>355</v>
      </c>
      <c r="B54" s="171"/>
      <c r="C54" s="171"/>
      <c r="D54" s="171"/>
    </row>
    <row r="55" spans="1:4" ht="38.25">
      <c r="A55" s="204" t="s">
        <v>280</v>
      </c>
      <c r="B55" s="204"/>
      <c r="C55" s="205" t="s">
        <v>356</v>
      </c>
      <c r="D55" s="205"/>
    </row>
    <row r="56" spans="1:4" ht="25.5">
      <c r="A56" s="204" t="s">
        <v>357</v>
      </c>
      <c r="B56" s="204" t="s">
        <v>292</v>
      </c>
      <c r="C56" s="205" t="s">
        <v>358</v>
      </c>
      <c r="D56" s="208" t="s">
        <v>359</v>
      </c>
    </row>
    <row r="57" spans="1:4" ht="25.5">
      <c r="A57" s="204" t="s">
        <v>360</v>
      </c>
      <c r="B57" s="204" t="s">
        <v>292</v>
      </c>
      <c r="C57" s="205" t="s">
        <v>284</v>
      </c>
      <c r="D57" s="208" t="s">
        <v>361</v>
      </c>
    </row>
    <row r="58" spans="1:4" ht="12.75">
      <c r="A58" s="204" t="s">
        <v>362</v>
      </c>
      <c r="B58" s="204" t="s">
        <v>292</v>
      </c>
      <c r="C58" s="205" t="s">
        <v>284</v>
      </c>
      <c r="D58" s="208" t="s">
        <v>363</v>
      </c>
    </row>
    <row r="59" spans="1:4" ht="12.75">
      <c r="A59" s="204" t="s">
        <v>362</v>
      </c>
      <c r="B59" s="204" t="s">
        <v>292</v>
      </c>
      <c r="C59" s="205" t="s">
        <v>364</v>
      </c>
      <c r="D59" s="208"/>
    </row>
    <row r="60" spans="1:4" ht="12.75">
      <c r="A60" s="204" t="s">
        <v>365</v>
      </c>
      <c r="B60" s="204" t="s">
        <v>292</v>
      </c>
      <c r="C60" s="205" t="s">
        <v>284</v>
      </c>
      <c r="D60" s="208" t="s">
        <v>363</v>
      </c>
    </row>
    <row r="61" spans="1:4" ht="25.5">
      <c r="A61" s="204" t="s">
        <v>366</v>
      </c>
      <c r="B61" s="204" t="s">
        <v>292</v>
      </c>
      <c r="C61" s="205" t="s">
        <v>284</v>
      </c>
      <c r="D61" s="208" t="s">
        <v>307</v>
      </c>
    </row>
    <row r="62" spans="1:4" ht="12.75">
      <c r="A62" s="204" t="s">
        <v>367</v>
      </c>
      <c r="B62" s="204" t="s">
        <v>292</v>
      </c>
      <c r="C62" s="205" t="s">
        <v>284</v>
      </c>
      <c r="D62" s="208" t="s">
        <v>363</v>
      </c>
    </row>
    <row r="63" spans="1:4" ht="12.75">
      <c r="A63" s="204" t="s">
        <v>367</v>
      </c>
      <c r="B63" s="204" t="s">
        <v>292</v>
      </c>
      <c r="C63" s="205" t="s">
        <v>364</v>
      </c>
      <c r="D63" s="208"/>
    </row>
    <row r="64" spans="1:4" ht="25.5">
      <c r="A64" s="204" t="s">
        <v>368</v>
      </c>
      <c r="B64" s="204" t="s">
        <v>292</v>
      </c>
      <c r="C64" s="205" t="s">
        <v>284</v>
      </c>
      <c r="D64" s="208" t="s">
        <v>369</v>
      </c>
    </row>
    <row r="65" spans="1:4" ht="12.75">
      <c r="A65" s="204" t="s">
        <v>368</v>
      </c>
      <c r="B65" s="204" t="s">
        <v>292</v>
      </c>
      <c r="C65" s="205" t="s">
        <v>364</v>
      </c>
      <c r="D65" s="208"/>
    </row>
    <row r="66" spans="1:4" ht="25.5">
      <c r="A66" s="204" t="s">
        <v>370</v>
      </c>
      <c r="B66" s="204" t="s">
        <v>292</v>
      </c>
      <c r="C66" s="205" t="s">
        <v>284</v>
      </c>
      <c r="D66" s="208" t="s">
        <v>371</v>
      </c>
    </row>
    <row r="67" spans="1:4" ht="25.5">
      <c r="A67" s="204" t="s">
        <v>370</v>
      </c>
      <c r="B67" s="204" t="s">
        <v>292</v>
      </c>
      <c r="C67" s="205" t="s">
        <v>364</v>
      </c>
      <c r="D67" s="208"/>
    </row>
    <row r="68" spans="1:4" ht="25.5">
      <c r="A68" s="204" t="s">
        <v>372</v>
      </c>
      <c r="B68" s="204" t="s">
        <v>292</v>
      </c>
      <c r="C68" s="205" t="s">
        <v>284</v>
      </c>
      <c r="D68" s="208" t="s">
        <v>373</v>
      </c>
    </row>
    <row r="69" spans="1:4" ht="25.5">
      <c r="A69" s="204" t="s">
        <v>374</v>
      </c>
      <c r="B69" s="204" t="s">
        <v>292</v>
      </c>
      <c r="C69" s="205" t="s">
        <v>284</v>
      </c>
      <c r="D69" s="208" t="s">
        <v>318</v>
      </c>
    </row>
    <row r="70" spans="1:4" ht="12.75">
      <c r="A70" s="204" t="s">
        <v>374</v>
      </c>
      <c r="B70" s="204" t="s">
        <v>292</v>
      </c>
      <c r="C70" s="205" t="s">
        <v>364</v>
      </c>
      <c r="D70" s="208"/>
    </row>
    <row r="71" spans="1:4" ht="25.5">
      <c r="A71" s="204" t="s">
        <v>59</v>
      </c>
      <c r="B71" s="204" t="s">
        <v>292</v>
      </c>
      <c r="C71" s="205" t="s">
        <v>375</v>
      </c>
      <c r="D71" s="208" t="s">
        <v>332</v>
      </c>
    </row>
    <row r="72" spans="1:4" ht="12.75">
      <c r="A72" s="204" t="s">
        <v>59</v>
      </c>
      <c r="B72" s="204" t="s">
        <v>292</v>
      </c>
      <c r="C72" s="205" t="s">
        <v>364</v>
      </c>
      <c r="D72" s="208"/>
    </row>
    <row r="73" spans="1:4" ht="12.75">
      <c r="A73" s="171" t="s">
        <v>274</v>
      </c>
      <c r="B73" s="171" t="s">
        <v>275</v>
      </c>
      <c r="C73" s="171" t="s">
        <v>276</v>
      </c>
      <c r="D73" s="171" t="s">
        <v>277</v>
      </c>
    </row>
    <row r="74" spans="1:4" ht="12.75">
      <c r="A74" s="171"/>
      <c r="B74" s="171"/>
      <c r="C74" s="171"/>
      <c r="D74" s="171" t="s">
        <v>278</v>
      </c>
    </row>
    <row r="75" spans="1:4" ht="12.75">
      <c r="A75" s="171" t="s">
        <v>376</v>
      </c>
      <c r="B75" s="171"/>
      <c r="C75" s="171"/>
      <c r="D75" s="171"/>
    </row>
    <row r="76" spans="1:4" ht="25.5">
      <c r="A76" s="204" t="s">
        <v>280</v>
      </c>
      <c r="B76" s="204"/>
      <c r="C76" s="205" t="s">
        <v>377</v>
      </c>
      <c r="D76" s="205"/>
    </row>
    <row r="77" spans="1:4" ht="12.75">
      <c r="A77" s="171" t="s">
        <v>378</v>
      </c>
      <c r="B77" s="171"/>
      <c r="C77" s="171"/>
      <c r="D77" s="171"/>
    </row>
    <row r="78" spans="1:4" ht="25.5">
      <c r="A78" s="204" t="s">
        <v>379</v>
      </c>
      <c r="B78" s="204" t="s">
        <v>292</v>
      </c>
      <c r="C78" s="205" t="s">
        <v>380</v>
      </c>
      <c r="D78" s="208" t="s">
        <v>352</v>
      </c>
    </row>
    <row r="79" spans="1:4" ht="25.5">
      <c r="A79" s="204" t="s">
        <v>381</v>
      </c>
      <c r="B79" s="204" t="s">
        <v>292</v>
      </c>
      <c r="C79" s="205" t="s">
        <v>380</v>
      </c>
      <c r="D79" s="208" t="s">
        <v>352</v>
      </c>
    </row>
    <row r="80" spans="1:4" ht="25.5">
      <c r="A80" s="204" t="s">
        <v>382</v>
      </c>
      <c r="B80" s="204" t="s">
        <v>292</v>
      </c>
      <c r="C80" s="205" t="s">
        <v>380</v>
      </c>
      <c r="D80" s="208" t="s">
        <v>383</v>
      </c>
    </row>
    <row r="81" spans="1:4" ht="25.5">
      <c r="A81" s="204" t="s">
        <v>384</v>
      </c>
      <c r="B81" s="204" t="s">
        <v>292</v>
      </c>
      <c r="C81" s="205" t="s">
        <v>380</v>
      </c>
      <c r="D81" s="208" t="s">
        <v>385</v>
      </c>
    </row>
    <row r="82" spans="1:4" ht="25.5">
      <c r="A82" s="204" t="s">
        <v>386</v>
      </c>
      <c r="B82" s="204" t="s">
        <v>292</v>
      </c>
      <c r="C82" s="205" t="s">
        <v>380</v>
      </c>
      <c r="D82" s="208" t="s">
        <v>385</v>
      </c>
    </row>
    <row r="83" spans="1:4" ht="12.75">
      <c r="A83" s="171" t="s">
        <v>387</v>
      </c>
      <c r="B83" s="171"/>
      <c r="C83" s="171"/>
      <c r="D83" s="171"/>
    </row>
    <row r="84" spans="1:4" ht="25.5">
      <c r="A84" s="204" t="s">
        <v>379</v>
      </c>
      <c r="B84" s="204" t="s">
        <v>292</v>
      </c>
      <c r="C84" s="205" t="s">
        <v>380</v>
      </c>
      <c r="D84" s="208" t="s">
        <v>352</v>
      </c>
    </row>
    <row r="85" spans="1:4" ht="25.5">
      <c r="A85" s="204" t="s">
        <v>381</v>
      </c>
      <c r="B85" s="204" t="s">
        <v>292</v>
      </c>
      <c r="C85" s="205" t="s">
        <v>380</v>
      </c>
      <c r="D85" s="208" t="s">
        <v>352</v>
      </c>
    </row>
    <row r="86" spans="1:4" ht="25.5">
      <c r="A86" s="204" t="s">
        <v>382</v>
      </c>
      <c r="B86" s="204" t="s">
        <v>292</v>
      </c>
      <c r="C86" s="205" t="s">
        <v>380</v>
      </c>
      <c r="D86" s="208" t="s">
        <v>383</v>
      </c>
    </row>
    <row r="87" spans="1:4" ht="25.5">
      <c r="A87" s="204" t="s">
        <v>384</v>
      </c>
      <c r="B87" s="204" t="s">
        <v>292</v>
      </c>
      <c r="C87" s="205" t="s">
        <v>380</v>
      </c>
      <c r="D87" s="208" t="s">
        <v>385</v>
      </c>
    </row>
    <row r="88" spans="1:4" ht="25.5">
      <c r="A88" s="204" t="s">
        <v>386</v>
      </c>
      <c r="B88" s="204" t="s">
        <v>292</v>
      </c>
      <c r="C88" s="205" t="s">
        <v>380</v>
      </c>
      <c r="D88" s="208" t="s">
        <v>385</v>
      </c>
    </row>
    <row r="89" spans="1:4" ht="12.75">
      <c r="A89" s="171" t="s">
        <v>39</v>
      </c>
      <c r="B89" s="171"/>
      <c r="C89" s="171"/>
      <c r="D89" s="171"/>
    </row>
    <row r="90" spans="1:4" ht="25.5">
      <c r="A90" s="204" t="s">
        <v>379</v>
      </c>
      <c r="B90" s="204" t="s">
        <v>292</v>
      </c>
      <c r="C90" s="205" t="s">
        <v>388</v>
      </c>
      <c r="D90" s="208" t="s">
        <v>352</v>
      </c>
    </row>
    <row r="91" spans="1:4" ht="25.5">
      <c r="A91" s="204" t="s">
        <v>381</v>
      </c>
      <c r="B91" s="204" t="s">
        <v>292</v>
      </c>
      <c r="C91" s="205" t="s">
        <v>388</v>
      </c>
      <c r="D91" s="208" t="s">
        <v>352</v>
      </c>
    </row>
    <row r="92" spans="1:4" ht="25.5">
      <c r="A92" s="204" t="s">
        <v>382</v>
      </c>
      <c r="B92" s="204" t="s">
        <v>292</v>
      </c>
      <c r="C92" s="205" t="s">
        <v>388</v>
      </c>
      <c r="D92" s="208" t="s">
        <v>383</v>
      </c>
    </row>
  </sheetData>
  <dataConsolidate/>
  <phoneticPr fontId="17" type="noConversion"/>
  <pageMargins left="0.2" right="0.21" top="0.57999999999999996" bottom="0.59" header="0.5" footer="0.5"/>
  <pageSetup paperSize="9" scale="62" fitToHeight="0" orientation="portrait" r:id="rId1"/>
  <headerFooter alignWithMargins="0"/>
  <rowBreaks count="2" manualBreakCount="2">
    <brk id="51" max="16383" man="1"/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2F394-4871-4C89-B206-F8B668D86E02}">
  <sheetPr>
    <tabColor theme="0" tint="-0.14999847407452621"/>
  </sheetPr>
  <dimension ref="A1:C45"/>
  <sheetViews>
    <sheetView view="pageBreakPreview" zoomScaleNormal="100" zoomScaleSheetLayoutView="100" workbookViewId="0">
      <selection activeCell="A5" sqref="A5"/>
    </sheetView>
  </sheetViews>
  <sheetFormatPr defaultColWidth="9" defaultRowHeight="12.75"/>
  <cols>
    <col min="1" max="1" width="52" style="209" customWidth="1"/>
    <col min="2" max="2" width="16.42578125" style="209" bestFit="1" customWidth="1"/>
    <col min="3" max="3" width="37.42578125" style="209" bestFit="1" customWidth="1"/>
    <col min="4" max="16384" width="9" style="203"/>
  </cols>
  <sheetData>
    <row r="1" spans="1:3" ht="22.5">
      <c r="A1" s="171" t="s">
        <v>389</v>
      </c>
      <c r="B1" s="171"/>
      <c r="C1" s="171"/>
    </row>
    <row r="2" spans="1:3">
      <c r="A2" s="171" t="s">
        <v>274</v>
      </c>
      <c r="B2" s="171" t="s">
        <v>275</v>
      </c>
      <c r="C2" s="171" t="s">
        <v>390</v>
      </c>
    </row>
    <row r="3" spans="1:3">
      <c r="A3" s="171" t="s">
        <v>279</v>
      </c>
      <c r="B3" s="171"/>
      <c r="C3" s="171"/>
    </row>
    <row r="4" spans="1:3">
      <c r="A4" s="204" t="s">
        <v>282</v>
      </c>
      <c r="B4" s="204" t="s">
        <v>283</v>
      </c>
      <c r="C4" s="205" t="s">
        <v>391</v>
      </c>
    </row>
    <row r="5" spans="1:3">
      <c r="A5" s="204" t="s">
        <v>288</v>
      </c>
      <c r="B5" s="204" t="s">
        <v>283</v>
      </c>
      <c r="C5" s="205" t="s">
        <v>391</v>
      </c>
    </row>
    <row r="6" spans="1:3">
      <c r="A6" s="204" t="s">
        <v>296</v>
      </c>
      <c r="B6" s="204" t="s">
        <v>283</v>
      </c>
      <c r="C6" s="205" t="s">
        <v>391</v>
      </c>
    </row>
    <row r="7" spans="1:3">
      <c r="A7" s="204" t="s">
        <v>298</v>
      </c>
      <c r="B7" s="204" t="s">
        <v>283</v>
      </c>
      <c r="C7" s="205" t="s">
        <v>391</v>
      </c>
    </row>
    <row r="8" spans="1:3">
      <c r="A8" s="206" t="s">
        <v>300</v>
      </c>
      <c r="B8" s="206" t="s">
        <v>283</v>
      </c>
      <c r="C8" s="207" t="s">
        <v>391</v>
      </c>
    </row>
    <row r="9" spans="1:3">
      <c r="A9" s="204" t="s">
        <v>302</v>
      </c>
      <c r="B9" s="204" t="s">
        <v>283</v>
      </c>
      <c r="C9" s="205" t="s">
        <v>391</v>
      </c>
    </row>
    <row r="10" spans="1:3">
      <c r="A10" s="204" t="s">
        <v>304</v>
      </c>
      <c r="B10" s="204" t="s">
        <v>292</v>
      </c>
      <c r="C10" s="205" t="s">
        <v>391</v>
      </c>
    </row>
    <row r="11" spans="1:3">
      <c r="A11" s="204" t="s">
        <v>306</v>
      </c>
      <c r="B11" s="204" t="s">
        <v>283</v>
      </c>
      <c r="C11" s="205" t="s">
        <v>391</v>
      </c>
    </row>
    <row r="12" spans="1:3">
      <c r="A12" s="204" t="s">
        <v>308</v>
      </c>
      <c r="B12" s="204" t="s">
        <v>283</v>
      </c>
      <c r="C12" s="205" t="s">
        <v>391</v>
      </c>
    </row>
    <row r="13" spans="1:3">
      <c r="A13" s="204" t="s">
        <v>310</v>
      </c>
      <c r="B13" s="204" t="s">
        <v>292</v>
      </c>
      <c r="C13" s="205" t="s">
        <v>391</v>
      </c>
    </row>
    <row r="14" spans="1:3">
      <c r="A14" s="204" t="s">
        <v>311</v>
      </c>
      <c r="B14" s="204" t="s">
        <v>283</v>
      </c>
      <c r="C14" s="205" t="s">
        <v>391</v>
      </c>
    </row>
    <row r="15" spans="1:3">
      <c r="A15" s="204" t="s">
        <v>312</v>
      </c>
      <c r="B15" s="204" t="s">
        <v>283</v>
      </c>
      <c r="C15" s="205" t="s">
        <v>391</v>
      </c>
    </row>
    <row r="16" spans="1:3">
      <c r="A16" s="204" t="s">
        <v>317</v>
      </c>
      <c r="B16" s="204" t="s">
        <v>283</v>
      </c>
      <c r="C16" s="205" t="s">
        <v>391</v>
      </c>
    </row>
    <row r="17" spans="1:3">
      <c r="A17" s="204" t="s">
        <v>319</v>
      </c>
      <c r="B17" s="204" t="s">
        <v>292</v>
      </c>
      <c r="C17" s="205" t="s">
        <v>391</v>
      </c>
    </row>
    <row r="18" spans="1:3">
      <c r="A18" s="204" t="s">
        <v>392</v>
      </c>
      <c r="B18" s="204" t="s">
        <v>292</v>
      </c>
      <c r="C18" s="205" t="s">
        <v>391</v>
      </c>
    </row>
    <row r="19" spans="1:3">
      <c r="A19" s="204" t="s">
        <v>322</v>
      </c>
      <c r="B19" s="204" t="s">
        <v>292</v>
      </c>
      <c r="C19" s="205" t="s">
        <v>391</v>
      </c>
    </row>
    <row r="20" spans="1:3">
      <c r="A20" s="204" t="s">
        <v>324</v>
      </c>
      <c r="B20" s="204" t="s">
        <v>292</v>
      </c>
      <c r="C20" s="205" t="s">
        <v>391</v>
      </c>
    </row>
    <row r="21" spans="1:3">
      <c r="A21" s="204" t="s">
        <v>325</v>
      </c>
      <c r="B21" s="204" t="s">
        <v>283</v>
      </c>
      <c r="C21" s="205" t="s">
        <v>391</v>
      </c>
    </row>
    <row r="22" spans="1:3">
      <c r="A22" s="204" t="s">
        <v>326</v>
      </c>
      <c r="B22" s="204" t="s">
        <v>292</v>
      </c>
      <c r="C22" s="205" t="s">
        <v>391</v>
      </c>
    </row>
    <row r="23" spans="1:3">
      <c r="A23" s="204" t="s">
        <v>335</v>
      </c>
      <c r="B23" s="204" t="s">
        <v>292</v>
      </c>
      <c r="C23" s="205" t="s">
        <v>391</v>
      </c>
    </row>
    <row r="24" spans="1:3">
      <c r="A24" s="204" t="s">
        <v>339</v>
      </c>
      <c r="B24" s="204" t="s">
        <v>283</v>
      </c>
      <c r="C24" s="205" t="s">
        <v>391</v>
      </c>
    </row>
    <row r="25" spans="1:3">
      <c r="A25" s="204" t="s">
        <v>341</v>
      </c>
      <c r="B25" s="204" t="s">
        <v>292</v>
      </c>
      <c r="C25" s="205" t="s">
        <v>391</v>
      </c>
    </row>
    <row r="26" spans="1:3">
      <c r="A26" s="204" t="s">
        <v>353</v>
      </c>
      <c r="B26" s="204" t="s">
        <v>292</v>
      </c>
      <c r="C26" s="205" t="s">
        <v>391</v>
      </c>
    </row>
    <row r="27" spans="1:3">
      <c r="A27" s="204" t="s">
        <v>343</v>
      </c>
      <c r="B27" s="204" t="s">
        <v>292</v>
      </c>
      <c r="C27" s="205" t="s">
        <v>391</v>
      </c>
    </row>
    <row r="28" spans="1:3">
      <c r="A28" s="204" t="s">
        <v>393</v>
      </c>
      <c r="B28" s="204" t="s">
        <v>283</v>
      </c>
      <c r="C28" s="205" t="s">
        <v>391</v>
      </c>
    </row>
    <row r="29" spans="1:3">
      <c r="A29" s="171" t="s">
        <v>355</v>
      </c>
      <c r="B29" s="171"/>
      <c r="C29" s="171"/>
    </row>
    <row r="30" spans="1:3">
      <c r="A30" s="204" t="s">
        <v>362</v>
      </c>
      <c r="B30" s="204" t="s">
        <v>292</v>
      </c>
      <c r="C30" s="205" t="s">
        <v>391</v>
      </c>
    </row>
    <row r="31" spans="1:3">
      <c r="A31" s="204" t="s">
        <v>365</v>
      </c>
      <c r="B31" s="204" t="s">
        <v>292</v>
      </c>
      <c r="C31" s="205" t="s">
        <v>391</v>
      </c>
    </row>
    <row r="32" spans="1:3">
      <c r="A32" s="204" t="s">
        <v>367</v>
      </c>
      <c r="B32" s="204" t="s">
        <v>292</v>
      </c>
      <c r="C32" s="205" t="s">
        <v>391</v>
      </c>
    </row>
    <row r="33" spans="1:3">
      <c r="A33" s="204" t="s">
        <v>368</v>
      </c>
      <c r="B33" s="204" t="s">
        <v>292</v>
      </c>
      <c r="C33" s="205" t="s">
        <v>391</v>
      </c>
    </row>
    <row r="34" spans="1:3">
      <c r="A34" s="204" t="s">
        <v>370</v>
      </c>
      <c r="B34" s="204" t="s">
        <v>292</v>
      </c>
      <c r="C34" s="205" t="s">
        <v>391</v>
      </c>
    </row>
    <row r="35" spans="1:3">
      <c r="A35" s="204" t="s">
        <v>372</v>
      </c>
      <c r="B35" s="204" t="s">
        <v>292</v>
      </c>
      <c r="C35" s="205" t="s">
        <v>391</v>
      </c>
    </row>
    <row r="36" spans="1:3">
      <c r="A36" s="204" t="s">
        <v>394</v>
      </c>
      <c r="B36" s="204" t="s">
        <v>292</v>
      </c>
      <c r="C36" s="205" t="s">
        <v>391</v>
      </c>
    </row>
    <row r="37" spans="1:3">
      <c r="A37" s="204" t="s">
        <v>374</v>
      </c>
      <c r="B37" s="204" t="s">
        <v>292</v>
      </c>
      <c r="C37" s="205" t="s">
        <v>391</v>
      </c>
    </row>
    <row r="38" spans="1:3">
      <c r="A38" s="204" t="s">
        <v>59</v>
      </c>
      <c r="B38" s="204" t="s">
        <v>292</v>
      </c>
      <c r="C38" s="205" t="s">
        <v>391</v>
      </c>
    </row>
    <row r="39" spans="1:3">
      <c r="A39" s="204" t="s">
        <v>395</v>
      </c>
      <c r="B39" s="204" t="s">
        <v>292</v>
      </c>
      <c r="C39" s="205" t="s">
        <v>396</v>
      </c>
    </row>
    <row r="40" spans="1:3">
      <c r="A40" s="171" t="s">
        <v>376</v>
      </c>
      <c r="B40" s="171"/>
      <c r="C40" s="171"/>
    </row>
    <row r="41" spans="1:3">
      <c r="A41" s="204" t="s">
        <v>1337</v>
      </c>
      <c r="B41" s="204" t="s">
        <v>292</v>
      </c>
      <c r="C41" s="205" t="s">
        <v>397</v>
      </c>
    </row>
    <row r="42" spans="1:3">
      <c r="A42" s="204" t="s">
        <v>1338</v>
      </c>
      <c r="B42" s="204" t="s">
        <v>292</v>
      </c>
      <c r="C42" s="205" t="s">
        <v>397</v>
      </c>
    </row>
    <row r="43" spans="1:3">
      <c r="A43" s="204" t="s">
        <v>387</v>
      </c>
      <c r="B43" s="204" t="s">
        <v>292</v>
      </c>
      <c r="C43" s="205" t="s">
        <v>397</v>
      </c>
    </row>
    <row r="44" spans="1:3">
      <c r="A44" s="204" t="s">
        <v>39</v>
      </c>
      <c r="B44" s="204" t="s">
        <v>292</v>
      </c>
      <c r="C44" s="205" t="s">
        <v>397</v>
      </c>
    </row>
    <row r="45" spans="1:3">
      <c r="A45" s="204"/>
      <c r="B45" s="204"/>
      <c r="C45" s="205"/>
    </row>
  </sheetData>
  <pageMargins left="0.7" right="0.7" top="0.75" bottom="0.75" header="0.3" footer="0.3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3BF67-0A91-4693-8B0B-161CF46DB58A}">
  <sheetPr>
    <tabColor theme="0" tint="-0.14999847407452621"/>
  </sheetPr>
  <dimension ref="A1:A14"/>
  <sheetViews>
    <sheetView view="pageBreakPreview" zoomScaleNormal="100" zoomScaleSheetLayoutView="100" workbookViewId="0">
      <selection sqref="A1:A2"/>
    </sheetView>
  </sheetViews>
  <sheetFormatPr defaultColWidth="9.140625" defaultRowHeight="15" customHeight="1"/>
  <cols>
    <col min="1" max="1" width="126.7109375" style="6" bestFit="1" customWidth="1"/>
    <col min="2" max="2" width="17.85546875" style="6" bestFit="1" customWidth="1"/>
    <col min="3" max="5" width="9.140625" style="6"/>
    <col min="6" max="6" width="19.7109375" style="6" customWidth="1"/>
    <col min="7" max="16384" width="9.140625" style="6"/>
  </cols>
  <sheetData>
    <row r="1" spans="1:1" ht="11.25">
      <c r="A1" s="277" t="s">
        <v>1339</v>
      </c>
    </row>
    <row r="2" spans="1:1" ht="11.25">
      <c r="A2" s="278"/>
    </row>
    <row r="3" spans="1:1" ht="11.25">
      <c r="A3" s="210" t="s">
        <v>398</v>
      </c>
    </row>
    <row r="4" spans="1:1" ht="11.25">
      <c r="A4" s="210" t="s">
        <v>399</v>
      </c>
    </row>
    <row r="5" spans="1:1" ht="11.25">
      <c r="A5" s="210" t="s">
        <v>400</v>
      </c>
    </row>
    <row r="6" spans="1:1" ht="11.25">
      <c r="A6" s="210" t="s">
        <v>401</v>
      </c>
    </row>
    <row r="7" spans="1:1" ht="11.25">
      <c r="A7" s="210" t="s">
        <v>402</v>
      </c>
    </row>
    <row r="8" spans="1:1" ht="11.25">
      <c r="A8" s="211" t="s">
        <v>403</v>
      </c>
    </row>
    <row r="9" spans="1:1" ht="11.25">
      <c r="A9" s="211" t="s">
        <v>404</v>
      </c>
    </row>
    <row r="10" spans="1:1" ht="11.25">
      <c r="A10" s="211" t="s">
        <v>405</v>
      </c>
    </row>
    <row r="11" spans="1:1" ht="11.25">
      <c r="A11" s="211" t="s">
        <v>406</v>
      </c>
    </row>
    <row r="12" spans="1:1" ht="11.25">
      <c r="A12" s="210" t="s">
        <v>407</v>
      </c>
    </row>
    <row r="13" spans="1:1" ht="11.25">
      <c r="A13" s="6" t="s">
        <v>408</v>
      </c>
    </row>
    <row r="14" spans="1:1" ht="11.25">
      <c r="A14" s="212" t="s">
        <v>409</v>
      </c>
    </row>
  </sheetData>
  <mergeCells count="1">
    <mergeCell ref="A1:A2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4">
    <tabColor theme="0" tint="-0.14999847407452621"/>
  </sheetPr>
  <dimension ref="A1:Q54"/>
  <sheetViews>
    <sheetView showGridLines="0" view="pageBreakPreview" zoomScaleNormal="100" zoomScaleSheetLayoutView="100" workbookViewId="0">
      <selection sqref="A1:E1"/>
    </sheetView>
  </sheetViews>
  <sheetFormatPr defaultColWidth="7.85546875" defaultRowHeight="15" customHeight="1"/>
  <cols>
    <col min="1" max="1" width="15.140625" style="3" bestFit="1" customWidth="1"/>
    <col min="2" max="2" width="26" style="3" customWidth="1"/>
    <col min="3" max="3" width="18.28515625" style="3" customWidth="1"/>
    <col min="4" max="4" width="17.7109375" style="3" bestFit="1" customWidth="1"/>
    <col min="5" max="5" width="18.28515625" style="174" customWidth="1"/>
    <col min="6" max="6" width="2.85546875" style="3" customWidth="1"/>
    <col min="7" max="7" width="11" style="3" bestFit="1" customWidth="1"/>
    <col min="8" max="8" width="12" style="3" bestFit="1" customWidth="1"/>
    <col min="9" max="9" width="17.7109375" style="3" bestFit="1" customWidth="1"/>
    <col min="10" max="10" width="12" style="3" bestFit="1" customWidth="1"/>
    <col min="11" max="11" width="17.7109375" style="3" bestFit="1" customWidth="1"/>
    <col min="12" max="12" width="12" style="3" bestFit="1" customWidth="1"/>
    <col min="13" max="13" width="17.7109375" style="3" bestFit="1" customWidth="1"/>
    <col min="14" max="14" width="12" style="3" bestFit="1" customWidth="1"/>
    <col min="15" max="15" width="17.7109375" style="3" bestFit="1" customWidth="1"/>
    <col min="16" max="16" width="12" style="3" bestFit="1" customWidth="1"/>
    <col min="17" max="17" width="15.85546875" style="3" customWidth="1"/>
    <col min="18" max="16384" width="7.85546875" style="3"/>
  </cols>
  <sheetData>
    <row r="1" spans="1:17" s="6" customFormat="1" ht="26.25" customHeight="1">
      <c r="A1" s="289" t="s">
        <v>35</v>
      </c>
      <c r="B1" s="289"/>
      <c r="C1" s="289"/>
      <c r="D1" s="289"/>
      <c r="E1" s="289"/>
    </row>
    <row r="2" spans="1:17" s="6" customFormat="1" ht="15" customHeight="1">
      <c r="A2" s="290" t="s">
        <v>220</v>
      </c>
      <c r="B2" s="290"/>
      <c r="C2" s="290"/>
      <c r="D2" s="290"/>
      <c r="E2" s="290"/>
      <c r="G2" s="279" t="s">
        <v>266</v>
      </c>
      <c r="H2" s="279"/>
      <c r="I2" s="279"/>
      <c r="J2" s="279"/>
      <c r="K2" s="279"/>
      <c r="L2" s="279"/>
      <c r="M2" s="279"/>
      <c r="N2" s="279"/>
      <c r="O2" s="279"/>
      <c r="P2" s="279"/>
      <c r="Q2" s="279"/>
    </row>
    <row r="3" spans="1:17" ht="15" customHeight="1">
      <c r="E3" s="3"/>
      <c r="G3" s="171"/>
      <c r="H3" s="280">
        <v>2025</v>
      </c>
      <c r="I3" s="280"/>
      <c r="J3" s="281">
        <v>2026</v>
      </c>
      <c r="K3" s="282"/>
      <c r="L3" s="281">
        <v>2027</v>
      </c>
      <c r="M3" s="282"/>
      <c r="N3" s="281">
        <v>2028</v>
      </c>
      <c r="O3" s="282"/>
      <c r="P3" s="281">
        <v>2029</v>
      </c>
      <c r="Q3" s="282"/>
    </row>
    <row r="4" spans="1:17" s="18" customFormat="1" ht="26.25" customHeight="1">
      <c r="A4" s="291" t="s">
        <v>82</v>
      </c>
      <c r="B4" s="292"/>
      <c r="C4" s="71" t="s">
        <v>217</v>
      </c>
      <c r="D4" s="71" t="s">
        <v>231</v>
      </c>
      <c r="E4" s="71" t="s">
        <v>89</v>
      </c>
      <c r="G4" s="171" t="s">
        <v>267</v>
      </c>
      <c r="H4" s="171" t="s">
        <v>268</v>
      </c>
      <c r="I4" s="171" t="s">
        <v>269</v>
      </c>
      <c r="J4" s="171" t="s">
        <v>268</v>
      </c>
      <c r="K4" s="171" t="s">
        <v>269</v>
      </c>
      <c r="L4" s="171" t="s">
        <v>268</v>
      </c>
      <c r="M4" s="171" t="s">
        <v>269</v>
      </c>
      <c r="N4" s="171" t="s">
        <v>268</v>
      </c>
      <c r="O4" s="171" t="s">
        <v>269</v>
      </c>
      <c r="P4" s="171" t="s">
        <v>268</v>
      </c>
      <c r="Q4" s="171" t="s">
        <v>269</v>
      </c>
    </row>
    <row r="5" spans="1:17" ht="15" customHeight="1">
      <c r="A5" s="283" t="s">
        <v>105</v>
      </c>
      <c r="B5" s="284"/>
      <c r="C5" s="7">
        <v>0</v>
      </c>
      <c r="D5" s="8">
        <v>0</v>
      </c>
      <c r="E5" s="10">
        <f>C5*D5</f>
        <v>0</v>
      </c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</row>
    <row r="6" spans="1:17" ht="15" customHeight="1">
      <c r="A6" s="283" t="s">
        <v>73</v>
      </c>
      <c r="B6" s="284"/>
      <c r="C6" s="7">
        <v>0</v>
      </c>
      <c r="D6" s="8">
        <v>0</v>
      </c>
      <c r="E6" s="10">
        <f>C6*D6</f>
        <v>0</v>
      </c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</row>
    <row r="7" spans="1:17" ht="15" customHeight="1">
      <c r="A7" s="286"/>
      <c r="B7" s="287"/>
      <c r="C7" s="7">
        <v>0</v>
      </c>
      <c r="D7" s="8">
        <v>0</v>
      </c>
      <c r="E7" s="10">
        <f>C7*D7</f>
        <v>0</v>
      </c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</row>
    <row r="8" spans="1:17" ht="15" customHeight="1">
      <c r="A8" s="299" t="s">
        <v>74</v>
      </c>
      <c r="B8" s="300"/>
      <c r="C8" s="7">
        <v>0</v>
      </c>
      <c r="D8" s="8">
        <v>0</v>
      </c>
      <c r="E8" s="10">
        <f>C8*D8</f>
        <v>0</v>
      </c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</row>
    <row r="9" spans="1:17" ht="15" customHeight="1">
      <c r="A9" s="294" t="s">
        <v>106</v>
      </c>
      <c r="B9" s="295"/>
      <c r="C9" s="296"/>
      <c r="D9" s="9">
        <f>SUM(D5:D8)</f>
        <v>0</v>
      </c>
      <c r="E9" s="10" t="str">
        <f>IF(SUM($D$5:$D$8)=100%,SUM(E5:E8),"    GEEN 100%")</f>
        <v xml:space="preserve">    GEEN 100%</v>
      </c>
      <c r="G9" s="164"/>
      <c r="H9" s="172"/>
      <c r="I9" s="164"/>
      <c r="J9" s="164"/>
      <c r="K9" s="164"/>
      <c r="L9" s="164"/>
      <c r="M9" s="164"/>
      <c r="N9" s="164"/>
      <c r="O9" s="164"/>
      <c r="P9" s="164"/>
      <c r="Q9" s="164"/>
    </row>
    <row r="10" spans="1:17" ht="15" customHeight="1">
      <c r="A10" s="288" t="s">
        <v>75</v>
      </c>
      <c r="B10" s="288"/>
      <c r="C10" s="288"/>
      <c r="D10" s="138" t="s">
        <v>3</v>
      </c>
      <c r="E10" s="140">
        <f>SUM(E9:E9)</f>
        <v>0</v>
      </c>
      <c r="G10" s="164" t="s">
        <v>270</v>
      </c>
      <c r="H10" s="172"/>
      <c r="I10" s="140">
        <f>(E10*H10)+E10</f>
        <v>0</v>
      </c>
      <c r="J10" s="172">
        <v>0</v>
      </c>
      <c r="K10" s="140">
        <f>(I10*J10)+I10</f>
        <v>0</v>
      </c>
      <c r="L10" s="172">
        <v>0</v>
      </c>
      <c r="M10" s="140">
        <f>(K10*L10)+K10</f>
        <v>0</v>
      </c>
      <c r="N10" s="172">
        <v>0</v>
      </c>
      <c r="O10" s="140">
        <f>(M10*N10)+M10</f>
        <v>0</v>
      </c>
      <c r="P10" s="172">
        <v>0</v>
      </c>
      <c r="Q10" s="140">
        <f>(O10*P10)+O10</f>
        <v>0</v>
      </c>
    </row>
    <row r="11" spans="1:17" ht="15" customHeight="1">
      <c r="A11" s="173"/>
      <c r="B11" s="11"/>
      <c r="C11" s="11"/>
      <c r="D11" s="11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</row>
    <row r="12" spans="1:17" s="18" customFormat="1" ht="26.25" customHeight="1">
      <c r="A12" s="291" t="s">
        <v>77</v>
      </c>
      <c r="B12" s="293"/>
      <c r="C12" s="292"/>
      <c r="D12" s="72" t="s">
        <v>86</v>
      </c>
      <c r="E12" s="71" t="s">
        <v>89</v>
      </c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</row>
    <row r="13" spans="1:17" ht="15" customHeight="1">
      <c r="A13" s="298" t="s">
        <v>4</v>
      </c>
      <c r="B13" s="285"/>
      <c r="C13" s="285"/>
      <c r="D13" s="165">
        <v>0</v>
      </c>
      <c r="E13" s="175">
        <f>SUM($E$10*D13)</f>
        <v>0</v>
      </c>
      <c r="G13" s="164" t="s">
        <v>271</v>
      </c>
      <c r="H13" s="172"/>
      <c r="I13" s="176">
        <f>(E13*H13)+E13</f>
        <v>0</v>
      </c>
      <c r="J13" s="177"/>
      <c r="K13" s="176">
        <f>(I13*J13)+I13</f>
        <v>0</v>
      </c>
      <c r="L13" s="177"/>
      <c r="M13" s="176">
        <f>(K13*L13)+K13</f>
        <v>0</v>
      </c>
      <c r="N13" s="177"/>
      <c r="O13" s="176">
        <f>(M13*N13)+M13</f>
        <v>0</v>
      </c>
      <c r="P13" s="177"/>
      <c r="Q13" s="176">
        <f>(O13*P13)+O13</f>
        <v>0</v>
      </c>
    </row>
    <row r="14" spans="1:17" ht="15" customHeight="1">
      <c r="A14" s="285" t="s">
        <v>91</v>
      </c>
      <c r="B14" s="285"/>
      <c r="C14" s="285"/>
      <c r="D14" s="165">
        <v>0</v>
      </c>
      <c r="E14" s="175">
        <f>SUM($E$10*D14)</f>
        <v>0</v>
      </c>
      <c r="G14" s="164" t="s">
        <v>271</v>
      </c>
      <c r="H14" s="172"/>
      <c r="I14" s="176">
        <f>(E14*H14)+E14</f>
        <v>0</v>
      </c>
      <c r="J14" s="177"/>
      <c r="K14" s="176">
        <f>(I14*J14)+I14</f>
        <v>0</v>
      </c>
      <c r="L14" s="177"/>
      <c r="M14" s="176">
        <f>(K14*L14)+K14</f>
        <v>0</v>
      </c>
      <c r="N14" s="177"/>
      <c r="O14" s="176">
        <f>(M14*N14)+M14</f>
        <v>0</v>
      </c>
      <c r="P14" s="177"/>
      <c r="Q14" s="176">
        <f>(O14*P14)+O14</f>
        <v>0</v>
      </c>
    </row>
    <row r="15" spans="1:17" ht="15" customHeight="1">
      <c r="A15" s="285" t="s">
        <v>5</v>
      </c>
      <c r="B15" s="285"/>
      <c r="C15" s="285"/>
      <c r="D15" s="165">
        <v>0</v>
      </c>
      <c r="E15" s="175">
        <f>SUM($E$10*D15)</f>
        <v>0</v>
      </c>
      <c r="G15" s="164" t="s">
        <v>271</v>
      </c>
      <c r="H15" s="172"/>
      <c r="I15" s="176">
        <f>(E15*H15)+E15</f>
        <v>0</v>
      </c>
      <c r="J15" s="177"/>
      <c r="K15" s="176">
        <f>(I15*J15)+I15</f>
        <v>0</v>
      </c>
      <c r="L15" s="177"/>
      <c r="M15" s="176">
        <f>(K15*L15)+K15</f>
        <v>0</v>
      </c>
      <c r="N15" s="177"/>
      <c r="O15" s="176">
        <f>(M15*N15)+M15</f>
        <v>0</v>
      </c>
      <c r="P15" s="177"/>
      <c r="Q15" s="176">
        <f>(O15*P15)+O15</f>
        <v>0</v>
      </c>
    </row>
    <row r="16" spans="1:17" ht="15" customHeight="1">
      <c r="A16" s="285" t="s">
        <v>6</v>
      </c>
      <c r="B16" s="285"/>
      <c r="C16" s="285"/>
      <c r="D16" s="165">
        <v>0</v>
      </c>
      <c r="E16" s="175">
        <f>SUM($E$10*D16)</f>
        <v>0</v>
      </c>
      <c r="G16" s="164" t="s">
        <v>271</v>
      </c>
      <c r="H16" s="172"/>
      <c r="I16" s="176">
        <f>(E16*H16)+E16</f>
        <v>0</v>
      </c>
      <c r="J16" s="177"/>
      <c r="K16" s="176">
        <f>(I16*J16)+I16</f>
        <v>0</v>
      </c>
      <c r="L16" s="177"/>
      <c r="M16" s="176">
        <f>(K16*L16)+K16</f>
        <v>0</v>
      </c>
      <c r="N16" s="177"/>
      <c r="O16" s="176">
        <f>(M16*N16)+M16</f>
        <v>0</v>
      </c>
      <c r="P16" s="177"/>
      <c r="Q16" s="176">
        <f>(O16*P16)+O16</f>
        <v>0</v>
      </c>
    </row>
    <row r="17" spans="1:17" ht="15" customHeight="1">
      <c r="A17" s="286" t="s">
        <v>94</v>
      </c>
      <c r="B17" s="297"/>
      <c r="C17" s="287"/>
      <c r="D17" s="165">
        <v>0</v>
      </c>
      <c r="E17" s="175">
        <f>SUM($E$10*D17)</f>
        <v>0</v>
      </c>
      <c r="G17" s="164" t="s">
        <v>271</v>
      </c>
      <c r="H17" s="172"/>
      <c r="I17" s="176">
        <f>(E17*H17)+E17</f>
        <v>0</v>
      </c>
      <c r="J17" s="177"/>
      <c r="K17" s="176">
        <f>(I17*J17)+I17</f>
        <v>0</v>
      </c>
      <c r="L17" s="177"/>
      <c r="M17" s="176">
        <f>(K17*L17)+K17</f>
        <v>0</v>
      </c>
      <c r="N17" s="177"/>
      <c r="O17" s="176">
        <f>(M17*N17)+M17</f>
        <v>0</v>
      </c>
      <c r="P17" s="177"/>
      <c r="Q17" s="176">
        <f>(O17*P17)+O17</f>
        <v>0</v>
      </c>
    </row>
    <row r="18" spans="1:17" ht="15" customHeight="1">
      <c r="A18" s="288" t="s">
        <v>83</v>
      </c>
      <c r="B18" s="288"/>
      <c r="C18" s="288"/>
      <c r="D18" s="141"/>
      <c r="E18" s="142">
        <f>SUM(E13:E17)</f>
        <v>0</v>
      </c>
      <c r="G18" s="164"/>
      <c r="H18" s="164"/>
      <c r="I18" s="142">
        <f>SUM(I13:I17)</f>
        <v>0</v>
      </c>
      <c r="J18" s="164"/>
      <c r="K18" s="142">
        <f>SUM(K13:K17)</f>
        <v>0</v>
      </c>
      <c r="L18" s="164"/>
      <c r="M18" s="142">
        <f>SUM(M13:M17)</f>
        <v>0</v>
      </c>
      <c r="N18" s="164"/>
      <c r="O18" s="142">
        <f>SUM(O13:O17)</f>
        <v>0</v>
      </c>
      <c r="P18" s="164"/>
      <c r="Q18" s="142">
        <f>SUM(Q13:Q17)</f>
        <v>0</v>
      </c>
    </row>
    <row r="19" spans="1:17" ht="15" customHeight="1">
      <c r="D19" s="178"/>
      <c r="E19" s="179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</row>
    <row r="20" spans="1:17" s="18" customFormat="1" ht="26.25" customHeight="1">
      <c r="A20" s="291" t="s">
        <v>78</v>
      </c>
      <c r="B20" s="293"/>
      <c r="C20" s="292"/>
      <c r="D20" s="72" t="s">
        <v>87</v>
      </c>
      <c r="E20" s="71" t="s">
        <v>89</v>
      </c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</row>
    <row r="21" spans="1:17" ht="15" customHeight="1">
      <c r="A21" s="285" t="s">
        <v>7</v>
      </c>
      <c r="B21" s="285"/>
      <c r="C21" s="285"/>
      <c r="D21" s="180" t="e">
        <f>E21/$E$35</f>
        <v>#DIV/0!</v>
      </c>
      <c r="E21" s="181">
        <v>0</v>
      </c>
      <c r="G21" s="164" t="s">
        <v>271</v>
      </c>
      <c r="H21" s="172"/>
      <c r="I21" s="176">
        <f>(E21*H21)+E21</f>
        <v>0</v>
      </c>
      <c r="J21" s="177"/>
      <c r="K21" s="176">
        <f>(I21*J21)+I21</f>
        <v>0</v>
      </c>
      <c r="L21" s="177"/>
      <c r="M21" s="176">
        <f>(K21*L21)+K21</f>
        <v>0</v>
      </c>
      <c r="N21" s="177"/>
      <c r="O21" s="176">
        <f>(M21*N21)+M21</f>
        <v>0</v>
      </c>
      <c r="P21" s="177"/>
      <c r="Q21" s="176">
        <f>(O21*P21)+O21</f>
        <v>0</v>
      </c>
    </row>
    <row r="22" spans="1:17" ht="15" customHeight="1">
      <c r="A22" s="298" t="s">
        <v>8</v>
      </c>
      <c r="B22" s="285"/>
      <c r="C22" s="285"/>
      <c r="D22" s="180" t="e">
        <f>E22/$E$35</f>
        <v>#DIV/0!</v>
      </c>
      <c r="E22" s="181">
        <v>0</v>
      </c>
      <c r="G22" s="164" t="s">
        <v>271</v>
      </c>
      <c r="H22" s="172"/>
      <c r="I22" s="176">
        <f>(E22*H22)+E22</f>
        <v>0</v>
      </c>
      <c r="J22" s="177"/>
      <c r="K22" s="176">
        <f>(I22*J22)+I22</f>
        <v>0</v>
      </c>
      <c r="L22" s="177"/>
      <c r="M22" s="176">
        <f>(K22*L22)+K22</f>
        <v>0</v>
      </c>
      <c r="N22" s="177"/>
      <c r="O22" s="176">
        <f>(M22*N22)+M22</f>
        <v>0</v>
      </c>
      <c r="P22" s="177"/>
      <c r="Q22" s="176">
        <f>(O22*P22)+O22</f>
        <v>0</v>
      </c>
    </row>
    <row r="23" spans="1:17" ht="15" customHeight="1">
      <c r="A23" s="285" t="s">
        <v>9</v>
      </c>
      <c r="B23" s="285"/>
      <c r="C23" s="285"/>
      <c r="D23" s="180" t="e">
        <f>E23/$E$35</f>
        <v>#DIV/0!</v>
      </c>
      <c r="E23" s="181">
        <v>0</v>
      </c>
      <c r="G23" s="164" t="s">
        <v>271</v>
      </c>
      <c r="H23" s="172"/>
      <c r="I23" s="182">
        <f>(E23*H23)+E23</f>
        <v>0</v>
      </c>
      <c r="J23" s="177"/>
      <c r="K23" s="176">
        <f>(I23*J23)+I23</f>
        <v>0</v>
      </c>
      <c r="L23" s="177"/>
      <c r="M23" s="176">
        <f>(K23*L23)+K23</f>
        <v>0</v>
      </c>
      <c r="N23" s="177"/>
      <c r="O23" s="176">
        <f>(M23*N23)+M23</f>
        <v>0</v>
      </c>
      <c r="P23" s="177"/>
      <c r="Q23" s="176">
        <f>(O23*P23)+O23</f>
        <v>0</v>
      </c>
    </row>
    <row r="24" spans="1:17" ht="15" customHeight="1">
      <c r="A24" s="299" t="s">
        <v>10</v>
      </c>
      <c r="B24" s="301"/>
      <c r="C24" s="300"/>
      <c r="D24" s="165">
        <v>0</v>
      </c>
      <c r="E24" s="183">
        <f>D24*$E$10</f>
        <v>0</v>
      </c>
      <c r="G24" s="164" t="s">
        <v>270</v>
      </c>
      <c r="H24" s="172"/>
      <c r="I24" s="176">
        <f>(E24*H24)+E24</f>
        <v>0</v>
      </c>
      <c r="J24" s="177"/>
      <c r="K24" s="176">
        <f>(I24*J24)+I24</f>
        <v>0</v>
      </c>
      <c r="L24" s="177"/>
      <c r="M24" s="176">
        <f>(K24*L24)+K24</f>
        <v>0</v>
      </c>
      <c r="N24" s="177"/>
      <c r="O24" s="176">
        <f>(M24*N24)+M24</f>
        <v>0</v>
      </c>
      <c r="P24" s="177"/>
      <c r="Q24" s="176">
        <f>(O24*P24)+O24</f>
        <v>0</v>
      </c>
    </row>
    <row r="25" spans="1:17" ht="15" customHeight="1">
      <c r="A25" s="286" t="s">
        <v>92</v>
      </c>
      <c r="B25" s="297"/>
      <c r="C25" s="287"/>
      <c r="D25" s="180" t="e">
        <f>E25/$E$35</f>
        <v>#DIV/0!</v>
      </c>
      <c r="E25" s="181">
        <v>0</v>
      </c>
      <c r="G25" s="164" t="s">
        <v>271</v>
      </c>
      <c r="H25" s="172"/>
      <c r="I25" s="182">
        <f>(E25*H25)+E25</f>
        <v>0</v>
      </c>
      <c r="J25" s="177"/>
      <c r="K25" s="176">
        <f>(I25*J25)+I25</f>
        <v>0</v>
      </c>
      <c r="L25" s="177"/>
      <c r="M25" s="176">
        <f>(K25*L25)+K25</f>
        <v>0</v>
      </c>
      <c r="N25" s="177"/>
      <c r="O25" s="176">
        <f>(M25*N25)+M25</f>
        <v>0</v>
      </c>
      <c r="P25" s="177"/>
      <c r="Q25" s="176">
        <f>(O25*P25)+O25</f>
        <v>0</v>
      </c>
    </row>
    <row r="26" spans="1:17" ht="15" customHeight="1">
      <c r="A26" s="288" t="s">
        <v>84</v>
      </c>
      <c r="B26" s="288"/>
      <c r="C26" s="288"/>
      <c r="D26" s="138" t="s">
        <v>3</v>
      </c>
      <c r="E26" s="140">
        <f>SUM(E21:E25)</f>
        <v>0</v>
      </c>
      <c r="G26" s="164"/>
      <c r="H26" s="164"/>
      <c r="I26" s="140">
        <f>SUM(I21:I25)</f>
        <v>0</v>
      </c>
      <c r="J26" s="164"/>
      <c r="K26" s="140">
        <f>SUM(K21:K25)</f>
        <v>0</v>
      </c>
      <c r="L26" s="164"/>
      <c r="M26" s="140">
        <f>SUM(M21:M25)</f>
        <v>0</v>
      </c>
      <c r="N26" s="164"/>
      <c r="O26" s="140">
        <f>SUM(O21:O25)</f>
        <v>0</v>
      </c>
      <c r="P26" s="164"/>
      <c r="Q26" s="140">
        <f>SUM(Q21:Q25)</f>
        <v>0</v>
      </c>
    </row>
    <row r="27" spans="1:17" ht="15" customHeight="1">
      <c r="A27" s="23"/>
      <c r="B27" s="23"/>
      <c r="C27" s="23"/>
      <c r="D27" s="184"/>
      <c r="E27" s="185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</row>
    <row r="28" spans="1:17" s="18" customFormat="1" ht="26.25" customHeight="1">
      <c r="A28" s="291" t="s">
        <v>79</v>
      </c>
      <c r="B28" s="293"/>
      <c r="C28" s="292"/>
      <c r="D28" s="72" t="s">
        <v>87</v>
      </c>
      <c r="E28" s="71" t="s">
        <v>89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</row>
    <row r="29" spans="1:17" ht="15" customHeight="1">
      <c r="A29" s="298" t="s">
        <v>11</v>
      </c>
      <c r="B29" s="285"/>
      <c r="C29" s="285"/>
      <c r="D29" s="165">
        <v>0</v>
      </c>
      <c r="E29" s="183">
        <f>D29*($E$18+$E$10)</f>
        <v>0</v>
      </c>
      <c r="G29" s="164" t="s">
        <v>271</v>
      </c>
      <c r="H29" s="172"/>
      <c r="I29" s="176">
        <f>(E29*H29)+E29</f>
        <v>0</v>
      </c>
      <c r="J29" s="177"/>
      <c r="K29" s="176">
        <f>(I29*J29)+I29</f>
        <v>0</v>
      </c>
      <c r="L29" s="177"/>
      <c r="M29" s="176">
        <f>(K29*L29)+K29</f>
        <v>0</v>
      </c>
      <c r="N29" s="177"/>
      <c r="O29" s="176">
        <f>(M29*N29)+M29</f>
        <v>0</v>
      </c>
      <c r="P29" s="177"/>
      <c r="Q29" s="176">
        <f>(O29*P29)+O29</f>
        <v>0</v>
      </c>
    </row>
    <row r="30" spans="1:17" ht="15" customHeight="1">
      <c r="A30" s="298" t="s">
        <v>80</v>
      </c>
      <c r="B30" s="285"/>
      <c r="C30" s="285"/>
      <c r="D30" s="186" t="e">
        <f>E30/$E$35</f>
        <v>#DIV/0!</v>
      </c>
      <c r="E30" s="181">
        <v>0</v>
      </c>
      <c r="G30" s="164" t="s">
        <v>271</v>
      </c>
      <c r="H30" s="172"/>
      <c r="I30" s="182">
        <f>(E30*H30)+E30</f>
        <v>0</v>
      </c>
      <c r="J30" s="177"/>
      <c r="K30" s="176">
        <f>(I30*J30)+I30</f>
        <v>0</v>
      </c>
      <c r="L30" s="177"/>
      <c r="M30" s="176">
        <f>(K30*L30)+K30</f>
        <v>0</v>
      </c>
      <c r="N30" s="177"/>
      <c r="O30" s="176">
        <f>(M30*N30)+M30</f>
        <v>0</v>
      </c>
      <c r="P30" s="177"/>
      <c r="Q30" s="176">
        <f>(O30*P30)+O30</f>
        <v>0</v>
      </c>
    </row>
    <row r="31" spans="1:17" ht="15" customHeight="1">
      <c r="A31" s="286" t="s">
        <v>93</v>
      </c>
      <c r="B31" s="297"/>
      <c r="C31" s="287"/>
      <c r="D31" s="180" t="e">
        <f>E31/$E$35</f>
        <v>#DIV/0!</v>
      </c>
      <c r="E31" s="181">
        <v>0</v>
      </c>
      <c r="G31" s="164" t="s">
        <v>271</v>
      </c>
      <c r="H31" s="172"/>
      <c r="I31" s="182">
        <f>(E31*H31)+E31</f>
        <v>0</v>
      </c>
      <c r="J31" s="177"/>
      <c r="K31" s="176">
        <f>(I31*J31)+I31</f>
        <v>0</v>
      </c>
      <c r="L31" s="177"/>
      <c r="M31" s="176">
        <f>(K31*L31)+K31</f>
        <v>0</v>
      </c>
      <c r="N31" s="177"/>
      <c r="O31" s="176">
        <f>(M31*N31)+M31</f>
        <v>0</v>
      </c>
      <c r="P31" s="177"/>
      <c r="Q31" s="176">
        <f>(O31*P31)+O31</f>
        <v>0</v>
      </c>
    </row>
    <row r="32" spans="1:17" ht="15" customHeight="1">
      <c r="A32" s="285" t="s">
        <v>81</v>
      </c>
      <c r="B32" s="285"/>
      <c r="C32" s="285"/>
      <c r="D32" s="186" t="e">
        <f>E32/$E$35</f>
        <v>#DIV/0!</v>
      </c>
      <c r="E32" s="181">
        <v>0</v>
      </c>
      <c r="G32" s="164"/>
      <c r="H32" s="164"/>
      <c r="I32" s="182">
        <f>(E32*H32)+E32</f>
        <v>0</v>
      </c>
      <c r="J32" s="177"/>
      <c r="K32" s="176">
        <f>(I32*J32)+I32</f>
        <v>0</v>
      </c>
      <c r="L32" s="177"/>
      <c r="M32" s="176">
        <f>(K32*L32)+K32</f>
        <v>0</v>
      </c>
      <c r="N32" s="177"/>
      <c r="O32" s="176">
        <f>(M32*N32)+M32</f>
        <v>0</v>
      </c>
      <c r="P32" s="177"/>
      <c r="Q32" s="176">
        <f>(O32*P32)+O32</f>
        <v>0</v>
      </c>
    </row>
    <row r="33" spans="1:17" ht="15" customHeight="1">
      <c r="A33" s="288" t="s">
        <v>85</v>
      </c>
      <c r="B33" s="288"/>
      <c r="C33" s="288"/>
      <c r="D33" s="138"/>
      <c r="E33" s="139">
        <f>SUM(E29:E32)</f>
        <v>0</v>
      </c>
      <c r="G33" s="164"/>
      <c r="H33" s="164"/>
      <c r="I33" s="139">
        <f>SUM(I29:I32)</f>
        <v>0</v>
      </c>
      <c r="J33" s="164"/>
      <c r="K33" s="139">
        <f>SUM(K29:K32)</f>
        <v>0</v>
      </c>
      <c r="L33" s="164"/>
      <c r="M33" s="139">
        <f>SUM(M29:M32)</f>
        <v>0</v>
      </c>
      <c r="N33" s="164"/>
      <c r="O33" s="139">
        <f>SUM(O29:O32)</f>
        <v>0</v>
      </c>
      <c r="P33" s="164"/>
      <c r="Q33" s="139">
        <f>SUM(Q29:Q32)</f>
        <v>0</v>
      </c>
    </row>
    <row r="34" spans="1:17" ht="15" customHeight="1">
      <c r="A34" s="23"/>
      <c r="B34" s="23"/>
      <c r="C34" s="23"/>
      <c r="D34" s="184"/>
      <c r="E34" s="187"/>
      <c r="H34" s="164"/>
      <c r="I34" s="164"/>
      <c r="J34" s="164"/>
      <c r="K34" s="164"/>
      <c r="L34" s="164"/>
      <c r="M34" s="164"/>
      <c r="N34" s="164"/>
      <c r="O34" s="164"/>
      <c r="P34" s="164"/>
      <c r="Q34" s="164"/>
    </row>
    <row r="35" spans="1:17" ht="26.25" customHeight="1">
      <c r="A35" s="302" t="s">
        <v>104</v>
      </c>
      <c r="B35" s="303"/>
      <c r="C35" s="303"/>
      <c r="D35" s="304"/>
      <c r="E35" s="137">
        <f>E33+E26+E18+E10</f>
        <v>0</v>
      </c>
      <c r="G35" s="102"/>
      <c r="H35" s="164"/>
      <c r="I35" s="137">
        <f>I33+I26+I18+I10</f>
        <v>0</v>
      </c>
      <c r="J35" s="164"/>
      <c r="K35" s="137">
        <f>K33+K26+K18+K10</f>
        <v>0</v>
      </c>
      <c r="L35" s="164"/>
      <c r="M35" s="137">
        <f>M33+M26+M18+M10</f>
        <v>0</v>
      </c>
      <c r="N35" s="164"/>
      <c r="O35" s="137">
        <f>O33+O26+O18+O10</f>
        <v>0</v>
      </c>
      <c r="P35" s="164"/>
      <c r="Q35" s="137">
        <f>Q33+Q26+Q18+Q10</f>
        <v>0</v>
      </c>
    </row>
    <row r="36" spans="1:17" ht="15" customHeight="1">
      <c r="D36" s="178"/>
      <c r="E36" s="179"/>
    </row>
    <row r="37" spans="1:17" ht="26.25" customHeight="1">
      <c r="A37" s="73" t="s">
        <v>88</v>
      </c>
      <c r="B37" s="74"/>
      <c r="C37" s="72" t="s">
        <v>103</v>
      </c>
      <c r="D37" s="72" t="s">
        <v>101</v>
      </c>
      <c r="E37" s="72" t="s">
        <v>102</v>
      </c>
      <c r="H37" s="72" t="s">
        <v>1326</v>
      </c>
      <c r="I37" s="188" t="e">
        <f>(I35/E35)-100%</f>
        <v>#DIV/0!</v>
      </c>
      <c r="J37" s="72"/>
      <c r="K37" s="188" t="e">
        <f>(K35/I35)-100%</f>
        <v>#DIV/0!</v>
      </c>
      <c r="L37" s="72"/>
      <c r="M37" s="188" t="e">
        <f>(M35/K35)-100%</f>
        <v>#DIV/0!</v>
      </c>
      <c r="N37" s="72"/>
      <c r="O37" s="188" t="e">
        <f>(O35/M35)-100%</f>
        <v>#DIV/0!</v>
      </c>
      <c r="P37" s="72"/>
      <c r="Q37" s="188" t="e">
        <f>(Q35/O35)-100%</f>
        <v>#DIV/0!</v>
      </c>
    </row>
    <row r="38" spans="1:17" ht="15" customHeight="1">
      <c r="A38" s="164" t="s">
        <v>90</v>
      </c>
      <c r="B38" s="164" t="s">
        <v>96</v>
      </c>
      <c r="C38" s="12">
        <v>0</v>
      </c>
      <c r="D38" s="13">
        <f>+E35</f>
        <v>0</v>
      </c>
      <c r="E38" s="14">
        <f>D38*121%</f>
        <v>0</v>
      </c>
      <c r="F38" s="102"/>
      <c r="H38" s="164"/>
      <c r="I38" s="10" t="e">
        <f>(D38*$I$37)+D38</f>
        <v>#DIV/0!</v>
      </c>
      <c r="J38" s="164"/>
      <c r="K38" s="10" t="e">
        <f>(I38*$K$37)+I38</f>
        <v>#DIV/0!</v>
      </c>
      <c r="L38" s="164"/>
      <c r="M38" s="10" t="e">
        <f>(K38*$M$37)+K38</f>
        <v>#DIV/0!</v>
      </c>
      <c r="N38" s="164"/>
      <c r="O38" s="10" t="e">
        <f>(M38*$O$37)+M38</f>
        <v>#DIV/0!</v>
      </c>
      <c r="P38" s="164"/>
      <c r="Q38" s="10" t="e">
        <f>(O38*$Q$37)+O38</f>
        <v>#DIV/0!</v>
      </c>
    </row>
    <row r="39" spans="1:17" ht="15" customHeight="1">
      <c r="A39" s="164" t="s">
        <v>95</v>
      </c>
      <c r="B39" s="164" t="s">
        <v>97</v>
      </c>
      <c r="C39" s="12">
        <v>0.3</v>
      </c>
      <c r="D39" s="13">
        <f>SUM($E$10,$E$18,$E$26,$E$33)+(C39*($E$18+$E$10))</f>
        <v>0</v>
      </c>
      <c r="E39" s="14">
        <f>D39*121%</f>
        <v>0</v>
      </c>
      <c r="F39" s="102"/>
      <c r="H39" s="10"/>
      <c r="I39" s="10" t="e">
        <f>(D39*$I$37)+D39</f>
        <v>#DIV/0!</v>
      </c>
      <c r="J39" s="164"/>
      <c r="K39" s="10" t="e">
        <f>(I39*$K$37)+I39</f>
        <v>#DIV/0!</v>
      </c>
      <c r="L39" s="164"/>
      <c r="M39" s="10" t="e">
        <f>(K39*$M$37)+K39</f>
        <v>#DIV/0!</v>
      </c>
      <c r="N39" s="164"/>
      <c r="O39" s="10" t="e">
        <f>(M39*$O$37)+M39</f>
        <v>#DIV/0!</v>
      </c>
      <c r="P39" s="164"/>
      <c r="Q39" s="10" t="e">
        <f>(O39*$Q$37)+O39</f>
        <v>#DIV/0!</v>
      </c>
    </row>
    <row r="40" spans="1:17" ht="15" customHeight="1">
      <c r="A40" s="164" t="s">
        <v>24</v>
      </c>
      <c r="B40" s="164" t="s">
        <v>98</v>
      </c>
      <c r="C40" s="12">
        <v>0.5</v>
      </c>
      <c r="D40" s="13">
        <f>SUM($E$10,$E$18,$E$26,$E$33)+(C40*($E$18+$E$10))</f>
        <v>0</v>
      </c>
      <c r="E40" s="14">
        <f>D40*121%</f>
        <v>0</v>
      </c>
      <c r="F40" s="102"/>
      <c r="H40" s="164"/>
      <c r="I40" s="10" t="e">
        <f>(D40*$I$37)+D40</f>
        <v>#DIV/0!</v>
      </c>
      <c r="J40" s="164"/>
      <c r="K40" s="10" t="e">
        <f>(I40*$K$37)+I40</f>
        <v>#DIV/0!</v>
      </c>
      <c r="L40" s="164"/>
      <c r="M40" s="10" t="e">
        <f>(K40*$M$37)+K40</f>
        <v>#DIV/0!</v>
      </c>
      <c r="N40" s="164"/>
      <c r="O40" s="10" t="e">
        <f>(M40*$O$37)+M40</f>
        <v>#DIV/0!</v>
      </c>
      <c r="P40" s="164"/>
      <c r="Q40" s="10" t="e">
        <f>(O40*$Q$37)+O40</f>
        <v>#DIV/0!</v>
      </c>
    </row>
    <row r="41" spans="1:17" ht="15" customHeight="1">
      <c r="A41" s="164" t="s">
        <v>99</v>
      </c>
      <c r="B41" s="15" t="s">
        <v>100</v>
      </c>
      <c r="C41" s="12">
        <v>1.5</v>
      </c>
      <c r="D41" s="13">
        <f>SUM($E$10,$E$18,$E$26,$E$33)+(C41*($E$18+$E$10))</f>
        <v>0</v>
      </c>
      <c r="E41" s="14">
        <f>D41*121%</f>
        <v>0</v>
      </c>
      <c r="F41" s="102"/>
      <c r="H41" s="164"/>
      <c r="I41" s="10" t="e">
        <f>(D41*$I$37)+D41</f>
        <v>#DIV/0!</v>
      </c>
      <c r="J41" s="164"/>
      <c r="K41" s="10" t="e">
        <f>(I41*$K$37)+I41</f>
        <v>#DIV/0!</v>
      </c>
      <c r="L41" s="164"/>
      <c r="M41" s="10" t="e">
        <f>(K41*$M$37)+K41</f>
        <v>#DIV/0!</v>
      </c>
      <c r="N41" s="164"/>
      <c r="O41" s="10" t="e">
        <f>(M41*$O$37)+M41</f>
        <v>#DIV/0!</v>
      </c>
      <c r="P41" s="164"/>
      <c r="Q41" s="10" t="e">
        <f>(O41*$Q$37)+O41</f>
        <v>#DIV/0!</v>
      </c>
    </row>
    <row r="42" spans="1:17" ht="15" customHeight="1">
      <c r="E42" s="3"/>
    </row>
    <row r="43" spans="1:17" ht="15" customHeight="1">
      <c r="E43" s="3"/>
    </row>
    <row r="44" spans="1:17" ht="15" customHeight="1">
      <c r="E44" s="3"/>
    </row>
    <row r="45" spans="1:17" ht="15" customHeight="1">
      <c r="E45" s="3"/>
    </row>
    <row r="46" spans="1:17" ht="15" customHeight="1">
      <c r="E46" s="3"/>
    </row>
    <row r="47" spans="1:17" ht="15" customHeight="1">
      <c r="E47" s="3"/>
    </row>
    <row r="48" spans="1:17" ht="15" customHeight="1">
      <c r="E48" s="3"/>
    </row>
    <row r="49" spans="5:5" ht="15" customHeight="1">
      <c r="E49" s="3"/>
    </row>
    <row r="50" spans="5:5" ht="15" customHeight="1">
      <c r="E50" s="3"/>
    </row>
    <row r="51" spans="5:5" ht="15" customHeight="1">
      <c r="E51" s="3"/>
    </row>
    <row r="52" spans="5:5" ht="15" customHeight="1">
      <c r="E52" s="3"/>
    </row>
    <row r="53" spans="5:5" ht="15" customHeight="1">
      <c r="E53" s="3"/>
    </row>
    <row r="54" spans="5:5" ht="15" customHeight="1">
      <c r="E54" s="3"/>
    </row>
  </sheetData>
  <mergeCells count="36">
    <mergeCell ref="A24:C24"/>
    <mergeCell ref="A30:C30"/>
    <mergeCell ref="A35:D35"/>
    <mergeCell ref="A28:C28"/>
    <mergeCell ref="A31:C31"/>
    <mergeCell ref="A29:C29"/>
    <mergeCell ref="A32:C32"/>
    <mergeCell ref="A33:C33"/>
    <mergeCell ref="A13:C13"/>
    <mergeCell ref="A8:B8"/>
    <mergeCell ref="A12:C12"/>
    <mergeCell ref="A14:C14"/>
    <mergeCell ref="A22:C22"/>
    <mergeCell ref="A17:C17"/>
    <mergeCell ref="A6:B6"/>
    <mergeCell ref="A23:C23"/>
    <mergeCell ref="A7:B7"/>
    <mergeCell ref="A26:C26"/>
    <mergeCell ref="A1:E1"/>
    <mergeCell ref="A21:C21"/>
    <mergeCell ref="A2:E2"/>
    <mergeCell ref="A4:B4"/>
    <mergeCell ref="A15:C15"/>
    <mergeCell ref="A16:C16"/>
    <mergeCell ref="A18:C18"/>
    <mergeCell ref="A20:C20"/>
    <mergeCell ref="A10:C10"/>
    <mergeCell ref="A5:B5"/>
    <mergeCell ref="A9:C9"/>
    <mergeCell ref="A25:C25"/>
    <mergeCell ref="G2:Q2"/>
    <mergeCell ref="H3:I3"/>
    <mergeCell ref="J3:K3"/>
    <mergeCell ref="L3:M3"/>
    <mergeCell ref="N3:O3"/>
    <mergeCell ref="P3:Q3"/>
  </mergeCells>
  <phoneticPr fontId="4" type="noConversion"/>
  <conditionalFormatting sqref="E9">
    <cfRule type="containsText" dxfId="0" priority="1" operator="containsText" text="geen">
      <formula>NOT(ISERROR(SEARCH("geen",E9)))</formula>
    </cfRule>
  </conditionalFormatting>
  <pageMargins left="0.27559055118110237" right="0.31496062992125984" top="1.5748031496062993" bottom="0.55118110236220474" header="0.51181102362204722" footer="0.51181102362204722"/>
  <pageSetup paperSize="9" scale="62" orientation="portrait" r:id="rId1"/>
  <headerFooter alignWithMargins="0">
    <oddFooter>&amp;L&amp;F&amp;C&amp;D&amp;R&amp;A</oddFooter>
  </headerFooter>
  <colBreaks count="1" manualBreakCount="1">
    <brk id="5" max="4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">
    <tabColor theme="0" tint="-0.14999847407452621"/>
    <pageSetUpPr fitToPage="1"/>
  </sheetPr>
  <dimension ref="A1:H158"/>
  <sheetViews>
    <sheetView view="pageBreakPreview" zoomScaleNormal="100" zoomScaleSheetLayoutView="100" workbookViewId="0">
      <selection activeCell="C13" sqref="C13"/>
    </sheetView>
  </sheetViews>
  <sheetFormatPr defaultColWidth="14.140625" defaultRowHeight="15" customHeight="1"/>
  <cols>
    <col min="1" max="1" width="14.140625" style="4"/>
    <col min="2" max="2" width="31.140625" style="1" bestFit="1" customWidth="1"/>
    <col min="3" max="3" width="14.140625" style="1"/>
    <col min="4" max="4" width="32" style="5" customWidth="1"/>
    <col min="5" max="6" width="23.7109375" style="1" customWidth="1"/>
    <col min="7" max="16384" width="14.140625" style="1"/>
  </cols>
  <sheetData>
    <row r="1" spans="1:6" s="6" customFormat="1" ht="26.25" customHeight="1">
      <c r="A1" s="307" t="s">
        <v>123</v>
      </c>
      <c r="B1" s="307"/>
      <c r="C1" s="307"/>
      <c r="D1" s="307"/>
      <c r="E1" s="307"/>
      <c r="F1" s="307"/>
    </row>
    <row r="2" spans="1:6" s="6" customFormat="1" ht="15" customHeight="1">
      <c r="A2" s="305" t="s">
        <v>222</v>
      </c>
      <c r="B2" s="306"/>
      <c r="C2" s="306"/>
      <c r="D2" s="306"/>
      <c r="E2" s="306"/>
      <c r="F2" s="306"/>
    </row>
    <row r="3" spans="1:6" s="55" customFormat="1" ht="15" customHeight="1">
      <c r="A3" s="56"/>
      <c r="E3" s="68"/>
      <c r="F3" s="68"/>
    </row>
    <row r="4" spans="1:6" s="55" customFormat="1" ht="15" customHeight="1">
      <c r="A4" s="56"/>
      <c r="E4" s="68"/>
      <c r="F4" s="68"/>
    </row>
    <row r="5" spans="1:6" s="55" customFormat="1" ht="26.25" customHeight="1">
      <c r="A5" s="69" t="s">
        <v>249</v>
      </c>
      <c r="B5" s="69"/>
      <c r="C5" s="69"/>
      <c r="D5" s="69"/>
      <c r="E5" s="65"/>
      <c r="F5" s="65"/>
    </row>
    <row r="6" spans="1:6" s="55" customFormat="1" ht="26.25" customHeight="1" thickBot="1">
      <c r="A6" s="105" t="s">
        <v>34</v>
      </c>
      <c r="B6" s="106" t="s">
        <v>150</v>
      </c>
      <c r="C6" s="103" t="s">
        <v>110</v>
      </c>
      <c r="D6" s="107" t="s">
        <v>69</v>
      </c>
      <c r="E6" s="108" t="s">
        <v>68</v>
      </c>
      <c r="F6" s="3" t="s">
        <v>30</v>
      </c>
    </row>
    <row r="7" spans="1:6" s="55" customFormat="1" ht="15" customHeight="1" thickTop="1">
      <c r="A7" s="110">
        <v>1</v>
      </c>
      <c r="B7" s="109" t="s">
        <v>1105</v>
      </c>
      <c r="C7" s="104">
        <v>1</v>
      </c>
      <c r="D7" s="109" t="s">
        <v>467</v>
      </c>
      <c r="E7" s="109" t="s">
        <v>468</v>
      </c>
      <c r="F7" s="109" t="s">
        <v>678</v>
      </c>
    </row>
    <row r="8" spans="1:6" s="55" customFormat="1" ht="15" customHeight="1">
      <c r="A8" s="110">
        <v>2</v>
      </c>
      <c r="B8" s="109" t="s">
        <v>679</v>
      </c>
      <c r="C8" s="104">
        <v>1</v>
      </c>
      <c r="D8" s="109" t="s">
        <v>680</v>
      </c>
      <c r="E8" s="109" t="s">
        <v>681</v>
      </c>
      <c r="F8" s="109" t="s">
        <v>682</v>
      </c>
    </row>
    <row r="9" spans="1:6" s="55" customFormat="1" ht="15" customHeight="1">
      <c r="A9" s="110">
        <v>3</v>
      </c>
      <c r="B9" s="109" t="s">
        <v>1115</v>
      </c>
      <c r="C9" s="104">
        <v>1</v>
      </c>
      <c r="D9" s="109" t="s">
        <v>1112</v>
      </c>
      <c r="E9" s="109" t="s">
        <v>1113</v>
      </c>
      <c r="F9" s="109" t="s">
        <v>1114</v>
      </c>
    </row>
    <row r="10" spans="1:6" s="55" customFormat="1" ht="15" customHeight="1">
      <c r="A10" s="56"/>
      <c r="E10" s="68"/>
      <c r="F10" s="68"/>
    </row>
    <row r="11" spans="1:6" s="55" customFormat="1" ht="26.25" customHeight="1">
      <c r="A11" s="76" t="s">
        <v>250</v>
      </c>
      <c r="B11" s="65"/>
      <c r="C11" s="65"/>
      <c r="D11" s="65"/>
      <c r="E11" s="68"/>
      <c r="F11" s="68"/>
    </row>
    <row r="12" spans="1:6" s="55" customFormat="1" ht="26.25" customHeight="1">
      <c r="A12" s="75" t="s">
        <v>34</v>
      </c>
      <c r="B12" s="16" t="s">
        <v>108</v>
      </c>
      <c r="C12" s="18" t="s">
        <v>107</v>
      </c>
      <c r="D12" s="75" t="s">
        <v>216</v>
      </c>
      <c r="E12" s="68"/>
      <c r="F12" s="68"/>
    </row>
    <row r="13" spans="1:6" s="55" customFormat="1" ht="15" customHeight="1">
      <c r="A13" s="17">
        <v>1</v>
      </c>
      <c r="B13" s="6" t="s">
        <v>60</v>
      </c>
      <c r="C13" s="77">
        <v>0</v>
      </c>
      <c r="D13" s="144" t="s">
        <v>243</v>
      </c>
      <c r="E13" s="68"/>
      <c r="F13" s="68"/>
    </row>
    <row r="14" spans="1:6" s="65" customFormat="1" ht="15" customHeight="1">
      <c r="A14" s="17">
        <v>2</v>
      </c>
      <c r="B14" s="6" t="s">
        <v>61</v>
      </c>
      <c r="C14" s="77">
        <v>0</v>
      </c>
      <c r="D14" s="144" t="s">
        <v>246</v>
      </c>
    </row>
    <row r="15" spans="1:6" s="19" customFormat="1" ht="15" customHeight="1">
      <c r="A15" s="17">
        <v>3</v>
      </c>
      <c r="B15" s="6" t="s">
        <v>62</v>
      </c>
      <c r="C15" s="77">
        <v>0</v>
      </c>
      <c r="D15" s="144" t="s">
        <v>243</v>
      </c>
      <c r="E15" s="57"/>
      <c r="F15" s="57"/>
    </row>
    <row r="16" spans="1:6" s="3" customFormat="1" ht="15" customHeight="1">
      <c r="A16" s="17">
        <v>4</v>
      </c>
      <c r="B16" s="6" t="s">
        <v>683</v>
      </c>
      <c r="C16" s="77">
        <v>0</v>
      </c>
      <c r="D16" s="144" t="s">
        <v>243</v>
      </c>
      <c r="E16" s="79"/>
      <c r="F16" s="65"/>
    </row>
    <row r="17" spans="1:6" s="3" customFormat="1" ht="15" customHeight="1">
      <c r="A17" s="17">
        <v>5</v>
      </c>
      <c r="B17" s="6" t="s">
        <v>22</v>
      </c>
      <c r="C17" s="77">
        <v>0</v>
      </c>
      <c r="D17" s="144" t="s">
        <v>244</v>
      </c>
      <c r="E17" s="79"/>
      <c r="F17" s="65"/>
    </row>
    <row r="18" spans="1:6" s="3" customFormat="1" ht="15" customHeight="1">
      <c r="A18" s="17">
        <v>6</v>
      </c>
      <c r="B18" s="6" t="s">
        <v>63</v>
      </c>
      <c r="C18" s="77">
        <v>0</v>
      </c>
      <c r="D18" s="144" t="s">
        <v>243</v>
      </c>
      <c r="E18" s="79"/>
      <c r="F18" s="65"/>
    </row>
    <row r="19" spans="1:6" s="3" customFormat="1" ht="15" customHeight="1">
      <c r="A19" s="17">
        <v>7</v>
      </c>
      <c r="B19" s="6" t="s">
        <v>41</v>
      </c>
      <c r="C19" s="77">
        <v>0</v>
      </c>
      <c r="D19" s="144" t="s">
        <v>243</v>
      </c>
      <c r="E19" s="79"/>
      <c r="F19" s="65"/>
    </row>
    <row r="20" spans="1:6" s="3" customFormat="1" ht="15" customHeight="1">
      <c r="A20" s="17">
        <v>8</v>
      </c>
      <c r="B20" s="6" t="s">
        <v>242</v>
      </c>
      <c r="C20" s="77">
        <v>0</v>
      </c>
      <c r="D20" s="144" t="s">
        <v>245</v>
      </c>
      <c r="E20" s="79"/>
      <c r="F20" s="82"/>
    </row>
    <row r="21" spans="1:6" s="3" customFormat="1" ht="15" customHeight="1">
      <c r="A21" s="17">
        <v>9</v>
      </c>
      <c r="B21" s="6" t="s">
        <v>684</v>
      </c>
      <c r="C21" s="77">
        <v>0</v>
      </c>
      <c r="D21" s="144" t="s">
        <v>243</v>
      </c>
      <c r="E21" s="79"/>
      <c r="F21" s="82"/>
    </row>
    <row r="22" spans="1:6" s="3" customFormat="1" ht="15" customHeight="1">
      <c r="A22" s="17">
        <v>10</v>
      </c>
      <c r="B22" s="6" t="s">
        <v>64</v>
      </c>
      <c r="C22" s="77">
        <v>0</v>
      </c>
      <c r="D22" s="144" t="s">
        <v>243</v>
      </c>
      <c r="E22" s="82"/>
      <c r="F22" s="65"/>
    </row>
    <row r="23" spans="1:6" s="3" customFormat="1" ht="15" customHeight="1">
      <c r="A23" s="17">
        <v>11</v>
      </c>
      <c r="B23" s="6" t="s">
        <v>238</v>
      </c>
      <c r="C23" s="77">
        <v>0</v>
      </c>
      <c r="D23" s="144" t="s">
        <v>245</v>
      </c>
      <c r="E23" s="82"/>
      <c r="F23" s="65"/>
    </row>
    <row r="24" spans="1:6" s="3" customFormat="1" ht="15" customHeight="1">
      <c r="A24" s="17">
        <v>12</v>
      </c>
      <c r="B24" s="6" t="s">
        <v>38</v>
      </c>
      <c r="C24" s="77">
        <v>0</v>
      </c>
      <c r="D24" s="144" t="s">
        <v>243</v>
      </c>
      <c r="E24" s="82"/>
      <c r="F24" s="65"/>
    </row>
    <row r="25" spans="1:6" s="3" customFormat="1" ht="15" customHeight="1">
      <c r="A25" s="17">
        <v>13</v>
      </c>
      <c r="B25" s="6" t="s">
        <v>239</v>
      </c>
      <c r="C25" s="77">
        <v>0</v>
      </c>
      <c r="D25" s="144" t="s">
        <v>245</v>
      </c>
      <c r="E25" s="82"/>
      <c r="F25" s="65"/>
    </row>
    <row r="26" spans="1:6" s="3" customFormat="1" ht="15" customHeight="1">
      <c r="A26" s="17">
        <v>14</v>
      </c>
      <c r="B26" s="6" t="s">
        <v>241</v>
      </c>
      <c r="C26" s="77">
        <v>0</v>
      </c>
      <c r="D26" s="144" t="s">
        <v>245</v>
      </c>
      <c r="E26" s="82"/>
      <c r="F26" s="65"/>
    </row>
    <row r="27" spans="1:6" s="3" customFormat="1" ht="15" customHeight="1">
      <c r="A27" s="17">
        <v>15</v>
      </c>
      <c r="B27" s="6" t="s">
        <v>65</v>
      </c>
      <c r="C27" s="77">
        <v>0</v>
      </c>
      <c r="D27" s="144" t="s">
        <v>243</v>
      </c>
      <c r="E27" s="82"/>
      <c r="F27" s="65"/>
    </row>
    <row r="28" spans="1:6" s="3" customFormat="1" ht="15" customHeight="1">
      <c r="A28" s="17">
        <v>16</v>
      </c>
      <c r="B28" s="6" t="s">
        <v>240</v>
      </c>
      <c r="C28" s="77">
        <v>0</v>
      </c>
      <c r="D28" s="144" t="s">
        <v>245</v>
      </c>
      <c r="E28" s="82"/>
      <c r="F28" s="65"/>
    </row>
    <row r="29" spans="1:6" s="3" customFormat="1" ht="15" customHeight="1">
      <c r="A29" s="17">
        <v>17</v>
      </c>
      <c r="B29" s="6" t="s">
        <v>71</v>
      </c>
      <c r="C29" s="77">
        <v>0</v>
      </c>
      <c r="D29" s="144" t="s">
        <v>243</v>
      </c>
      <c r="E29" s="82"/>
      <c r="F29" s="65"/>
    </row>
    <row r="30" spans="1:6" s="3" customFormat="1" ht="15" customHeight="1">
      <c r="A30" s="17">
        <v>18</v>
      </c>
      <c r="B30" s="6" t="s">
        <v>70</v>
      </c>
      <c r="C30" s="77">
        <v>0</v>
      </c>
      <c r="D30" s="144" t="s">
        <v>247</v>
      </c>
      <c r="E30" s="82"/>
      <c r="F30" s="65"/>
    </row>
    <row r="31" spans="1:6" s="3" customFormat="1" ht="15" customHeight="1">
      <c r="A31" s="17">
        <v>19</v>
      </c>
      <c r="B31" s="6" t="s">
        <v>66</v>
      </c>
      <c r="C31" s="77">
        <v>0</v>
      </c>
      <c r="D31" s="144" t="s">
        <v>243</v>
      </c>
      <c r="E31" s="82"/>
      <c r="F31" s="65"/>
    </row>
    <row r="32" spans="1:6" s="3" customFormat="1" ht="15" customHeight="1">
      <c r="A32" s="17">
        <v>20</v>
      </c>
      <c r="B32" s="6" t="s">
        <v>685</v>
      </c>
      <c r="C32" s="77">
        <v>0</v>
      </c>
      <c r="D32" s="144" t="s">
        <v>246</v>
      </c>
      <c r="E32" s="82"/>
      <c r="F32" s="65"/>
    </row>
    <row r="33" spans="1:8" s="3" customFormat="1" ht="15" customHeight="1">
      <c r="A33" s="17">
        <v>21</v>
      </c>
      <c r="B33" s="6" t="s">
        <v>686</v>
      </c>
      <c r="C33" s="77">
        <v>0</v>
      </c>
      <c r="D33" s="144" t="s">
        <v>245</v>
      </c>
      <c r="E33" s="82"/>
      <c r="F33" s="65"/>
    </row>
    <row r="34" spans="1:8" s="3" customFormat="1" ht="15" customHeight="1">
      <c r="A34" s="262">
        <v>22</v>
      </c>
      <c r="B34" s="263" t="s">
        <v>657</v>
      </c>
      <c r="C34" s="77">
        <v>0</v>
      </c>
      <c r="D34" s="144" t="s">
        <v>243</v>
      </c>
      <c r="E34" s="82"/>
      <c r="F34" s="65"/>
    </row>
    <row r="35" spans="1:8" s="3" customFormat="1" ht="15" customHeight="1">
      <c r="A35" s="17">
        <v>23</v>
      </c>
      <c r="B35" s="6" t="s">
        <v>67</v>
      </c>
      <c r="C35" s="78"/>
      <c r="D35" s="78"/>
      <c r="E35" s="82"/>
      <c r="F35" s="65"/>
    </row>
    <row r="36" spans="1:8" s="3" customFormat="1" ht="15" customHeight="1">
      <c r="A36" s="65"/>
      <c r="B36" s="65"/>
      <c r="C36" s="65"/>
      <c r="D36" s="65"/>
      <c r="E36" s="82"/>
      <c r="F36" s="65"/>
    </row>
    <row r="37" spans="1:8" s="3" customFormat="1" ht="26.25" customHeight="1">
      <c r="A37" s="69" t="s">
        <v>251</v>
      </c>
      <c r="B37" s="69"/>
      <c r="C37" s="65"/>
      <c r="D37" s="65"/>
      <c r="E37" s="82"/>
      <c r="F37" s="65"/>
    </row>
    <row r="38" spans="1:8" s="3" customFormat="1" ht="26.25" customHeight="1">
      <c r="A38" s="20" t="s">
        <v>34</v>
      </c>
      <c r="B38" s="111" t="s">
        <v>136</v>
      </c>
      <c r="C38" s="21" t="s">
        <v>110</v>
      </c>
      <c r="D38" s="18" t="s">
        <v>109</v>
      </c>
      <c r="E38" s="117" t="s">
        <v>215</v>
      </c>
      <c r="F38" s="118" t="s">
        <v>176</v>
      </c>
      <c r="G38" s="65"/>
      <c r="H38" s="65"/>
    </row>
    <row r="39" spans="1:8" s="3" customFormat="1" ht="15" customHeight="1">
      <c r="A39" s="80" t="s">
        <v>112</v>
      </c>
      <c r="B39" s="17" t="s">
        <v>137</v>
      </c>
      <c r="C39" s="81">
        <v>1</v>
      </c>
      <c r="D39" s="6" t="s">
        <v>115</v>
      </c>
      <c r="E39" s="6"/>
      <c r="F39" s="6"/>
      <c r="G39" s="65"/>
      <c r="H39" s="65"/>
    </row>
    <row r="40" spans="1:8" s="3" customFormat="1" ht="15" customHeight="1">
      <c r="A40" s="80" t="s">
        <v>111</v>
      </c>
      <c r="B40" s="17" t="s">
        <v>39</v>
      </c>
      <c r="C40" s="81">
        <v>1</v>
      </c>
      <c r="D40" s="6" t="s">
        <v>116</v>
      </c>
      <c r="E40" s="6"/>
      <c r="F40" s="6"/>
      <c r="G40" s="65"/>
      <c r="H40" s="65"/>
    </row>
    <row r="41" spans="1:8" s="3" customFormat="1" ht="15" customHeight="1">
      <c r="A41" s="80" t="s">
        <v>113</v>
      </c>
      <c r="B41" s="17" t="s">
        <v>133</v>
      </c>
      <c r="C41" s="81">
        <v>1</v>
      </c>
      <c r="D41" s="6" t="s">
        <v>117</v>
      </c>
      <c r="E41" s="6"/>
      <c r="F41" s="6"/>
      <c r="G41" s="65"/>
      <c r="H41" s="65"/>
    </row>
    <row r="42" spans="1:8" s="3" customFormat="1" ht="15" customHeight="1">
      <c r="A42" s="80" t="s">
        <v>114</v>
      </c>
      <c r="B42" s="17" t="s">
        <v>134</v>
      </c>
      <c r="C42" s="81">
        <v>1</v>
      </c>
      <c r="D42" s="6" t="s">
        <v>118</v>
      </c>
      <c r="E42" s="6"/>
      <c r="F42" s="6"/>
      <c r="G42" s="65"/>
      <c r="H42" s="65"/>
    </row>
    <row r="43" spans="1:8" s="3" customFormat="1" ht="15" customHeight="1">
      <c r="A43" s="65"/>
      <c r="B43" s="65"/>
      <c r="C43" s="65"/>
      <c r="D43" s="65"/>
      <c r="E43" s="82"/>
      <c r="F43" s="65"/>
    </row>
    <row r="44" spans="1:8" s="55" customFormat="1" ht="26.25" customHeight="1">
      <c r="A44" s="69" t="s">
        <v>119</v>
      </c>
      <c r="B44" s="65"/>
      <c r="C44" s="65"/>
      <c r="D44" s="70"/>
    </row>
    <row r="45" spans="1:8" ht="26.25" customHeight="1">
      <c r="A45" s="20" t="s">
        <v>34</v>
      </c>
      <c r="B45" s="18" t="s">
        <v>120</v>
      </c>
      <c r="C45" s="21" t="s">
        <v>110</v>
      </c>
      <c r="D45" s="55"/>
      <c r="E45" s="55"/>
      <c r="F45" s="115"/>
    </row>
    <row r="46" spans="1:8" ht="15" customHeight="1">
      <c r="A46" s="37" t="s">
        <v>19</v>
      </c>
      <c r="B46" s="38" t="s">
        <v>29</v>
      </c>
      <c r="C46" s="81">
        <v>1</v>
      </c>
      <c r="D46" s="55"/>
      <c r="E46" s="55"/>
      <c r="F46" s="115"/>
    </row>
    <row r="47" spans="1:8" ht="15" customHeight="1">
      <c r="A47" s="39" t="s">
        <v>2</v>
      </c>
      <c r="B47" s="40" t="s">
        <v>1</v>
      </c>
      <c r="C47" s="81">
        <v>1</v>
      </c>
      <c r="D47" s="55"/>
      <c r="E47" s="55"/>
      <c r="F47" s="115"/>
    </row>
    <row r="48" spans="1:8" ht="15" customHeight="1">
      <c r="A48" s="37" t="s">
        <v>20</v>
      </c>
      <c r="B48" s="38" t="s">
        <v>21</v>
      </c>
      <c r="C48" s="81">
        <v>1</v>
      </c>
      <c r="D48" s="55"/>
      <c r="E48" s="55"/>
      <c r="F48" s="115"/>
    </row>
    <row r="49" spans="1:6" ht="15" customHeight="1">
      <c r="A49" s="39" t="s">
        <v>18</v>
      </c>
      <c r="B49" s="40" t="s">
        <v>12</v>
      </c>
      <c r="C49" s="81">
        <v>1</v>
      </c>
      <c r="D49" s="55"/>
      <c r="E49" s="55"/>
      <c r="F49" s="115"/>
    </row>
    <row r="50" spans="1:6" ht="15" customHeight="1">
      <c r="A50" s="37" t="s">
        <v>121</v>
      </c>
      <c r="B50" s="38" t="s">
        <v>122</v>
      </c>
      <c r="C50" s="81">
        <v>1</v>
      </c>
      <c r="D50" s="55"/>
      <c r="E50" s="55"/>
      <c r="F50" s="115"/>
    </row>
    <row r="51" spans="1:6" ht="15" customHeight="1">
      <c r="A51" s="39" t="s">
        <v>17</v>
      </c>
      <c r="B51" s="40" t="s">
        <v>14</v>
      </c>
      <c r="C51" s="81">
        <v>1</v>
      </c>
      <c r="D51" s="55"/>
      <c r="E51" s="55"/>
      <c r="F51" s="115"/>
    </row>
    <row r="52" spans="1:6" ht="15" customHeight="1">
      <c r="A52" s="37" t="s">
        <v>15</v>
      </c>
      <c r="B52" s="38" t="s">
        <v>13</v>
      </c>
      <c r="C52" s="81">
        <v>1</v>
      </c>
      <c r="D52" s="55"/>
      <c r="E52" s="55"/>
      <c r="F52" s="115"/>
    </row>
    <row r="53" spans="1:6" ht="15" customHeight="1">
      <c r="A53" s="39" t="s">
        <v>25</v>
      </c>
      <c r="B53" s="40" t="s">
        <v>28</v>
      </c>
      <c r="C53" s="81">
        <v>1</v>
      </c>
      <c r="D53" s="55"/>
      <c r="E53" s="55"/>
      <c r="F53" s="115"/>
    </row>
    <row r="54" spans="1:6" ht="15" customHeight="1">
      <c r="A54" s="37" t="s">
        <v>26</v>
      </c>
      <c r="B54" s="38" t="s">
        <v>27</v>
      </c>
      <c r="C54" s="81">
        <v>1</v>
      </c>
      <c r="D54" s="55"/>
      <c r="E54" s="55"/>
      <c r="F54" s="115"/>
    </row>
    <row r="55" spans="1:6" ht="15" customHeight="1">
      <c r="A55" s="39" t="s">
        <v>16</v>
      </c>
      <c r="B55" s="40" t="s">
        <v>0</v>
      </c>
      <c r="C55" s="81">
        <v>1</v>
      </c>
      <c r="D55" s="55"/>
      <c r="E55" s="55"/>
      <c r="F55" s="115"/>
    </row>
    <row r="56" spans="1:6" ht="15" customHeight="1">
      <c r="A56" s="83"/>
      <c r="B56" s="70"/>
      <c r="C56" s="70"/>
      <c r="D56" s="70"/>
      <c r="E56" s="55"/>
      <c r="F56" s="55"/>
    </row>
    <row r="57" spans="1:6" ht="15" customHeight="1">
      <c r="A57" s="116"/>
      <c r="B57" s="55"/>
      <c r="C57" s="55"/>
      <c r="D57" s="68"/>
      <c r="E57" s="55"/>
      <c r="F57" s="55"/>
    </row>
    <row r="58" spans="1:6" ht="15" customHeight="1">
      <c r="A58" s="116"/>
      <c r="B58" s="55"/>
      <c r="C58" s="55"/>
      <c r="D58" s="68"/>
      <c r="E58" s="55"/>
      <c r="F58" s="55"/>
    </row>
    <row r="59" spans="1:6" ht="15" customHeight="1">
      <c r="A59" s="116"/>
      <c r="B59" s="55"/>
      <c r="C59" s="55"/>
      <c r="D59" s="68"/>
      <c r="E59" s="55"/>
      <c r="F59" s="55"/>
    </row>
    <row r="60" spans="1:6" ht="15" customHeight="1">
      <c r="A60" s="116"/>
      <c r="B60" s="55"/>
      <c r="C60" s="55"/>
      <c r="D60" s="68"/>
      <c r="E60" s="55"/>
      <c r="F60" s="55"/>
    </row>
    <row r="61" spans="1:6" ht="15" customHeight="1">
      <c r="F61" s="55"/>
    </row>
    <row r="62" spans="1:6" ht="15" customHeight="1">
      <c r="F62" s="55"/>
    </row>
    <row r="63" spans="1:6" ht="15" customHeight="1">
      <c r="F63" s="55"/>
    </row>
    <row r="64" spans="1:6" ht="15" customHeight="1">
      <c r="F64" s="55"/>
    </row>
    <row r="65" spans="6:6" ht="15" customHeight="1">
      <c r="F65" s="55"/>
    </row>
    <row r="66" spans="6:6" ht="15" customHeight="1">
      <c r="F66" s="55"/>
    </row>
    <row r="67" spans="6:6" ht="15" customHeight="1">
      <c r="F67" s="55"/>
    </row>
    <row r="68" spans="6:6" ht="15" customHeight="1">
      <c r="F68" s="55"/>
    </row>
    <row r="69" spans="6:6" ht="15" customHeight="1">
      <c r="F69" s="55"/>
    </row>
    <row r="70" spans="6:6" ht="15" customHeight="1">
      <c r="F70" s="55"/>
    </row>
    <row r="71" spans="6:6" ht="15" customHeight="1">
      <c r="F71" s="55"/>
    </row>
    <row r="72" spans="6:6" ht="15" customHeight="1">
      <c r="F72" s="55"/>
    </row>
    <row r="73" spans="6:6" ht="15" customHeight="1">
      <c r="F73" s="55"/>
    </row>
    <row r="74" spans="6:6" ht="15" customHeight="1">
      <c r="F74" s="55"/>
    </row>
    <row r="75" spans="6:6" ht="15" customHeight="1">
      <c r="F75" s="55"/>
    </row>
    <row r="76" spans="6:6" ht="15" customHeight="1">
      <c r="F76" s="55"/>
    </row>
    <row r="77" spans="6:6" ht="15" customHeight="1">
      <c r="F77" s="55"/>
    </row>
    <row r="78" spans="6:6" ht="15" customHeight="1">
      <c r="F78" s="55"/>
    </row>
    <row r="79" spans="6:6" ht="15" customHeight="1">
      <c r="F79" s="55"/>
    </row>
    <row r="80" spans="6:6" ht="15" customHeight="1">
      <c r="F80" s="55"/>
    </row>
    <row r="81" spans="6:6" ht="15" customHeight="1">
      <c r="F81" s="55"/>
    </row>
    <row r="82" spans="6:6" ht="15" customHeight="1">
      <c r="F82" s="55"/>
    </row>
    <row r="83" spans="6:6" ht="15" customHeight="1">
      <c r="F83" s="55"/>
    </row>
    <row r="84" spans="6:6" ht="15" customHeight="1">
      <c r="F84" s="55"/>
    </row>
    <row r="85" spans="6:6" ht="15" customHeight="1">
      <c r="F85" s="55"/>
    </row>
    <row r="86" spans="6:6" ht="15" customHeight="1">
      <c r="F86" s="55"/>
    </row>
    <row r="87" spans="6:6" ht="15" customHeight="1">
      <c r="F87" s="55"/>
    </row>
    <row r="88" spans="6:6" ht="15" customHeight="1">
      <c r="F88" s="55"/>
    </row>
    <row r="89" spans="6:6" ht="15" customHeight="1">
      <c r="F89" s="55"/>
    </row>
    <row r="90" spans="6:6" ht="15" customHeight="1">
      <c r="F90" s="55"/>
    </row>
    <row r="91" spans="6:6" ht="15" customHeight="1">
      <c r="F91" s="55"/>
    </row>
    <row r="92" spans="6:6" ht="15" customHeight="1">
      <c r="F92" s="55"/>
    </row>
    <row r="93" spans="6:6" ht="15" customHeight="1">
      <c r="F93" s="55"/>
    </row>
    <row r="94" spans="6:6" ht="15" customHeight="1">
      <c r="F94" s="55"/>
    </row>
    <row r="95" spans="6:6" ht="15" customHeight="1">
      <c r="F95" s="55"/>
    </row>
    <row r="96" spans="6:6" ht="15" customHeight="1">
      <c r="F96" s="55"/>
    </row>
    <row r="97" spans="6:6" ht="15" customHeight="1">
      <c r="F97" s="55"/>
    </row>
    <row r="98" spans="6:6" ht="15" customHeight="1">
      <c r="F98" s="55"/>
    </row>
    <row r="99" spans="6:6" ht="15" customHeight="1">
      <c r="F99" s="55"/>
    </row>
    <row r="100" spans="6:6" ht="15" customHeight="1">
      <c r="F100" s="55"/>
    </row>
    <row r="101" spans="6:6" ht="15" customHeight="1">
      <c r="F101" s="55"/>
    </row>
    <row r="102" spans="6:6" ht="15" customHeight="1">
      <c r="F102" s="55"/>
    </row>
    <row r="103" spans="6:6" ht="15" customHeight="1">
      <c r="F103" s="55"/>
    </row>
    <row r="104" spans="6:6" ht="15" customHeight="1">
      <c r="F104" s="55"/>
    </row>
    <row r="105" spans="6:6" ht="15" customHeight="1">
      <c r="F105" s="55"/>
    </row>
    <row r="106" spans="6:6" ht="15" customHeight="1">
      <c r="F106" s="55"/>
    </row>
    <row r="107" spans="6:6" ht="15" customHeight="1">
      <c r="F107" s="55"/>
    </row>
    <row r="108" spans="6:6" ht="15" customHeight="1">
      <c r="F108" s="55"/>
    </row>
    <row r="109" spans="6:6" ht="15" customHeight="1">
      <c r="F109" s="55"/>
    </row>
    <row r="110" spans="6:6" ht="15" customHeight="1">
      <c r="F110" s="55"/>
    </row>
    <row r="111" spans="6:6" ht="15" customHeight="1">
      <c r="F111" s="55"/>
    </row>
    <row r="112" spans="6:6" ht="15" customHeight="1">
      <c r="F112" s="55"/>
    </row>
    <row r="113" spans="6:6" ht="15" customHeight="1">
      <c r="F113" s="55"/>
    </row>
    <row r="114" spans="6:6" ht="15" customHeight="1">
      <c r="F114" s="55"/>
    </row>
    <row r="115" spans="6:6" ht="15" customHeight="1">
      <c r="F115" s="55"/>
    </row>
    <row r="116" spans="6:6" ht="15" customHeight="1">
      <c r="F116" s="55"/>
    </row>
    <row r="117" spans="6:6" ht="15" customHeight="1">
      <c r="F117" s="55"/>
    </row>
    <row r="118" spans="6:6" ht="15" customHeight="1">
      <c r="F118" s="55"/>
    </row>
    <row r="119" spans="6:6" ht="15" customHeight="1">
      <c r="F119" s="55"/>
    </row>
    <row r="120" spans="6:6" ht="15" customHeight="1">
      <c r="F120" s="55"/>
    </row>
    <row r="121" spans="6:6" ht="15" customHeight="1">
      <c r="F121" s="55"/>
    </row>
    <row r="122" spans="6:6" ht="15" customHeight="1">
      <c r="F122" s="55"/>
    </row>
    <row r="123" spans="6:6" ht="15" customHeight="1">
      <c r="F123" s="55"/>
    </row>
    <row r="124" spans="6:6" ht="15" customHeight="1">
      <c r="F124" s="55"/>
    </row>
    <row r="125" spans="6:6" ht="15" customHeight="1">
      <c r="F125" s="55"/>
    </row>
    <row r="126" spans="6:6" ht="15" customHeight="1">
      <c r="F126" s="55"/>
    </row>
    <row r="127" spans="6:6" ht="15" customHeight="1">
      <c r="F127" s="55"/>
    </row>
    <row r="128" spans="6:6" ht="15" customHeight="1">
      <c r="F128" s="55"/>
    </row>
    <row r="129" spans="6:6" ht="15" customHeight="1">
      <c r="F129" s="55"/>
    </row>
    <row r="130" spans="6:6" ht="15" customHeight="1">
      <c r="F130" s="55"/>
    </row>
    <row r="131" spans="6:6" ht="15" customHeight="1">
      <c r="F131" s="55"/>
    </row>
    <row r="132" spans="6:6" ht="15" customHeight="1">
      <c r="F132" s="55"/>
    </row>
    <row r="133" spans="6:6" ht="15" customHeight="1">
      <c r="F133" s="55"/>
    </row>
    <row r="134" spans="6:6" ht="15" customHeight="1">
      <c r="F134" s="55"/>
    </row>
    <row r="135" spans="6:6" ht="15" customHeight="1">
      <c r="F135" s="55"/>
    </row>
    <row r="136" spans="6:6" ht="15" customHeight="1">
      <c r="F136" s="55"/>
    </row>
    <row r="137" spans="6:6" ht="15" customHeight="1">
      <c r="F137" s="55"/>
    </row>
    <row r="138" spans="6:6" ht="15" customHeight="1">
      <c r="F138" s="55"/>
    </row>
    <row r="139" spans="6:6" ht="15" customHeight="1">
      <c r="F139" s="55"/>
    </row>
    <row r="140" spans="6:6" ht="15" customHeight="1">
      <c r="F140" s="55"/>
    </row>
    <row r="141" spans="6:6" ht="15" customHeight="1">
      <c r="F141" s="55"/>
    </row>
    <row r="142" spans="6:6" ht="15" customHeight="1">
      <c r="F142" s="55"/>
    </row>
    <row r="143" spans="6:6" ht="15" customHeight="1">
      <c r="F143" s="55"/>
    </row>
    <row r="144" spans="6:6" ht="15" customHeight="1">
      <c r="F144" s="55"/>
    </row>
    <row r="145" spans="6:6" ht="15" customHeight="1">
      <c r="F145" s="55"/>
    </row>
    <row r="146" spans="6:6" ht="15" customHeight="1">
      <c r="F146" s="55"/>
    </row>
    <row r="147" spans="6:6" ht="15" customHeight="1">
      <c r="F147" s="55"/>
    </row>
    <row r="148" spans="6:6" ht="15" customHeight="1">
      <c r="F148" s="55"/>
    </row>
    <row r="149" spans="6:6" ht="15" customHeight="1">
      <c r="F149" s="55"/>
    </row>
    <row r="150" spans="6:6" ht="15" customHeight="1">
      <c r="F150" s="55"/>
    </row>
    <row r="151" spans="6:6" ht="15" customHeight="1">
      <c r="F151" s="55"/>
    </row>
    <row r="152" spans="6:6" ht="15" customHeight="1">
      <c r="F152" s="55"/>
    </row>
    <row r="153" spans="6:6" ht="15" customHeight="1">
      <c r="F153" s="55"/>
    </row>
    <row r="154" spans="6:6" ht="15" customHeight="1">
      <c r="F154" s="55"/>
    </row>
    <row r="155" spans="6:6" ht="15" customHeight="1">
      <c r="F155" s="55"/>
    </row>
    <row r="156" spans="6:6" ht="15" customHeight="1">
      <c r="F156" s="55"/>
    </row>
    <row r="157" spans="6:6" ht="15" customHeight="1">
      <c r="F157" s="55"/>
    </row>
    <row r="158" spans="6:6" ht="15" customHeight="1">
      <c r="F158" s="55"/>
    </row>
  </sheetData>
  <mergeCells count="2">
    <mergeCell ref="A2:F2"/>
    <mergeCell ref="A1:F1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>
    <oddFooter>&amp;L&amp;F&amp;C&amp;D&amp;R&amp;A</oddFooter>
  </headerFooter>
  <tableParts count="4">
    <tablePart r:id="rId2"/>
    <tablePart r:id="rId3"/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>
    <tabColor theme="0" tint="-0.14999847407452621"/>
  </sheetPr>
  <dimension ref="A1:AH575"/>
  <sheetViews>
    <sheetView view="pageBreakPreview" zoomScale="90" zoomScaleNormal="40" zoomScaleSheetLayoutView="90" workbookViewId="0">
      <pane ySplit="4" topLeftCell="A5" activePane="bottomLeft" state="frozen"/>
      <selection pane="bottomLeft" activeCell="B5" sqref="B5"/>
    </sheetView>
  </sheetViews>
  <sheetFormatPr defaultColWidth="10.28515625" defaultRowHeight="15" customHeight="1"/>
  <cols>
    <col min="1" max="1" width="6.140625" style="3" customWidth="1"/>
    <col min="2" max="2" width="17" style="3" bestFit="1" customWidth="1"/>
    <col min="3" max="3" width="18.5703125" style="3" bestFit="1" customWidth="1"/>
    <col min="4" max="4" width="12" style="3" customWidth="1"/>
    <col min="5" max="5" width="11.7109375" style="3" bestFit="1" customWidth="1"/>
    <col min="6" max="6" width="11.7109375" style="3" customWidth="1"/>
    <col min="7" max="7" width="11.28515625" style="3" customWidth="1"/>
    <col min="8" max="8" width="14.140625" style="3" bestFit="1" customWidth="1"/>
    <col min="9" max="9" width="23.28515625" style="23" bestFit="1" customWidth="1"/>
    <col min="10" max="10" width="35.5703125" style="60" bestFit="1" customWidth="1"/>
    <col min="11" max="11" width="9.28515625" style="23" customWidth="1"/>
    <col min="12" max="12" width="23.140625" style="60" bestFit="1" customWidth="1"/>
    <col min="13" max="13" width="9.28515625" style="23" customWidth="1"/>
    <col min="14" max="14" width="15.42578125" style="96" bestFit="1" customWidth="1"/>
    <col min="15" max="15" width="14.5703125" style="96" customWidth="1"/>
    <col min="16" max="16" width="14.5703125" style="97" customWidth="1"/>
    <col min="17" max="17" width="13.7109375" style="97" customWidth="1"/>
    <col min="18" max="18" width="19.5703125" style="3" customWidth="1"/>
    <col min="19" max="19" width="12.85546875" style="3" customWidth="1"/>
    <col min="20" max="20" width="12.5703125" style="11" customWidth="1"/>
    <col min="21" max="21" width="16.42578125" style="11" customWidth="1"/>
    <col min="22" max="22" width="16.42578125" style="99" customWidth="1"/>
    <col min="23" max="23" width="18" style="100" customWidth="1"/>
    <col min="24" max="24" width="16.42578125" style="98" customWidth="1"/>
    <col min="25" max="25" width="16.42578125" style="11" customWidth="1"/>
    <col min="26" max="26" width="16.42578125" style="99" customWidth="1"/>
    <col min="27" max="27" width="16.42578125" style="100" customWidth="1"/>
    <col min="28" max="28" width="16.42578125" style="98" customWidth="1"/>
    <col min="29" max="30" width="16.42578125" style="3" customWidth="1"/>
    <col min="31" max="32" width="16.42578125" style="101" customWidth="1"/>
    <col min="33" max="33" width="16.42578125" style="102" customWidth="1"/>
    <col min="34" max="34" width="16.42578125" style="65" customWidth="1"/>
    <col min="35" max="16384" width="10.28515625" style="3"/>
  </cols>
  <sheetData>
    <row r="1" spans="1:34" ht="15" customHeight="1">
      <c r="A1" s="289" t="s">
        <v>168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 t="s">
        <v>168</v>
      </c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</row>
    <row r="2" spans="1:34" ht="15" customHeight="1">
      <c r="A2" s="65"/>
      <c r="B2" s="65"/>
      <c r="C2" s="65"/>
      <c r="D2" s="65"/>
      <c r="E2" s="65"/>
      <c r="F2" s="65"/>
      <c r="G2" s="65"/>
      <c r="H2" s="65"/>
      <c r="I2" s="70"/>
      <c r="J2" s="114"/>
      <c r="K2" s="70"/>
      <c r="L2" s="114"/>
      <c r="M2" s="70"/>
      <c r="N2" s="84"/>
      <c r="O2" s="84"/>
      <c r="P2" s="85"/>
      <c r="Q2" s="8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spans="1:34" s="65" customFormat="1" ht="15" customHeight="1">
      <c r="I3" s="70"/>
      <c r="J3" s="114"/>
      <c r="K3" s="70"/>
      <c r="L3" s="114"/>
      <c r="M3" s="70"/>
      <c r="N3" s="84"/>
      <c r="O3" s="84"/>
      <c r="P3" s="85"/>
      <c r="Q3" s="85"/>
      <c r="T3" s="308" t="s">
        <v>257</v>
      </c>
      <c r="U3" s="309"/>
      <c r="V3" s="309"/>
      <c r="W3" s="309"/>
      <c r="X3" s="309"/>
      <c r="Y3" s="310"/>
      <c r="Z3" s="311" t="s">
        <v>258</v>
      </c>
      <c r="AA3" s="312"/>
      <c r="AB3" s="312"/>
      <c r="AC3" s="312"/>
      <c r="AD3" s="312"/>
      <c r="AE3" s="313"/>
      <c r="AF3" s="314" t="s">
        <v>259</v>
      </c>
      <c r="AG3" s="315"/>
      <c r="AH3" s="316"/>
    </row>
    <row r="4" spans="1:34" s="18" customFormat="1" ht="26.25" customHeight="1">
      <c r="A4" s="113" t="s">
        <v>34</v>
      </c>
      <c r="B4" s="21" t="s">
        <v>150</v>
      </c>
      <c r="C4" s="21" t="s">
        <v>69</v>
      </c>
      <c r="D4" s="21" t="s">
        <v>68</v>
      </c>
      <c r="E4" s="21" t="s">
        <v>30</v>
      </c>
      <c r="F4" s="21" t="s">
        <v>31</v>
      </c>
      <c r="G4" s="21" t="s">
        <v>836</v>
      </c>
      <c r="H4" s="21" t="s">
        <v>124</v>
      </c>
      <c r="I4" s="21" t="s">
        <v>125</v>
      </c>
      <c r="J4" s="61" t="s">
        <v>108</v>
      </c>
      <c r="K4" s="21" t="s">
        <v>23</v>
      </c>
      <c r="L4" s="61" t="s">
        <v>126</v>
      </c>
      <c r="M4" s="21" t="s">
        <v>127</v>
      </c>
      <c r="N4" s="21" t="s">
        <v>40</v>
      </c>
      <c r="O4" s="21" t="s">
        <v>32</v>
      </c>
      <c r="P4" s="21" t="s">
        <v>138</v>
      </c>
      <c r="Q4" s="21" t="s">
        <v>72</v>
      </c>
      <c r="R4" s="21" t="s">
        <v>139</v>
      </c>
      <c r="S4" s="21" t="s">
        <v>130</v>
      </c>
      <c r="T4" s="21" t="s">
        <v>128</v>
      </c>
      <c r="U4" s="21" t="s">
        <v>142</v>
      </c>
      <c r="V4" s="21" t="s">
        <v>143</v>
      </c>
      <c r="W4" s="21" t="s">
        <v>144</v>
      </c>
      <c r="X4" s="21" t="s">
        <v>140</v>
      </c>
      <c r="Y4" s="21" t="s">
        <v>141</v>
      </c>
      <c r="Z4" s="21" t="s">
        <v>129</v>
      </c>
      <c r="AA4" s="21" t="s">
        <v>149</v>
      </c>
      <c r="AB4" s="21" t="s">
        <v>145</v>
      </c>
      <c r="AC4" s="21" t="s">
        <v>146</v>
      </c>
      <c r="AD4" s="21" t="s">
        <v>147</v>
      </c>
      <c r="AE4" s="21" t="s">
        <v>148</v>
      </c>
      <c r="AF4" s="66" t="s">
        <v>132</v>
      </c>
      <c r="AG4" s="66" t="s">
        <v>37</v>
      </c>
      <c r="AH4" s="67" t="s">
        <v>36</v>
      </c>
    </row>
    <row r="5" spans="1:34" ht="15" customHeight="1">
      <c r="A5" s="112">
        <v>1</v>
      </c>
      <c r="B5" s="23" t="str">
        <f>VLOOKUP(Ruimtestaat[[#This Row],[Code]],Locaties[#All],2,FALSE)</f>
        <v>RSG Levant</v>
      </c>
      <c r="C5" s="23" t="str">
        <f>VLOOKUP(Ruimtestaat[[#This Row],[Code]],Locaties[#All],4,FALSE)</f>
        <v>Horsterweg 192</v>
      </c>
      <c r="D5" s="23" t="str">
        <f>VLOOKUP(Ruimtestaat[[#This Row],[Code]],Locaties[#All],5,FALSE)</f>
        <v>3891 EV</v>
      </c>
      <c r="E5" s="23" t="str">
        <f>VLOOKUP(Ruimtestaat[[#This Row],[Code]],Locaties[#All],6,FALSE)</f>
        <v>Zeewolde</v>
      </c>
      <c r="F5" s="23"/>
      <c r="G5" s="60"/>
      <c r="H5" s="23" t="s">
        <v>535</v>
      </c>
      <c r="I5" s="27"/>
      <c r="J5" s="3" t="s">
        <v>264</v>
      </c>
      <c r="K5" s="23">
        <v>10</v>
      </c>
      <c r="L5" s="60" t="str">
        <f>VLOOKUP(K5,Ruimtegroepen[],2,FALSE)</f>
        <v>Trappenhuizen/lift</v>
      </c>
      <c r="M5" s="23" t="s">
        <v>112</v>
      </c>
      <c r="N5" s="23" t="s">
        <v>137</v>
      </c>
      <c r="O5" s="86">
        <v>3</v>
      </c>
      <c r="P5" s="86"/>
      <c r="Q5" s="95" t="str">
        <f>LEFT(VLOOKUP(Ruimtestaat[[#This Row],[Ruimte code]],Ruimtegroepen[#All],4,1),2)</f>
        <v xml:space="preserve">V </v>
      </c>
      <c r="R5" s="86"/>
      <c r="S5" s="87">
        <v>40</v>
      </c>
      <c r="T5" s="87" t="s">
        <v>2</v>
      </c>
      <c r="U5" s="88">
        <f>IF(S5&gt;0,IF(RIGHT(Ruimtestaat[[#This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" s="88">
        <f>IF(U5&gt;0,VLOOKUP($K5,Ruimtegroepen[],3,FALSE)*VLOOKUP($M5,Vloersoorten[],3,FALSE)*VLOOKUP($T5,Frequenties[],3,FALSE)*VLOOKUP($A5,Locaties[],3,FALSE),0)</f>
        <v>0</v>
      </c>
      <c r="W5" s="89">
        <f>Ruimtestaat[[#This Row],[Uitvoeringen werkdagen]]*Ruimtestaat[[#This Row],[Oppervlak (netto)]]</f>
        <v>600</v>
      </c>
      <c r="X5" s="90">
        <f>IF(V5&gt;0,Ruimtestaat[[#This Row],[Prest. (m2 /jaar) werkdagen]]/Ruimtestaat[[#This Row],[Norm (m2/uur) werkdagen]],0)</f>
        <v>0</v>
      </c>
      <c r="Y5" s="91">
        <f>Ruimtestaat[[#This Row],[uren / jaar werkdagen]]*Tariefsopbouw!$E$35</f>
        <v>0</v>
      </c>
      <c r="Z5" s="88"/>
      <c r="AA5" s="92">
        <f>IF(Ruimtestaat[[#This Row],[Frequentie weekend]]&gt;0,VALUE(LEFT(Z5,1))*S5,0)</f>
        <v>0</v>
      </c>
      <c r="AB5" s="88">
        <f>IF($AA5&gt;0,VLOOKUP($K5,Ruimtegroepen[],3,FALSE)*VLOOKUP($M5,Vloersoorten[],3,FALSE)*VLOOKUP($Z5,Frequenties[],3,FALSE)*VLOOKUP(#REF!,Locaties[],3,FALSE),0)</f>
        <v>0</v>
      </c>
      <c r="AC5" s="90">
        <f>Ruimtestaat[[#This Row],[Uitvoeringen weekend]]*Ruimtestaat[[#This Row],[Oppervlak (netto)]]</f>
        <v>0</v>
      </c>
      <c r="AD5" s="93">
        <f>IF(AC5&gt;0,Ruimtestaat[[#This Row],[Prest. (m2 /jaar) weekend]]/Ruimtestaat[[#This Row],[Norm (m2/uur) weekend]],0)</f>
        <v>0</v>
      </c>
      <c r="AE5" s="94">
        <f>Ruimtestaat[[#This Row],[uren / jaar weekend]]*Tariefsopbouw!$D$40</f>
        <v>0</v>
      </c>
      <c r="AF5" s="66">
        <f>Ruimtestaat[[#This Row],[Prest. (m2 /jaar) weekend]]+Ruimtestaat[[#This Row],[Prest. (m2 /jaar) werkdagen]]</f>
        <v>600</v>
      </c>
      <c r="AG5" s="66">
        <f>Ruimtestaat[[#This Row],[uren / jaar weekend]]+Ruimtestaat[[#This Row],[uren / jaar werkdagen]]</f>
        <v>0</v>
      </c>
      <c r="AH5" s="67">
        <f>Ruimtestaat[[#This Row],[kosten / jaar weekend]]+Ruimtestaat[[#This Row],[kosten / jaar werkdagen]]</f>
        <v>0</v>
      </c>
    </row>
    <row r="6" spans="1:34" ht="15" customHeight="1">
      <c r="A6" s="112">
        <v>1</v>
      </c>
      <c r="B6" s="23" t="str">
        <f>VLOOKUP(Ruimtestaat[[#This Row],[Code]],Locaties[#All],2,FALSE)</f>
        <v>RSG Levant</v>
      </c>
      <c r="C6" s="23" t="str">
        <f>VLOOKUP(Ruimtestaat[[#This Row],[Code]],Locaties[#All],4,FALSE)</f>
        <v>Horsterweg 192</v>
      </c>
      <c r="D6" s="23" t="str">
        <f>VLOOKUP(Ruimtestaat[[#This Row],[Code]],Locaties[#All],5,FALSE)</f>
        <v>3891 EV</v>
      </c>
      <c r="E6" s="23" t="str">
        <f>VLOOKUP(Ruimtestaat[[#This Row],[Code]],Locaties[#All],6,FALSE)</f>
        <v>Zeewolde</v>
      </c>
      <c r="F6" s="23"/>
      <c r="G6" s="60"/>
      <c r="H6" s="23" t="s">
        <v>535</v>
      </c>
      <c r="I6" s="27" t="s">
        <v>469</v>
      </c>
      <c r="J6" s="3" t="s">
        <v>536</v>
      </c>
      <c r="K6" s="23">
        <v>7</v>
      </c>
      <c r="L6" s="60" t="str">
        <f>VLOOKUP(K6,Ruimtegroepen[],2,FALSE)</f>
        <v>Entree</v>
      </c>
      <c r="M6" s="23" t="s">
        <v>112</v>
      </c>
      <c r="N6" s="23" t="s">
        <v>137</v>
      </c>
      <c r="O6" s="86">
        <v>103</v>
      </c>
      <c r="P6" s="86"/>
      <c r="Q6" s="95" t="str">
        <f>LEFT(VLOOKUP(Ruimtestaat[[#This Row],[Ruimte code]],Ruimtegroepen[#All],4,1),2)</f>
        <v xml:space="preserve">V </v>
      </c>
      <c r="R6" s="86"/>
      <c r="S6" s="87">
        <v>40</v>
      </c>
      <c r="T6" s="87" t="s">
        <v>2</v>
      </c>
      <c r="U6" s="88">
        <f>IF(S6&gt;0,IF(RIGHT(Ruimtestaat[[#This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6" s="88">
        <f>IF(U6&gt;0,VLOOKUP($K6,Ruimtegroepen[],3,FALSE)*VLOOKUP($M6,Vloersoorten[],3,FALSE)*VLOOKUP($T6,Frequenties[],3,FALSE)*VLOOKUP($A6,Locaties[],3,FALSE),0)</f>
        <v>0</v>
      </c>
      <c r="W6" s="89">
        <f>Ruimtestaat[[#This Row],[Uitvoeringen werkdagen]]*Ruimtestaat[[#This Row],[Oppervlak (netto)]]</f>
        <v>20600</v>
      </c>
      <c r="X6" s="90">
        <f>IF(V6&gt;0,Ruimtestaat[[#This Row],[Prest. (m2 /jaar) werkdagen]]/Ruimtestaat[[#This Row],[Norm (m2/uur) werkdagen]],0)</f>
        <v>0</v>
      </c>
      <c r="Y6" s="91">
        <f>Ruimtestaat[[#This Row],[uren / jaar werkdagen]]*Tariefsopbouw!$E$35</f>
        <v>0</v>
      </c>
      <c r="Z6" s="88"/>
      <c r="AA6" s="92">
        <f>IF(Ruimtestaat[[#This Row],[Frequentie weekend]]&gt;0,VALUE(LEFT(Z6,1))*S6,0)</f>
        <v>0</v>
      </c>
      <c r="AB6" s="88">
        <f>IF($AA6&gt;0,VLOOKUP($K6,Ruimtegroepen[],3,FALSE)*VLOOKUP($M6,Vloersoorten[],3,FALSE)*VLOOKUP($Z6,Frequenties[],3,FALSE)*VLOOKUP(#REF!,Locaties[],3,FALSE),0)</f>
        <v>0</v>
      </c>
      <c r="AC6" s="90">
        <f>Ruimtestaat[[#This Row],[Uitvoeringen weekend]]*Ruimtestaat[[#This Row],[Oppervlak (netto)]]</f>
        <v>0</v>
      </c>
      <c r="AD6" s="93">
        <f>IF(AC6&gt;0,Ruimtestaat[[#This Row],[Prest. (m2 /jaar) weekend]]/Ruimtestaat[[#This Row],[Norm (m2/uur) weekend]],0)</f>
        <v>0</v>
      </c>
      <c r="AE6" s="94">
        <f>Ruimtestaat[[#This Row],[uren / jaar weekend]]*Tariefsopbouw!$D$40</f>
        <v>0</v>
      </c>
      <c r="AF6" s="66">
        <f>Ruimtestaat[[#This Row],[Prest. (m2 /jaar) weekend]]+Ruimtestaat[[#This Row],[Prest. (m2 /jaar) werkdagen]]</f>
        <v>20600</v>
      </c>
      <c r="AG6" s="66">
        <f>Ruimtestaat[[#This Row],[uren / jaar weekend]]+Ruimtestaat[[#This Row],[uren / jaar werkdagen]]</f>
        <v>0</v>
      </c>
      <c r="AH6" s="67">
        <f>Ruimtestaat[[#This Row],[kosten / jaar weekend]]+Ruimtestaat[[#This Row],[kosten / jaar werkdagen]]</f>
        <v>0</v>
      </c>
    </row>
    <row r="7" spans="1:34" ht="15" customHeight="1">
      <c r="A7" s="112">
        <v>1</v>
      </c>
      <c r="B7" s="23" t="str">
        <f>VLOOKUP(Ruimtestaat[[#This Row],[Code]],Locaties[#All],2,FALSE)</f>
        <v>RSG Levant</v>
      </c>
      <c r="C7" s="23" t="str">
        <f>VLOOKUP(Ruimtestaat[[#This Row],[Code]],Locaties[#All],4,FALSE)</f>
        <v>Horsterweg 192</v>
      </c>
      <c r="D7" s="23" t="str">
        <f>VLOOKUP(Ruimtestaat[[#This Row],[Code]],Locaties[#All],5,FALSE)</f>
        <v>3891 EV</v>
      </c>
      <c r="E7" s="23" t="str">
        <f>VLOOKUP(Ruimtestaat[[#This Row],[Code]],Locaties[#All],6,FALSE)</f>
        <v>Zeewolde</v>
      </c>
      <c r="F7" s="23"/>
      <c r="G7" s="60"/>
      <c r="H7" s="23" t="s">
        <v>535</v>
      </c>
      <c r="I7" s="27" t="s">
        <v>470</v>
      </c>
      <c r="J7" s="3" t="s">
        <v>382</v>
      </c>
      <c r="K7" s="23">
        <v>6</v>
      </c>
      <c r="L7" s="60" t="str">
        <f>VLOOKUP(K7,Ruimtegroepen[],2,FALSE)</f>
        <v>Gangen/hallen</v>
      </c>
      <c r="M7" s="23" t="s">
        <v>112</v>
      </c>
      <c r="N7" s="23" t="s">
        <v>137</v>
      </c>
      <c r="O7" s="86">
        <v>54</v>
      </c>
      <c r="P7" s="86"/>
      <c r="Q7" s="95" t="str">
        <f>LEFT(VLOOKUP(Ruimtestaat[[#This Row],[Ruimte code]],Ruimtegroepen[#All],4,1),2)</f>
        <v xml:space="preserve">V </v>
      </c>
      <c r="R7" s="86"/>
      <c r="S7" s="87">
        <v>40</v>
      </c>
      <c r="T7" s="87" t="s">
        <v>2</v>
      </c>
      <c r="U7" s="88">
        <f>IF(S7&gt;0,IF(RIGHT(Ruimtestaat[[#This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7" s="88">
        <f>IF(U7&gt;0,VLOOKUP($K7,Ruimtegroepen[],3,FALSE)*VLOOKUP($M7,Vloersoorten[],3,FALSE)*VLOOKUP($T7,Frequenties[],3,FALSE)*VLOOKUP($A7,Locaties[],3,FALSE),0)</f>
        <v>0</v>
      </c>
      <c r="W7" s="89">
        <f>Ruimtestaat[[#This Row],[Uitvoeringen werkdagen]]*Ruimtestaat[[#This Row],[Oppervlak (netto)]]</f>
        <v>10800</v>
      </c>
      <c r="X7" s="90">
        <f>IF(V7&gt;0,Ruimtestaat[[#This Row],[Prest. (m2 /jaar) werkdagen]]/Ruimtestaat[[#This Row],[Norm (m2/uur) werkdagen]],0)</f>
        <v>0</v>
      </c>
      <c r="Y7" s="91">
        <f>Ruimtestaat[[#This Row],[uren / jaar werkdagen]]*Tariefsopbouw!$E$35</f>
        <v>0</v>
      </c>
      <c r="Z7" s="88"/>
      <c r="AA7" s="92">
        <f>IF(Ruimtestaat[[#This Row],[Frequentie weekend]]&gt;0,VALUE(LEFT(Z7,1))*S7,0)</f>
        <v>0</v>
      </c>
      <c r="AB7" s="88">
        <f>IF($AA7&gt;0,VLOOKUP($K7,Ruimtegroepen[],3,FALSE)*VLOOKUP($M7,Vloersoorten[],3,FALSE)*VLOOKUP($Z7,Frequenties[],3,FALSE)*VLOOKUP(#REF!,Locaties[],3,FALSE),0)</f>
        <v>0</v>
      </c>
      <c r="AC7" s="90">
        <f>Ruimtestaat[[#This Row],[Uitvoeringen weekend]]*Ruimtestaat[[#This Row],[Oppervlak (netto)]]</f>
        <v>0</v>
      </c>
      <c r="AD7" s="93">
        <f>IF(AC7&gt;0,Ruimtestaat[[#This Row],[Prest. (m2 /jaar) weekend]]/Ruimtestaat[[#This Row],[Norm (m2/uur) weekend]],0)</f>
        <v>0</v>
      </c>
      <c r="AE7" s="94">
        <f>Ruimtestaat[[#This Row],[uren / jaar weekend]]*Tariefsopbouw!$D$40</f>
        <v>0</v>
      </c>
      <c r="AF7" s="66">
        <f>Ruimtestaat[[#This Row],[Prest. (m2 /jaar) weekend]]+Ruimtestaat[[#This Row],[Prest. (m2 /jaar) werkdagen]]</f>
        <v>10800</v>
      </c>
      <c r="AG7" s="66">
        <f>Ruimtestaat[[#This Row],[uren / jaar weekend]]+Ruimtestaat[[#This Row],[uren / jaar werkdagen]]</f>
        <v>0</v>
      </c>
      <c r="AH7" s="67">
        <f>Ruimtestaat[[#This Row],[kosten / jaar weekend]]+Ruimtestaat[[#This Row],[kosten / jaar werkdagen]]</f>
        <v>0</v>
      </c>
    </row>
    <row r="8" spans="1:34" ht="15" customHeight="1">
      <c r="A8" s="112">
        <v>1</v>
      </c>
      <c r="B8" s="23" t="str">
        <f>VLOOKUP(Ruimtestaat[[#This Row],[Code]],Locaties[#All],2,FALSE)</f>
        <v>RSG Levant</v>
      </c>
      <c r="C8" s="23" t="str">
        <f>VLOOKUP(Ruimtestaat[[#This Row],[Code]],Locaties[#All],4,FALSE)</f>
        <v>Horsterweg 192</v>
      </c>
      <c r="D8" s="23" t="str">
        <f>VLOOKUP(Ruimtestaat[[#This Row],[Code]],Locaties[#All],5,FALSE)</f>
        <v>3891 EV</v>
      </c>
      <c r="E8" s="23" t="str">
        <f>VLOOKUP(Ruimtestaat[[#This Row],[Code]],Locaties[#All],6,FALSE)</f>
        <v>Zeewolde</v>
      </c>
      <c r="F8" s="23"/>
      <c r="G8" s="60"/>
      <c r="H8" s="23" t="s">
        <v>535</v>
      </c>
      <c r="I8" s="27" t="s">
        <v>471</v>
      </c>
      <c r="J8" s="3" t="s">
        <v>537</v>
      </c>
      <c r="K8" s="23">
        <v>10</v>
      </c>
      <c r="L8" s="60" t="str">
        <f>VLOOKUP(K8,Ruimtegroepen[],2,FALSE)</f>
        <v>Trappenhuizen/lift</v>
      </c>
      <c r="M8" s="23" t="s">
        <v>112</v>
      </c>
      <c r="N8" s="23" t="s">
        <v>137</v>
      </c>
      <c r="O8" s="86">
        <v>22</v>
      </c>
      <c r="P8" s="86"/>
      <c r="Q8" s="95" t="str">
        <f>LEFT(VLOOKUP(Ruimtestaat[[#This Row],[Ruimte code]],Ruimtegroepen[#All],4,1),2)</f>
        <v xml:space="preserve">V </v>
      </c>
      <c r="R8" s="86"/>
      <c r="S8" s="87">
        <v>40</v>
      </c>
      <c r="T8" s="87" t="s">
        <v>2</v>
      </c>
      <c r="U8" s="88">
        <f>IF(S8&gt;0,IF(RIGHT(Ruimtestaat[[#This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8" s="88">
        <f>IF(U8&gt;0,VLOOKUP($K8,Ruimtegroepen[],3,FALSE)*VLOOKUP($M8,Vloersoorten[],3,FALSE)*VLOOKUP($T8,Frequenties[],3,FALSE)*VLOOKUP($A8,Locaties[],3,FALSE),0)</f>
        <v>0</v>
      </c>
      <c r="W8" s="89">
        <f>Ruimtestaat[[#This Row],[Uitvoeringen werkdagen]]*Ruimtestaat[[#This Row],[Oppervlak (netto)]]</f>
        <v>4400</v>
      </c>
      <c r="X8" s="90">
        <f>IF(V8&gt;0,Ruimtestaat[[#This Row],[Prest. (m2 /jaar) werkdagen]]/Ruimtestaat[[#This Row],[Norm (m2/uur) werkdagen]],0)</f>
        <v>0</v>
      </c>
      <c r="Y8" s="91">
        <f>Ruimtestaat[[#This Row],[uren / jaar werkdagen]]*Tariefsopbouw!$E$35</f>
        <v>0</v>
      </c>
      <c r="Z8" s="88"/>
      <c r="AA8" s="92">
        <f>IF(Ruimtestaat[[#This Row],[Frequentie weekend]]&gt;0,VALUE(LEFT(Z8,1))*S8,0)</f>
        <v>0</v>
      </c>
      <c r="AB8" s="88">
        <f>IF($AA8&gt;0,VLOOKUP($K8,Ruimtegroepen[],3,FALSE)*VLOOKUP($M8,Vloersoorten[],3,FALSE)*VLOOKUP($Z8,Frequenties[],3,FALSE)*VLOOKUP(#REF!,Locaties[],3,FALSE),0)</f>
        <v>0</v>
      </c>
      <c r="AC8" s="90">
        <f>Ruimtestaat[[#This Row],[Uitvoeringen weekend]]*Ruimtestaat[[#This Row],[Oppervlak (netto)]]</f>
        <v>0</v>
      </c>
      <c r="AD8" s="93">
        <f>IF(AC8&gt;0,Ruimtestaat[[#This Row],[Prest. (m2 /jaar) weekend]]/Ruimtestaat[[#This Row],[Norm (m2/uur) weekend]],0)</f>
        <v>0</v>
      </c>
      <c r="AE8" s="94">
        <f>Ruimtestaat[[#This Row],[uren / jaar weekend]]*Tariefsopbouw!$D$40</f>
        <v>0</v>
      </c>
      <c r="AF8" s="66">
        <f>Ruimtestaat[[#This Row],[Prest. (m2 /jaar) weekend]]+Ruimtestaat[[#This Row],[Prest. (m2 /jaar) werkdagen]]</f>
        <v>4400</v>
      </c>
      <c r="AG8" s="66">
        <f>Ruimtestaat[[#This Row],[uren / jaar weekend]]+Ruimtestaat[[#This Row],[uren / jaar werkdagen]]</f>
        <v>0</v>
      </c>
      <c r="AH8" s="67">
        <f>Ruimtestaat[[#This Row],[kosten / jaar weekend]]+Ruimtestaat[[#This Row],[kosten / jaar werkdagen]]</f>
        <v>0</v>
      </c>
    </row>
    <row r="9" spans="1:34" ht="15" customHeight="1">
      <c r="A9" s="112">
        <v>1</v>
      </c>
      <c r="B9" s="23" t="str">
        <f>VLOOKUP(Ruimtestaat[[#This Row],[Code]],Locaties[#All],2,FALSE)</f>
        <v>RSG Levant</v>
      </c>
      <c r="C9" s="23" t="str">
        <f>VLOOKUP(Ruimtestaat[[#This Row],[Code]],Locaties[#All],4,FALSE)</f>
        <v>Horsterweg 192</v>
      </c>
      <c r="D9" s="23" t="str">
        <f>VLOOKUP(Ruimtestaat[[#This Row],[Code]],Locaties[#All],5,FALSE)</f>
        <v>3891 EV</v>
      </c>
      <c r="E9" s="23" t="str">
        <f>VLOOKUP(Ruimtestaat[[#This Row],[Code]],Locaties[#All],6,FALSE)</f>
        <v>Zeewolde</v>
      </c>
      <c r="F9" s="23"/>
      <c r="G9" s="60"/>
      <c r="H9" s="23" t="s">
        <v>535</v>
      </c>
      <c r="I9" s="27" t="s">
        <v>472</v>
      </c>
      <c r="J9" s="3" t="s">
        <v>382</v>
      </c>
      <c r="K9" s="23">
        <v>6</v>
      </c>
      <c r="L9" s="60" t="str">
        <f>VLOOKUP(K9,Ruimtegroepen[],2,FALSE)</f>
        <v>Gangen/hallen</v>
      </c>
      <c r="M9" s="23" t="s">
        <v>112</v>
      </c>
      <c r="N9" s="23" t="s">
        <v>137</v>
      </c>
      <c r="O9" s="86">
        <v>29</v>
      </c>
      <c r="P9" s="86"/>
      <c r="Q9" s="95" t="str">
        <f>LEFT(VLOOKUP(Ruimtestaat[[#This Row],[Ruimte code]],Ruimtegroepen[#All],4,1),2)</f>
        <v xml:space="preserve">V </v>
      </c>
      <c r="R9" s="86"/>
      <c r="S9" s="87">
        <v>40</v>
      </c>
      <c r="T9" s="87" t="s">
        <v>2</v>
      </c>
      <c r="U9" s="88">
        <f>IF(S9&gt;0,IF(RIGHT(Ruimtestaat[[#This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9" s="88">
        <f>IF(U9&gt;0,VLOOKUP($K9,Ruimtegroepen[],3,FALSE)*VLOOKUP($M9,Vloersoorten[],3,FALSE)*VLOOKUP($T9,Frequenties[],3,FALSE)*VLOOKUP($A9,Locaties[],3,FALSE),0)</f>
        <v>0</v>
      </c>
      <c r="W9" s="89">
        <f>Ruimtestaat[[#This Row],[Uitvoeringen werkdagen]]*Ruimtestaat[[#This Row],[Oppervlak (netto)]]</f>
        <v>5800</v>
      </c>
      <c r="X9" s="90">
        <f>IF(V9&gt;0,Ruimtestaat[[#This Row],[Prest. (m2 /jaar) werkdagen]]/Ruimtestaat[[#This Row],[Norm (m2/uur) werkdagen]],0)</f>
        <v>0</v>
      </c>
      <c r="Y9" s="91">
        <f>Ruimtestaat[[#This Row],[uren / jaar werkdagen]]*Tariefsopbouw!$E$35</f>
        <v>0</v>
      </c>
      <c r="Z9" s="88"/>
      <c r="AA9" s="92">
        <f>IF(Ruimtestaat[[#This Row],[Frequentie weekend]]&gt;0,VALUE(LEFT(Z9,1))*S9,0)</f>
        <v>0</v>
      </c>
      <c r="AB9" s="88">
        <f>IF($AA9&gt;0,VLOOKUP($K9,Ruimtegroepen[],3,FALSE)*VLOOKUP($M9,Vloersoorten[],3,FALSE)*VLOOKUP($Z9,Frequenties[],3,FALSE)*VLOOKUP(#REF!,Locaties[],3,FALSE),0)</f>
        <v>0</v>
      </c>
      <c r="AC9" s="90">
        <f>Ruimtestaat[[#This Row],[Uitvoeringen weekend]]*Ruimtestaat[[#This Row],[Oppervlak (netto)]]</f>
        <v>0</v>
      </c>
      <c r="AD9" s="93">
        <f>IF(AC9&gt;0,Ruimtestaat[[#This Row],[Prest. (m2 /jaar) weekend]]/Ruimtestaat[[#This Row],[Norm (m2/uur) weekend]],0)</f>
        <v>0</v>
      </c>
      <c r="AE9" s="94">
        <f>Ruimtestaat[[#This Row],[uren / jaar weekend]]*Tariefsopbouw!$D$40</f>
        <v>0</v>
      </c>
      <c r="AF9" s="66">
        <f>Ruimtestaat[[#This Row],[Prest. (m2 /jaar) weekend]]+Ruimtestaat[[#This Row],[Prest. (m2 /jaar) werkdagen]]</f>
        <v>5800</v>
      </c>
      <c r="AG9" s="66">
        <f>Ruimtestaat[[#This Row],[uren / jaar weekend]]+Ruimtestaat[[#This Row],[uren / jaar werkdagen]]</f>
        <v>0</v>
      </c>
      <c r="AH9" s="67">
        <f>Ruimtestaat[[#This Row],[kosten / jaar weekend]]+Ruimtestaat[[#This Row],[kosten / jaar werkdagen]]</f>
        <v>0</v>
      </c>
    </row>
    <row r="10" spans="1:34" ht="15" customHeight="1">
      <c r="A10" s="112">
        <v>1</v>
      </c>
      <c r="B10" s="23" t="str">
        <f>VLOOKUP(Ruimtestaat[[#This Row],[Code]],Locaties[#All],2,FALSE)</f>
        <v>RSG Levant</v>
      </c>
      <c r="C10" s="23" t="str">
        <f>VLOOKUP(Ruimtestaat[[#This Row],[Code]],Locaties[#All],4,FALSE)</f>
        <v>Horsterweg 192</v>
      </c>
      <c r="D10" s="23" t="str">
        <f>VLOOKUP(Ruimtestaat[[#This Row],[Code]],Locaties[#All],5,FALSE)</f>
        <v>3891 EV</v>
      </c>
      <c r="E10" s="23" t="str">
        <f>VLOOKUP(Ruimtestaat[[#This Row],[Code]],Locaties[#All],6,FALSE)</f>
        <v>Zeewolde</v>
      </c>
      <c r="F10" s="23"/>
      <c r="G10" s="60"/>
      <c r="H10" s="23" t="s">
        <v>535</v>
      </c>
      <c r="I10" s="27" t="s">
        <v>473</v>
      </c>
      <c r="J10" s="3" t="s">
        <v>382</v>
      </c>
      <c r="K10" s="23">
        <v>6</v>
      </c>
      <c r="L10" s="60" t="str">
        <f>VLOOKUP(K10,Ruimtegroepen[],2,FALSE)</f>
        <v>Gangen/hallen</v>
      </c>
      <c r="M10" s="23" t="s">
        <v>112</v>
      </c>
      <c r="N10" s="23" t="s">
        <v>137</v>
      </c>
      <c r="O10" s="86">
        <v>35</v>
      </c>
      <c r="P10" s="86"/>
      <c r="Q10" s="95" t="str">
        <f>LEFT(VLOOKUP(Ruimtestaat[[#This Row],[Ruimte code]],Ruimtegroepen[#All],4,1),2)</f>
        <v xml:space="preserve">V </v>
      </c>
      <c r="R10" s="86"/>
      <c r="S10" s="87">
        <v>40</v>
      </c>
      <c r="T10" s="87" t="s">
        <v>2</v>
      </c>
      <c r="U10" s="88">
        <f>IF(S10&gt;0,IF(RIGHT(Ruimtestaat[[#This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0" s="88">
        <f>IF(U10&gt;0,VLOOKUP($K10,Ruimtegroepen[],3,FALSE)*VLOOKUP($M10,Vloersoorten[],3,FALSE)*VLOOKUP($T10,Frequenties[],3,FALSE)*VLOOKUP($A10,Locaties[],3,FALSE),0)</f>
        <v>0</v>
      </c>
      <c r="W10" s="89">
        <f>Ruimtestaat[[#This Row],[Uitvoeringen werkdagen]]*Ruimtestaat[[#This Row],[Oppervlak (netto)]]</f>
        <v>7000</v>
      </c>
      <c r="X10" s="90">
        <f>IF(V10&gt;0,Ruimtestaat[[#This Row],[Prest. (m2 /jaar) werkdagen]]/Ruimtestaat[[#This Row],[Norm (m2/uur) werkdagen]],0)</f>
        <v>0</v>
      </c>
      <c r="Y10" s="91">
        <f>Ruimtestaat[[#This Row],[uren / jaar werkdagen]]*Tariefsopbouw!$E$35</f>
        <v>0</v>
      </c>
      <c r="Z10" s="88"/>
      <c r="AA10" s="92">
        <f>IF(Ruimtestaat[[#This Row],[Frequentie weekend]]&gt;0,VALUE(LEFT(Z10,1))*S10,0)</f>
        <v>0</v>
      </c>
      <c r="AB10" s="88">
        <f>IF($AA10&gt;0,VLOOKUP($K10,Ruimtegroepen[],3,FALSE)*VLOOKUP($M10,Vloersoorten[],3,FALSE)*VLOOKUP($Z10,Frequenties[],3,FALSE)*VLOOKUP(#REF!,Locaties[],3,FALSE),0)</f>
        <v>0</v>
      </c>
      <c r="AC10" s="90">
        <f>Ruimtestaat[[#This Row],[Uitvoeringen weekend]]*Ruimtestaat[[#This Row],[Oppervlak (netto)]]</f>
        <v>0</v>
      </c>
      <c r="AD10" s="93">
        <f>IF(AC10&gt;0,Ruimtestaat[[#This Row],[Prest. (m2 /jaar) weekend]]/Ruimtestaat[[#This Row],[Norm (m2/uur) weekend]],0)</f>
        <v>0</v>
      </c>
      <c r="AE10" s="94">
        <f>Ruimtestaat[[#This Row],[uren / jaar weekend]]*Tariefsopbouw!$D$40</f>
        <v>0</v>
      </c>
      <c r="AF10" s="66">
        <f>Ruimtestaat[[#This Row],[Prest. (m2 /jaar) weekend]]+Ruimtestaat[[#This Row],[Prest. (m2 /jaar) werkdagen]]</f>
        <v>7000</v>
      </c>
      <c r="AG10" s="66">
        <f>Ruimtestaat[[#This Row],[uren / jaar weekend]]+Ruimtestaat[[#This Row],[uren / jaar werkdagen]]</f>
        <v>0</v>
      </c>
      <c r="AH10" s="67">
        <f>Ruimtestaat[[#This Row],[kosten / jaar weekend]]+Ruimtestaat[[#This Row],[kosten / jaar werkdagen]]</f>
        <v>0</v>
      </c>
    </row>
    <row r="11" spans="1:34" ht="15" customHeight="1">
      <c r="A11" s="112">
        <v>1</v>
      </c>
      <c r="B11" s="23" t="str">
        <f>VLOOKUP(Ruimtestaat[[#This Row],[Code]],Locaties[#All],2,FALSE)</f>
        <v>RSG Levant</v>
      </c>
      <c r="C11" s="23" t="str">
        <f>VLOOKUP(Ruimtestaat[[#This Row],[Code]],Locaties[#All],4,FALSE)</f>
        <v>Horsterweg 192</v>
      </c>
      <c r="D11" s="23" t="str">
        <f>VLOOKUP(Ruimtestaat[[#This Row],[Code]],Locaties[#All],5,FALSE)</f>
        <v>3891 EV</v>
      </c>
      <c r="E11" s="23" t="str">
        <f>VLOOKUP(Ruimtestaat[[#This Row],[Code]],Locaties[#All],6,FALSE)</f>
        <v>Zeewolde</v>
      </c>
      <c r="F11" s="23"/>
      <c r="G11" s="60"/>
      <c r="H11" s="23" t="s">
        <v>535</v>
      </c>
      <c r="I11" s="27" t="s">
        <v>474</v>
      </c>
      <c r="J11" s="3" t="s">
        <v>538</v>
      </c>
      <c r="K11" s="23">
        <v>5</v>
      </c>
      <c r="L11" s="60" t="str">
        <f>VLOOKUP(K11,Ruimtegroepen[],2,FALSE)</f>
        <v>Sanitair</v>
      </c>
      <c r="M11" s="23" t="s">
        <v>113</v>
      </c>
      <c r="N11" s="23" t="s">
        <v>661</v>
      </c>
      <c r="O11" s="86">
        <v>9</v>
      </c>
      <c r="P11" s="86"/>
      <c r="Q11" s="95" t="str">
        <f>LEFT(VLOOKUP(Ruimtestaat[[#This Row],[Ruimte code]],Ruimtegroepen[#All],4,1),2)</f>
        <v xml:space="preserve">S </v>
      </c>
      <c r="R11" s="86"/>
      <c r="S11" s="87">
        <v>40</v>
      </c>
      <c r="T11" s="87" t="s">
        <v>2</v>
      </c>
      <c r="U11" s="88">
        <f>IF(S11&gt;0,IF(RIGHT(Ruimtestaat[[#This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1" s="88">
        <f>IF(U11&gt;0,VLOOKUP($K11,Ruimtegroepen[],3,FALSE)*VLOOKUP($M11,Vloersoorten[],3,FALSE)*VLOOKUP($T11,Frequenties[],3,FALSE)*VLOOKUP($A11,Locaties[],3,FALSE),0)</f>
        <v>0</v>
      </c>
      <c r="W11" s="89">
        <f>Ruimtestaat[[#This Row],[Uitvoeringen werkdagen]]*Ruimtestaat[[#This Row],[Oppervlak (netto)]]</f>
        <v>1800</v>
      </c>
      <c r="X11" s="90">
        <f>IF(V11&gt;0,Ruimtestaat[[#This Row],[Prest. (m2 /jaar) werkdagen]]/Ruimtestaat[[#This Row],[Norm (m2/uur) werkdagen]],0)</f>
        <v>0</v>
      </c>
      <c r="Y11" s="91">
        <f>Ruimtestaat[[#This Row],[uren / jaar werkdagen]]*Tariefsopbouw!$E$35</f>
        <v>0</v>
      </c>
      <c r="Z11" s="88"/>
      <c r="AA11" s="92">
        <f>IF(Ruimtestaat[[#This Row],[Frequentie weekend]]&gt;0,VALUE(LEFT(Z11,1))*S11,0)</f>
        <v>0</v>
      </c>
      <c r="AB11" s="88">
        <f>IF($AA11&gt;0,VLOOKUP($K11,Ruimtegroepen[],3,FALSE)*VLOOKUP($M11,Vloersoorten[],3,FALSE)*VLOOKUP($Z11,Frequenties[],3,FALSE)*VLOOKUP(#REF!,Locaties[],3,FALSE),0)</f>
        <v>0</v>
      </c>
      <c r="AC11" s="90">
        <f>Ruimtestaat[[#This Row],[Uitvoeringen weekend]]*Ruimtestaat[[#This Row],[Oppervlak (netto)]]</f>
        <v>0</v>
      </c>
      <c r="AD11" s="93">
        <f>IF(AC11&gt;0,Ruimtestaat[[#This Row],[Prest. (m2 /jaar) weekend]]/Ruimtestaat[[#This Row],[Norm (m2/uur) weekend]],0)</f>
        <v>0</v>
      </c>
      <c r="AE11" s="94">
        <f>Ruimtestaat[[#This Row],[uren / jaar weekend]]*Tariefsopbouw!$D$40</f>
        <v>0</v>
      </c>
      <c r="AF11" s="66">
        <f>Ruimtestaat[[#This Row],[Prest. (m2 /jaar) weekend]]+Ruimtestaat[[#This Row],[Prest. (m2 /jaar) werkdagen]]</f>
        <v>1800</v>
      </c>
      <c r="AG11" s="66">
        <f>Ruimtestaat[[#This Row],[uren / jaar weekend]]+Ruimtestaat[[#This Row],[uren / jaar werkdagen]]</f>
        <v>0</v>
      </c>
      <c r="AH11" s="67">
        <f>Ruimtestaat[[#This Row],[kosten / jaar weekend]]+Ruimtestaat[[#This Row],[kosten / jaar werkdagen]]</f>
        <v>0</v>
      </c>
    </row>
    <row r="12" spans="1:34" ht="15" customHeight="1">
      <c r="A12" s="112">
        <v>1</v>
      </c>
      <c r="B12" s="23" t="str">
        <f>VLOOKUP(Ruimtestaat[[#This Row],[Code]],Locaties[#All],2,FALSE)</f>
        <v>RSG Levant</v>
      </c>
      <c r="C12" s="23" t="str">
        <f>VLOOKUP(Ruimtestaat[[#This Row],[Code]],Locaties[#All],4,FALSE)</f>
        <v>Horsterweg 192</v>
      </c>
      <c r="D12" s="23" t="str">
        <f>VLOOKUP(Ruimtestaat[[#This Row],[Code]],Locaties[#All],5,FALSE)</f>
        <v>3891 EV</v>
      </c>
      <c r="E12" s="23" t="str">
        <f>VLOOKUP(Ruimtestaat[[#This Row],[Code]],Locaties[#All],6,FALSE)</f>
        <v>Zeewolde</v>
      </c>
      <c r="F12" s="23"/>
      <c r="G12" s="60"/>
      <c r="H12" s="23" t="s">
        <v>535</v>
      </c>
      <c r="I12" s="27" t="s">
        <v>475</v>
      </c>
      <c r="J12" s="3" t="s">
        <v>539</v>
      </c>
      <c r="K12" s="23">
        <v>5</v>
      </c>
      <c r="L12" s="60" t="str">
        <f>VLOOKUP(K12,Ruimtegroepen[],2,FALSE)</f>
        <v>Sanitair</v>
      </c>
      <c r="M12" s="23" t="s">
        <v>113</v>
      </c>
      <c r="N12" s="23" t="s">
        <v>661</v>
      </c>
      <c r="O12" s="86">
        <v>9</v>
      </c>
      <c r="P12" s="86"/>
      <c r="Q12" s="95" t="str">
        <f>LEFT(VLOOKUP(Ruimtestaat[[#This Row],[Ruimte code]],Ruimtegroepen[#All],4,1),2)</f>
        <v xml:space="preserve">S </v>
      </c>
      <c r="R12" s="86"/>
      <c r="S12" s="87">
        <v>40</v>
      </c>
      <c r="T12" s="87" t="s">
        <v>2</v>
      </c>
      <c r="U12" s="88">
        <f>IF(S12&gt;0,IF(RIGHT(Ruimtestaat[[#This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2" s="88">
        <f>IF(U12&gt;0,VLOOKUP($K12,Ruimtegroepen[],3,FALSE)*VLOOKUP($M12,Vloersoorten[],3,FALSE)*VLOOKUP($T12,Frequenties[],3,FALSE)*VLOOKUP($A12,Locaties[],3,FALSE),0)</f>
        <v>0</v>
      </c>
      <c r="W12" s="89">
        <f>Ruimtestaat[[#This Row],[Uitvoeringen werkdagen]]*Ruimtestaat[[#This Row],[Oppervlak (netto)]]</f>
        <v>1800</v>
      </c>
      <c r="X12" s="90">
        <f>IF(V12&gt;0,Ruimtestaat[[#This Row],[Prest. (m2 /jaar) werkdagen]]/Ruimtestaat[[#This Row],[Norm (m2/uur) werkdagen]],0)</f>
        <v>0</v>
      </c>
      <c r="Y12" s="91">
        <f>Ruimtestaat[[#This Row],[uren / jaar werkdagen]]*Tariefsopbouw!$E$35</f>
        <v>0</v>
      </c>
      <c r="Z12" s="88"/>
      <c r="AA12" s="92">
        <f>IF(Ruimtestaat[[#This Row],[Frequentie weekend]]&gt;0,VALUE(LEFT(Z12,1))*S12,0)</f>
        <v>0</v>
      </c>
      <c r="AB12" s="88">
        <f>IF($AA12&gt;0,VLOOKUP($K12,Ruimtegroepen[],3,FALSE)*VLOOKUP($M12,Vloersoorten[],3,FALSE)*VLOOKUP($Z12,Frequenties[],3,FALSE)*VLOOKUP(#REF!,Locaties[],3,FALSE),0)</f>
        <v>0</v>
      </c>
      <c r="AC12" s="90">
        <f>Ruimtestaat[[#This Row],[Uitvoeringen weekend]]*Ruimtestaat[[#This Row],[Oppervlak (netto)]]</f>
        <v>0</v>
      </c>
      <c r="AD12" s="93">
        <f>IF(AC12&gt;0,Ruimtestaat[[#This Row],[Prest. (m2 /jaar) weekend]]/Ruimtestaat[[#This Row],[Norm (m2/uur) weekend]],0)</f>
        <v>0</v>
      </c>
      <c r="AE12" s="94">
        <f>Ruimtestaat[[#This Row],[uren / jaar weekend]]*Tariefsopbouw!$D$40</f>
        <v>0</v>
      </c>
      <c r="AF12" s="66">
        <f>Ruimtestaat[[#This Row],[Prest. (m2 /jaar) weekend]]+Ruimtestaat[[#This Row],[Prest. (m2 /jaar) werkdagen]]</f>
        <v>1800</v>
      </c>
      <c r="AG12" s="66">
        <f>Ruimtestaat[[#This Row],[uren / jaar weekend]]+Ruimtestaat[[#This Row],[uren / jaar werkdagen]]</f>
        <v>0</v>
      </c>
      <c r="AH12" s="67">
        <f>Ruimtestaat[[#This Row],[kosten / jaar weekend]]+Ruimtestaat[[#This Row],[kosten / jaar werkdagen]]</f>
        <v>0</v>
      </c>
    </row>
    <row r="13" spans="1:34" ht="15" customHeight="1">
      <c r="A13" s="112">
        <v>1</v>
      </c>
      <c r="B13" s="23" t="str">
        <f>VLOOKUP(Ruimtestaat[[#This Row],[Code]],Locaties[#All],2,FALSE)</f>
        <v>RSG Levant</v>
      </c>
      <c r="C13" s="23" t="str">
        <f>VLOOKUP(Ruimtestaat[[#This Row],[Code]],Locaties[#All],4,FALSE)</f>
        <v>Horsterweg 192</v>
      </c>
      <c r="D13" s="23" t="str">
        <f>VLOOKUP(Ruimtestaat[[#This Row],[Code]],Locaties[#All],5,FALSE)</f>
        <v>3891 EV</v>
      </c>
      <c r="E13" s="23" t="str">
        <f>VLOOKUP(Ruimtestaat[[#This Row],[Code]],Locaties[#All],6,FALSE)</f>
        <v>Zeewolde</v>
      </c>
      <c r="F13" s="23"/>
      <c r="G13" s="60"/>
      <c r="H13" s="23" t="s">
        <v>535</v>
      </c>
      <c r="I13" s="27" t="s">
        <v>476</v>
      </c>
      <c r="J13" s="3" t="s">
        <v>540</v>
      </c>
      <c r="K13" s="23">
        <v>23</v>
      </c>
      <c r="L13" s="60" t="str">
        <f>VLOOKUP(K13,Ruimtegroepen[],2,FALSE)</f>
        <v>Niet in onderhoud</v>
      </c>
      <c r="M13" s="23" t="s">
        <v>112</v>
      </c>
      <c r="N13" s="23" t="s">
        <v>137</v>
      </c>
      <c r="O13" s="86"/>
      <c r="P13" s="86">
        <v>6</v>
      </c>
      <c r="Q13" s="95" t="str">
        <f>LEFT(VLOOKUP(Ruimtestaat[[#This Row],[Ruimte code]],Ruimtegroepen[#All],4,1),2)</f>
        <v/>
      </c>
      <c r="R13" s="86"/>
      <c r="S13" s="87"/>
      <c r="T13" s="87"/>
      <c r="U13" s="88">
        <f>IF(S13&gt;0,IF(RIGHT(Ruimtestaat[[#This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13" s="88">
        <f>IF(U13&gt;0,VLOOKUP($K13,Ruimtegroepen[],3,FALSE)*VLOOKUP($M13,Vloersoorten[],3,FALSE)*VLOOKUP($T13,Frequenties[],3,FALSE)*VLOOKUP($A13,Locaties[],3,FALSE),0)</f>
        <v>0</v>
      </c>
      <c r="W13" s="89">
        <f>Ruimtestaat[[#This Row],[Uitvoeringen werkdagen]]*Ruimtestaat[[#This Row],[Oppervlak (netto)]]</f>
        <v>0</v>
      </c>
      <c r="X13" s="90">
        <f>IF(V13&gt;0,Ruimtestaat[[#This Row],[Prest. (m2 /jaar) werkdagen]]/Ruimtestaat[[#This Row],[Norm (m2/uur) werkdagen]],0)</f>
        <v>0</v>
      </c>
      <c r="Y13" s="91">
        <f>Ruimtestaat[[#This Row],[uren / jaar werkdagen]]*Tariefsopbouw!$E$35</f>
        <v>0</v>
      </c>
      <c r="Z13" s="88"/>
      <c r="AA13" s="92">
        <f>IF(Ruimtestaat[[#This Row],[Frequentie weekend]]&gt;0,VALUE(LEFT(Z13,1))*S13,0)</f>
        <v>0</v>
      </c>
      <c r="AB13" s="88">
        <f>IF($AA13&gt;0,VLOOKUP($K13,Ruimtegroepen[],3,FALSE)*VLOOKUP($M13,Vloersoorten[],3,FALSE)*VLOOKUP($Z13,Frequenties[],3,FALSE)*VLOOKUP(#REF!,Locaties[],3,FALSE),0)</f>
        <v>0</v>
      </c>
      <c r="AC13" s="90">
        <f>Ruimtestaat[[#This Row],[Uitvoeringen weekend]]*Ruimtestaat[[#This Row],[Oppervlak (netto)]]</f>
        <v>0</v>
      </c>
      <c r="AD13" s="93">
        <f>IF(AC13&gt;0,Ruimtestaat[[#This Row],[Prest. (m2 /jaar) weekend]]/Ruimtestaat[[#This Row],[Norm (m2/uur) weekend]],0)</f>
        <v>0</v>
      </c>
      <c r="AE13" s="94">
        <f>Ruimtestaat[[#This Row],[uren / jaar weekend]]*Tariefsopbouw!$D$40</f>
        <v>0</v>
      </c>
      <c r="AF13" s="66">
        <f>Ruimtestaat[[#This Row],[Prest. (m2 /jaar) weekend]]+Ruimtestaat[[#This Row],[Prest. (m2 /jaar) werkdagen]]</f>
        <v>0</v>
      </c>
      <c r="AG13" s="66">
        <f>Ruimtestaat[[#This Row],[uren / jaar weekend]]+Ruimtestaat[[#This Row],[uren / jaar werkdagen]]</f>
        <v>0</v>
      </c>
      <c r="AH13" s="67">
        <f>Ruimtestaat[[#This Row],[kosten / jaar weekend]]+Ruimtestaat[[#This Row],[kosten / jaar werkdagen]]</f>
        <v>0</v>
      </c>
    </row>
    <row r="14" spans="1:34" ht="15" customHeight="1">
      <c r="A14" s="112">
        <v>1</v>
      </c>
      <c r="B14" s="23" t="str">
        <f>VLOOKUP(Ruimtestaat[[#This Row],[Code]],Locaties[#All],2,FALSE)</f>
        <v>RSG Levant</v>
      </c>
      <c r="C14" s="23" t="str">
        <f>VLOOKUP(Ruimtestaat[[#This Row],[Code]],Locaties[#All],4,FALSE)</f>
        <v>Horsterweg 192</v>
      </c>
      <c r="D14" s="23" t="str">
        <f>VLOOKUP(Ruimtestaat[[#This Row],[Code]],Locaties[#All],5,FALSE)</f>
        <v>3891 EV</v>
      </c>
      <c r="E14" s="23" t="str">
        <f>VLOOKUP(Ruimtestaat[[#This Row],[Code]],Locaties[#All],6,FALSE)</f>
        <v>Zeewolde</v>
      </c>
      <c r="F14" s="23"/>
      <c r="G14" s="60"/>
      <c r="H14" s="23" t="s">
        <v>535</v>
      </c>
      <c r="I14" s="27" t="s">
        <v>477</v>
      </c>
      <c r="J14" s="3" t="s">
        <v>541</v>
      </c>
      <c r="K14" s="23">
        <v>2</v>
      </c>
      <c r="L14" s="60" t="str">
        <f>VLOOKUP(K14,Ruimtegroepen[],2,FALSE)</f>
        <v>Kantoren</v>
      </c>
      <c r="M14" s="23" t="s">
        <v>112</v>
      </c>
      <c r="N14" s="23" t="s">
        <v>137</v>
      </c>
      <c r="O14" s="86">
        <v>24</v>
      </c>
      <c r="P14" s="86"/>
      <c r="Q14" s="95" t="str">
        <f>LEFT(VLOOKUP(Ruimtestaat[[#This Row],[Ruimte code]],Ruimtegroepen[#All],4,1),2)</f>
        <v xml:space="preserve">B </v>
      </c>
      <c r="R14" s="86"/>
      <c r="S14" s="87">
        <v>40</v>
      </c>
      <c r="T14" s="87" t="s">
        <v>17</v>
      </c>
      <c r="U14" s="88">
        <f>IF(S14&gt;0,IF(RIGHT(Ruimtestaat[[#This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14" s="88">
        <f>IF(U14&gt;0,VLOOKUP($K14,Ruimtegroepen[],3,FALSE)*VLOOKUP($M14,Vloersoorten[],3,FALSE)*VLOOKUP($T14,Frequenties[],3,FALSE)*VLOOKUP($A14,Locaties[],3,FALSE),0)</f>
        <v>0</v>
      </c>
      <c r="W14" s="89">
        <f>Ruimtestaat[[#This Row],[Uitvoeringen werkdagen]]*Ruimtestaat[[#This Row],[Oppervlak (netto)]]</f>
        <v>1920</v>
      </c>
      <c r="X14" s="90">
        <f>IF(V14&gt;0,Ruimtestaat[[#This Row],[Prest. (m2 /jaar) werkdagen]]/Ruimtestaat[[#This Row],[Norm (m2/uur) werkdagen]],0)</f>
        <v>0</v>
      </c>
      <c r="Y14" s="91">
        <f>Ruimtestaat[[#This Row],[uren / jaar werkdagen]]*Tariefsopbouw!$E$35</f>
        <v>0</v>
      </c>
      <c r="Z14" s="88"/>
      <c r="AA14" s="92">
        <f>IF(Ruimtestaat[[#This Row],[Frequentie weekend]]&gt;0,VALUE(LEFT(Z14,1))*S14,0)</f>
        <v>0</v>
      </c>
      <c r="AB14" s="88">
        <f>IF($AA14&gt;0,VLOOKUP($K14,Ruimtegroepen[],3,FALSE)*VLOOKUP($M14,Vloersoorten[],3,FALSE)*VLOOKUP($Z14,Frequenties[],3,FALSE)*VLOOKUP(#REF!,Locaties[],3,FALSE),0)</f>
        <v>0</v>
      </c>
      <c r="AC14" s="90">
        <f>Ruimtestaat[[#This Row],[Uitvoeringen weekend]]*Ruimtestaat[[#This Row],[Oppervlak (netto)]]</f>
        <v>0</v>
      </c>
      <c r="AD14" s="93">
        <f>IF(AC14&gt;0,Ruimtestaat[[#This Row],[Prest. (m2 /jaar) weekend]]/Ruimtestaat[[#This Row],[Norm (m2/uur) weekend]],0)</f>
        <v>0</v>
      </c>
      <c r="AE14" s="94">
        <f>Ruimtestaat[[#This Row],[uren / jaar weekend]]*Tariefsopbouw!$D$40</f>
        <v>0</v>
      </c>
      <c r="AF14" s="66">
        <f>Ruimtestaat[[#This Row],[Prest. (m2 /jaar) weekend]]+Ruimtestaat[[#This Row],[Prest. (m2 /jaar) werkdagen]]</f>
        <v>1920</v>
      </c>
      <c r="AG14" s="66">
        <f>Ruimtestaat[[#This Row],[uren / jaar weekend]]+Ruimtestaat[[#This Row],[uren / jaar werkdagen]]</f>
        <v>0</v>
      </c>
      <c r="AH14" s="67">
        <f>Ruimtestaat[[#This Row],[kosten / jaar weekend]]+Ruimtestaat[[#This Row],[kosten / jaar werkdagen]]</f>
        <v>0</v>
      </c>
    </row>
    <row r="15" spans="1:34" ht="12.75" customHeight="1">
      <c r="A15" s="112">
        <v>1</v>
      </c>
      <c r="B15" s="23" t="str">
        <f>VLOOKUP(Ruimtestaat[[#This Row],[Code]],Locaties[#All],2,FALSE)</f>
        <v>RSG Levant</v>
      </c>
      <c r="C15" s="23" t="str">
        <f>VLOOKUP(Ruimtestaat[[#This Row],[Code]],Locaties[#All],4,FALSE)</f>
        <v>Horsterweg 192</v>
      </c>
      <c r="D15" s="23" t="str">
        <f>VLOOKUP(Ruimtestaat[[#This Row],[Code]],Locaties[#All],5,FALSE)</f>
        <v>3891 EV</v>
      </c>
      <c r="E15" s="23" t="str">
        <f>VLOOKUP(Ruimtestaat[[#This Row],[Code]],Locaties[#All],6,FALSE)</f>
        <v>Zeewolde</v>
      </c>
      <c r="F15" s="23"/>
      <c r="G15" s="60"/>
      <c r="H15" s="23" t="s">
        <v>535</v>
      </c>
      <c r="I15" s="27" t="s">
        <v>478</v>
      </c>
      <c r="J15" s="3" t="s">
        <v>542</v>
      </c>
      <c r="K15" s="23">
        <v>16</v>
      </c>
      <c r="L15" s="60" t="str">
        <f>VLOOKUP(K15,Ruimtegroepen[],2,FALSE)</f>
        <v>Leslokalen theorie</v>
      </c>
      <c r="M15" s="23" t="s">
        <v>112</v>
      </c>
      <c r="N15" s="23" t="s">
        <v>137</v>
      </c>
      <c r="O15" s="86">
        <v>54</v>
      </c>
      <c r="P15" s="86"/>
      <c r="Q15" s="95" t="str">
        <f>LEFT(VLOOKUP(Ruimtestaat[[#This Row],[Ruimte code]],Ruimtegroepen[#All],4,1),2)</f>
        <v xml:space="preserve">L </v>
      </c>
      <c r="R15" s="86"/>
      <c r="S15" s="87">
        <v>40</v>
      </c>
      <c r="T15" s="87" t="s">
        <v>2</v>
      </c>
      <c r="U15" s="88">
        <f>IF(S15&gt;0,IF(RIGHT(Ruimtestaat[[#This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5" s="88">
        <f>IF(U15&gt;0,VLOOKUP($K15,Ruimtegroepen[],3,FALSE)*VLOOKUP($M15,Vloersoorten[],3,FALSE)*VLOOKUP($T15,Frequenties[],3,FALSE)*VLOOKUP($A15,Locaties[],3,FALSE),0)</f>
        <v>0</v>
      </c>
      <c r="W15" s="89">
        <f>Ruimtestaat[[#This Row],[Uitvoeringen werkdagen]]*Ruimtestaat[[#This Row],[Oppervlak (netto)]]</f>
        <v>10800</v>
      </c>
      <c r="X15" s="90">
        <f>IF(V15&gt;0,Ruimtestaat[[#This Row],[Prest. (m2 /jaar) werkdagen]]/Ruimtestaat[[#This Row],[Norm (m2/uur) werkdagen]],0)</f>
        <v>0</v>
      </c>
      <c r="Y15" s="91">
        <f>Ruimtestaat[[#This Row],[uren / jaar werkdagen]]*Tariefsopbouw!$E$35</f>
        <v>0</v>
      </c>
      <c r="Z15" s="88"/>
      <c r="AA15" s="92">
        <f>IF(Ruimtestaat[[#This Row],[Frequentie weekend]]&gt;0,VALUE(LEFT(Z15,1))*S15,0)</f>
        <v>0</v>
      </c>
      <c r="AB15" s="88">
        <f>IF($AA15&gt;0,VLOOKUP($K15,Ruimtegroepen[],3,FALSE)*VLOOKUP($M15,Vloersoorten[],3,FALSE)*VLOOKUP($Z15,Frequenties[],3,FALSE)*VLOOKUP(#REF!,Locaties[],3,FALSE),0)</f>
        <v>0</v>
      </c>
      <c r="AC15" s="90">
        <f>Ruimtestaat[[#This Row],[Uitvoeringen weekend]]*Ruimtestaat[[#This Row],[Oppervlak (netto)]]</f>
        <v>0</v>
      </c>
      <c r="AD15" s="93">
        <f>IF(AC15&gt;0,Ruimtestaat[[#This Row],[Prest. (m2 /jaar) weekend]]/Ruimtestaat[[#This Row],[Norm (m2/uur) weekend]],0)</f>
        <v>0</v>
      </c>
      <c r="AE15" s="94">
        <f>Ruimtestaat[[#This Row],[uren / jaar weekend]]*Tariefsopbouw!$D$40</f>
        <v>0</v>
      </c>
      <c r="AF15" s="66">
        <f>Ruimtestaat[[#This Row],[Prest. (m2 /jaar) weekend]]+Ruimtestaat[[#This Row],[Prest. (m2 /jaar) werkdagen]]</f>
        <v>10800</v>
      </c>
      <c r="AG15" s="66">
        <f>Ruimtestaat[[#This Row],[uren / jaar weekend]]+Ruimtestaat[[#This Row],[uren / jaar werkdagen]]</f>
        <v>0</v>
      </c>
      <c r="AH15" s="67">
        <f>Ruimtestaat[[#This Row],[kosten / jaar weekend]]+Ruimtestaat[[#This Row],[kosten / jaar werkdagen]]</f>
        <v>0</v>
      </c>
    </row>
    <row r="16" spans="1:34" ht="15" customHeight="1">
      <c r="A16" s="112">
        <v>1</v>
      </c>
      <c r="B16" s="23" t="str">
        <f>VLOOKUP(Ruimtestaat[[#This Row],[Code]],Locaties[#All],2,FALSE)</f>
        <v>RSG Levant</v>
      </c>
      <c r="C16" s="23" t="str">
        <f>VLOOKUP(Ruimtestaat[[#This Row],[Code]],Locaties[#All],4,FALSE)</f>
        <v>Horsterweg 192</v>
      </c>
      <c r="D16" s="23" t="str">
        <f>VLOOKUP(Ruimtestaat[[#This Row],[Code]],Locaties[#All],5,FALSE)</f>
        <v>3891 EV</v>
      </c>
      <c r="E16" s="23" t="str">
        <f>VLOOKUP(Ruimtestaat[[#This Row],[Code]],Locaties[#All],6,FALSE)</f>
        <v>Zeewolde</v>
      </c>
      <c r="F16" s="23"/>
      <c r="G16" s="60"/>
      <c r="H16" s="23" t="s">
        <v>535</v>
      </c>
      <c r="I16" s="27" t="s">
        <v>479</v>
      </c>
      <c r="J16" s="3" t="s">
        <v>542</v>
      </c>
      <c r="K16" s="23">
        <v>16</v>
      </c>
      <c r="L16" s="60" t="str">
        <f>VLOOKUP(K16,Ruimtegroepen[],2,FALSE)</f>
        <v>Leslokalen theorie</v>
      </c>
      <c r="M16" s="23" t="s">
        <v>112</v>
      </c>
      <c r="N16" s="23" t="s">
        <v>137</v>
      </c>
      <c r="O16" s="86">
        <v>55</v>
      </c>
      <c r="P16" s="86"/>
      <c r="Q16" s="95" t="str">
        <f>LEFT(VLOOKUP(Ruimtestaat[[#This Row],[Ruimte code]],Ruimtegroepen[#All],4,1),2)</f>
        <v xml:space="preserve">L </v>
      </c>
      <c r="R16" s="86"/>
      <c r="S16" s="87">
        <v>40</v>
      </c>
      <c r="T16" s="87" t="s">
        <v>2</v>
      </c>
      <c r="U16" s="88">
        <f>IF(S16&gt;0,IF(RIGHT(Ruimtestaat[[#This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6" s="88">
        <f>IF(U16&gt;0,VLOOKUP($K16,Ruimtegroepen[],3,FALSE)*VLOOKUP($M16,Vloersoorten[],3,FALSE)*VLOOKUP($T16,Frequenties[],3,FALSE)*VLOOKUP($A16,Locaties[],3,FALSE),0)</f>
        <v>0</v>
      </c>
      <c r="W16" s="89">
        <f>Ruimtestaat[[#This Row],[Uitvoeringen werkdagen]]*Ruimtestaat[[#This Row],[Oppervlak (netto)]]</f>
        <v>11000</v>
      </c>
      <c r="X16" s="90">
        <f>IF(V16&gt;0,Ruimtestaat[[#This Row],[Prest. (m2 /jaar) werkdagen]]/Ruimtestaat[[#This Row],[Norm (m2/uur) werkdagen]],0)</f>
        <v>0</v>
      </c>
      <c r="Y16" s="91">
        <f>Ruimtestaat[[#This Row],[uren / jaar werkdagen]]*Tariefsopbouw!$E$35</f>
        <v>0</v>
      </c>
      <c r="Z16" s="88"/>
      <c r="AA16" s="92">
        <f>IF(Ruimtestaat[[#This Row],[Frequentie weekend]]&gt;0,VALUE(LEFT(Z16,1))*S16,0)</f>
        <v>0</v>
      </c>
      <c r="AB16" s="88">
        <f>IF($AA16&gt;0,VLOOKUP($K16,Ruimtegroepen[],3,FALSE)*VLOOKUP($M16,Vloersoorten[],3,FALSE)*VLOOKUP($Z16,Frequenties[],3,FALSE)*VLOOKUP(#REF!,Locaties[],3,FALSE),0)</f>
        <v>0</v>
      </c>
      <c r="AC16" s="90">
        <f>Ruimtestaat[[#This Row],[Uitvoeringen weekend]]*Ruimtestaat[[#This Row],[Oppervlak (netto)]]</f>
        <v>0</v>
      </c>
      <c r="AD16" s="93">
        <f>IF(AC16&gt;0,Ruimtestaat[[#This Row],[Prest. (m2 /jaar) weekend]]/Ruimtestaat[[#This Row],[Norm (m2/uur) weekend]],0)</f>
        <v>0</v>
      </c>
      <c r="AE16" s="94">
        <f>Ruimtestaat[[#This Row],[uren / jaar weekend]]*Tariefsopbouw!$D$40</f>
        <v>0</v>
      </c>
      <c r="AF16" s="66">
        <f>Ruimtestaat[[#This Row],[Prest. (m2 /jaar) weekend]]+Ruimtestaat[[#This Row],[Prest. (m2 /jaar) werkdagen]]</f>
        <v>11000</v>
      </c>
      <c r="AG16" s="66">
        <f>Ruimtestaat[[#This Row],[uren / jaar weekend]]+Ruimtestaat[[#This Row],[uren / jaar werkdagen]]</f>
        <v>0</v>
      </c>
      <c r="AH16" s="67">
        <f>Ruimtestaat[[#This Row],[kosten / jaar weekend]]+Ruimtestaat[[#This Row],[kosten / jaar werkdagen]]</f>
        <v>0</v>
      </c>
    </row>
    <row r="17" spans="1:34" ht="15" customHeight="1">
      <c r="A17" s="112">
        <v>1</v>
      </c>
      <c r="B17" s="23" t="str">
        <f>VLOOKUP(Ruimtestaat[[#This Row],[Code]],Locaties[#All],2,FALSE)</f>
        <v>RSG Levant</v>
      </c>
      <c r="C17" s="23" t="str">
        <f>VLOOKUP(Ruimtestaat[[#This Row],[Code]],Locaties[#All],4,FALSE)</f>
        <v>Horsterweg 192</v>
      </c>
      <c r="D17" s="23" t="str">
        <f>VLOOKUP(Ruimtestaat[[#This Row],[Code]],Locaties[#All],5,FALSE)</f>
        <v>3891 EV</v>
      </c>
      <c r="E17" s="23" t="str">
        <f>VLOOKUP(Ruimtestaat[[#This Row],[Code]],Locaties[#All],6,FALSE)</f>
        <v>Zeewolde</v>
      </c>
      <c r="F17" s="23"/>
      <c r="G17" s="60"/>
      <c r="H17" s="23" t="s">
        <v>535</v>
      </c>
      <c r="I17" s="27" t="s">
        <v>480</v>
      </c>
      <c r="J17" s="3" t="s">
        <v>543</v>
      </c>
      <c r="K17" s="23">
        <v>8</v>
      </c>
      <c r="L17" s="60" t="str">
        <f>VLOOKUP(K17,Ruimtegroepen[],2,FALSE)</f>
        <v>Mediatheek / OLC</v>
      </c>
      <c r="M17" s="23" t="s">
        <v>112</v>
      </c>
      <c r="N17" s="23" t="s">
        <v>137</v>
      </c>
      <c r="O17" s="86">
        <v>12</v>
      </c>
      <c r="P17" s="86"/>
      <c r="Q17" s="95" t="str">
        <f>LEFT(VLOOKUP(Ruimtestaat[[#This Row],[Ruimte code]],Ruimtegroepen[#All],4,1),2)</f>
        <v xml:space="preserve">L </v>
      </c>
      <c r="R17" s="86"/>
      <c r="S17" s="87">
        <v>40</v>
      </c>
      <c r="T17" s="87" t="s">
        <v>2</v>
      </c>
      <c r="U17" s="88">
        <f>IF(S17&gt;0,IF(RIGHT(Ruimtestaat[[#This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7" s="88">
        <f>IF(U17&gt;0,VLOOKUP($K17,Ruimtegroepen[],3,FALSE)*VLOOKUP($M17,Vloersoorten[],3,FALSE)*VLOOKUP($T17,Frequenties[],3,FALSE)*VLOOKUP($A17,Locaties[],3,FALSE),0)</f>
        <v>0</v>
      </c>
      <c r="W17" s="89">
        <f>Ruimtestaat[[#This Row],[Uitvoeringen werkdagen]]*Ruimtestaat[[#This Row],[Oppervlak (netto)]]</f>
        <v>2400</v>
      </c>
      <c r="X17" s="90">
        <f>IF(V17&gt;0,Ruimtestaat[[#This Row],[Prest. (m2 /jaar) werkdagen]]/Ruimtestaat[[#This Row],[Norm (m2/uur) werkdagen]],0)</f>
        <v>0</v>
      </c>
      <c r="Y17" s="91">
        <f>Ruimtestaat[[#This Row],[uren / jaar werkdagen]]*Tariefsopbouw!$E$35</f>
        <v>0</v>
      </c>
      <c r="Z17" s="88"/>
      <c r="AA17" s="92">
        <f>IF(Ruimtestaat[[#This Row],[Frequentie weekend]]&gt;0,VALUE(LEFT(Z17,1))*S17,0)</f>
        <v>0</v>
      </c>
      <c r="AB17" s="88">
        <f>IF($AA17&gt;0,VLOOKUP($K17,Ruimtegroepen[],3,FALSE)*VLOOKUP($M17,Vloersoorten[],3,FALSE)*VLOOKUP($Z17,Frequenties[],3,FALSE)*VLOOKUP(#REF!,Locaties[],3,FALSE),0)</f>
        <v>0</v>
      </c>
      <c r="AC17" s="90">
        <f>Ruimtestaat[[#This Row],[Uitvoeringen weekend]]*Ruimtestaat[[#This Row],[Oppervlak (netto)]]</f>
        <v>0</v>
      </c>
      <c r="AD17" s="93">
        <f>IF(AC17&gt;0,Ruimtestaat[[#This Row],[Prest. (m2 /jaar) weekend]]/Ruimtestaat[[#This Row],[Norm (m2/uur) weekend]],0)</f>
        <v>0</v>
      </c>
      <c r="AE17" s="94">
        <f>Ruimtestaat[[#This Row],[uren / jaar weekend]]*Tariefsopbouw!$D$40</f>
        <v>0</v>
      </c>
      <c r="AF17" s="66">
        <f>Ruimtestaat[[#This Row],[Prest. (m2 /jaar) weekend]]+Ruimtestaat[[#This Row],[Prest. (m2 /jaar) werkdagen]]</f>
        <v>2400</v>
      </c>
      <c r="AG17" s="66">
        <f>Ruimtestaat[[#This Row],[uren / jaar weekend]]+Ruimtestaat[[#This Row],[uren / jaar werkdagen]]</f>
        <v>0</v>
      </c>
      <c r="AH17" s="67">
        <f>Ruimtestaat[[#This Row],[kosten / jaar weekend]]+Ruimtestaat[[#This Row],[kosten / jaar werkdagen]]</f>
        <v>0</v>
      </c>
    </row>
    <row r="18" spans="1:34" ht="15" customHeight="1">
      <c r="A18" s="112">
        <v>1</v>
      </c>
      <c r="B18" s="23" t="str">
        <f>VLOOKUP(Ruimtestaat[[#This Row],[Code]],Locaties[#All],2,FALSE)</f>
        <v>RSG Levant</v>
      </c>
      <c r="C18" s="23" t="str">
        <f>VLOOKUP(Ruimtestaat[[#This Row],[Code]],Locaties[#All],4,FALSE)</f>
        <v>Horsterweg 192</v>
      </c>
      <c r="D18" s="23" t="str">
        <f>VLOOKUP(Ruimtestaat[[#This Row],[Code]],Locaties[#All],5,FALSE)</f>
        <v>3891 EV</v>
      </c>
      <c r="E18" s="23" t="str">
        <f>VLOOKUP(Ruimtestaat[[#This Row],[Code]],Locaties[#All],6,FALSE)</f>
        <v>Zeewolde</v>
      </c>
      <c r="F18" s="23"/>
      <c r="G18" s="60"/>
      <c r="H18" s="23" t="s">
        <v>535</v>
      </c>
      <c r="I18" s="27" t="s">
        <v>481</v>
      </c>
      <c r="J18" s="3" t="s">
        <v>542</v>
      </c>
      <c r="K18" s="23">
        <v>16</v>
      </c>
      <c r="L18" s="60" t="str">
        <f>VLOOKUP(K18,Ruimtegroepen[],2,FALSE)</f>
        <v>Leslokalen theorie</v>
      </c>
      <c r="M18" s="23" t="s">
        <v>112</v>
      </c>
      <c r="N18" s="23" t="s">
        <v>137</v>
      </c>
      <c r="O18" s="86">
        <v>51</v>
      </c>
      <c r="P18" s="86"/>
      <c r="Q18" s="95" t="str">
        <f>LEFT(VLOOKUP(Ruimtestaat[[#This Row],[Ruimte code]],Ruimtegroepen[#All],4,1),2)</f>
        <v xml:space="preserve">L </v>
      </c>
      <c r="R18" s="86"/>
      <c r="S18" s="87">
        <v>40</v>
      </c>
      <c r="T18" s="87" t="s">
        <v>2</v>
      </c>
      <c r="U18" s="88">
        <f>IF(S18&gt;0,IF(RIGHT(Ruimtestaat[[#This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8" s="88">
        <f>IF(U18&gt;0,VLOOKUP($K18,Ruimtegroepen[],3,FALSE)*VLOOKUP($M18,Vloersoorten[],3,FALSE)*VLOOKUP($T18,Frequenties[],3,FALSE)*VLOOKUP($A18,Locaties[],3,FALSE),0)</f>
        <v>0</v>
      </c>
      <c r="W18" s="89">
        <f>Ruimtestaat[[#This Row],[Uitvoeringen werkdagen]]*Ruimtestaat[[#This Row],[Oppervlak (netto)]]</f>
        <v>10200</v>
      </c>
      <c r="X18" s="90">
        <f>IF(V18&gt;0,Ruimtestaat[[#This Row],[Prest. (m2 /jaar) werkdagen]]/Ruimtestaat[[#This Row],[Norm (m2/uur) werkdagen]],0)</f>
        <v>0</v>
      </c>
      <c r="Y18" s="91">
        <f>Ruimtestaat[[#This Row],[uren / jaar werkdagen]]*Tariefsopbouw!$E$35</f>
        <v>0</v>
      </c>
      <c r="Z18" s="88"/>
      <c r="AA18" s="92">
        <f>IF(Ruimtestaat[[#This Row],[Frequentie weekend]]&gt;0,VALUE(LEFT(Z18,1))*S18,0)</f>
        <v>0</v>
      </c>
      <c r="AB18" s="88">
        <f>IF($AA18&gt;0,VLOOKUP($K18,Ruimtegroepen[],3,FALSE)*VLOOKUP($M18,Vloersoorten[],3,FALSE)*VLOOKUP($Z18,Frequenties[],3,FALSE)*VLOOKUP(#REF!,Locaties[],3,FALSE),0)</f>
        <v>0</v>
      </c>
      <c r="AC18" s="90">
        <f>Ruimtestaat[[#This Row],[Uitvoeringen weekend]]*Ruimtestaat[[#This Row],[Oppervlak (netto)]]</f>
        <v>0</v>
      </c>
      <c r="AD18" s="93">
        <f>IF(AC18&gt;0,Ruimtestaat[[#This Row],[Prest. (m2 /jaar) weekend]]/Ruimtestaat[[#This Row],[Norm (m2/uur) weekend]],0)</f>
        <v>0</v>
      </c>
      <c r="AE18" s="94">
        <f>Ruimtestaat[[#This Row],[uren / jaar weekend]]*Tariefsopbouw!$D$40</f>
        <v>0</v>
      </c>
      <c r="AF18" s="66">
        <f>Ruimtestaat[[#This Row],[Prest. (m2 /jaar) weekend]]+Ruimtestaat[[#This Row],[Prest. (m2 /jaar) werkdagen]]</f>
        <v>10200</v>
      </c>
      <c r="AG18" s="66">
        <f>Ruimtestaat[[#This Row],[uren / jaar weekend]]+Ruimtestaat[[#This Row],[uren / jaar werkdagen]]</f>
        <v>0</v>
      </c>
      <c r="AH18" s="67">
        <f>Ruimtestaat[[#This Row],[kosten / jaar weekend]]+Ruimtestaat[[#This Row],[kosten / jaar werkdagen]]</f>
        <v>0</v>
      </c>
    </row>
    <row r="19" spans="1:34" ht="15" customHeight="1">
      <c r="A19" s="112">
        <v>1</v>
      </c>
      <c r="B19" s="23" t="str">
        <f>VLOOKUP(Ruimtestaat[[#This Row],[Code]],Locaties[#All],2,FALSE)</f>
        <v>RSG Levant</v>
      </c>
      <c r="C19" s="23" t="str">
        <f>VLOOKUP(Ruimtestaat[[#This Row],[Code]],Locaties[#All],4,FALSE)</f>
        <v>Horsterweg 192</v>
      </c>
      <c r="D19" s="23" t="str">
        <f>VLOOKUP(Ruimtestaat[[#This Row],[Code]],Locaties[#All],5,FALSE)</f>
        <v>3891 EV</v>
      </c>
      <c r="E19" s="23" t="str">
        <f>VLOOKUP(Ruimtestaat[[#This Row],[Code]],Locaties[#All],6,FALSE)</f>
        <v>Zeewolde</v>
      </c>
      <c r="F19" s="23"/>
      <c r="G19" s="60"/>
      <c r="H19" s="23" t="s">
        <v>535</v>
      </c>
      <c r="I19" s="27" t="s">
        <v>482</v>
      </c>
      <c r="J19" s="3" t="s">
        <v>542</v>
      </c>
      <c r="K19" s="23">
        <v>16</v>
      </c>
      <c r="L19" s="60" t="str">
        <f>VLOOKUP(K19,Ruimtegroepen[],2,FALSE)</f>
        <v>Leslokalen theorie</v>
      </c>
      <c r="M19" s="23" t="s">
        <v>112</v>
      </c>
      <c r="N19" s="23" t="s">
        <v>137</v>
      </c>
      <c r="O19" s="86">
        <v>50</v>
      </c>
      <c r="P19" s="86"/>
      <c r="Q19" s="95" t="str">
        <f>LEFT(VLOOKUP(Ruimtestaat[[#This Row],[Ruimte code]],Ruimtegroepen[#All],4,1),2)</f>
        <v xml:space="preserve">L </v>
      </c>
      <c r="R19" s="86"/>
      <c r="S19" s="87">
        <v>40</v>
      </c>
      <c r="T19" s="87" t="s">
        <v>2</v>
      </c>
      <c r="U19" s="88">
        <f>IF(S19&gt;0,IF(RIGHT(Ruimtestaat[[#This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9" s="88">
        <f>IF(U19&gt;0,VLOOKUP($K19,Ruimtegroepen[],3,FALSE)*VLOOKUP($M19,Vloersoorten[],3,FALSE)*VLOOKUP($T19,Frequenties[],3,FALSE)*VLOOKUP($A19,Locaties[],3,FALSE),0)</f>
        <v>0</v>
      </c>
      <c r="W19" s="89">
        <f>Ruimtestaat[[#This Row],[Uitvoeringen werkdagen]]*Ruimtestaat[[#This Row],[Oppervlak (netto)]]</f>
        <v>10000</v>
      </c>
      <c r="X19" s="90">
        <f>IF(V19&gt;0,Ruimtestaat[[#This Row],[Prest. (m2 /jaar) werkdagen]]/Ruimtestaat[[#This Row],[Norm (m2/uur) werkdagen]],0)</f>
        <v>0</v>
      </c>
      <c r="Y19" s="91">
        <f>Ruimtestaat[[#This Row],[uren / jaar werkdagen]]*Tariefsopbouw!$E$35</f>
        <v>0</v>
      </c>
      <c r="Z19" s="88"/>
      <c r="AA19" s="92">
        <f>IF(Ruimtestaat[[#This Row],[Frequentie weekend]]&gt;0,VALUE(LEFT(Z19,1))*S19,0)</f>
        <v>0</v>
      </c>
      <c r="AB19" s="88">
        <f>IF($AA19&gt;0,VLOOKUP($K19,Ruimtegroepen[],3,FALSE)*VLOOKUP($M19,Vloersoorten[],3,FALSE)*VLOOKUP($Z19,Frequenties[],3,FALSE)*VLOOKUP(#REF!,Locaties[],3,FALSE),0)</f>
        <v>0</v>
      </c>
      <c r="AC19" s="90">
        <f>Ruimtestaat[[#This Row],[Uitvoeringen weekend]]*Ruimtestaat[[#This Row],[Oppervlak (netto)]]</f>
        <v>0</v>
      </c>
      <c r="AD19" s="93">
        <f>IF(AC19&gt;0,Ruimtestaat[[#This Row],[Prest. (m2 /jaar) weekend]]/Ruimtestaat[[#This Row],[Norm (m2/uur) weekend]],0)</f>
        <v>0</v>
      </c>
      <c r="AE19" s="94">
        <f>Ruimtestaat[[#This Row],[uren / jaar weekend]]*Tariefsopbouw!$D$40</f>
        <v>0</v>
      </c>
      <c r="AF19" s="66">
        <f>Ruimtestaat[[#This Row],[Prest. (m2 /jaar) weekend]]+Ruimtestaat[[#This Row],[Prest. (m2 /jaar) werkdagen]]</f>
        <v>10000</v>
      </c>
      <c r="AG19" s="66">
        <f>Ruimtestaat[[#This Row],[uren / jaar weekend]]+Ruimtestaat[[#This Row],[uren / jaar werkdagen]]</f>
        <v>0</v>
      </c>
      <c r="AH19" s="67">
        <f>Ruimtestaat[[#This Row],[kosten / jaar weekend]]+Ruimtestaat[[#This Row],[kosten / jaar werkdagen]]</f>
        <v>0</v>
      </c>
    </row>
    <row r="20" spans="1:34" ht="15" customHeight="1">
      <c r="A20" s="112">
        <v>1</v>
      </c>
      <c r="B20" s="23" t="str">
        <f>VLOOKUP(Ruimtestaat[[#This Row],[Code]],Locaties[#All],2,FALSE)</f>
        <v>RSG Levant</v>
      </c>
      <c r="C20" s="23" t="str">
        <f>VLOOKUP(Ruimtestaat[[#This Row],[Code]],Locaties[#All],4,FALSE)</f>
        <v>Horsterweg 192</v>
      </c>
      <c r="D20" s="23" t="str">
        <f>VLOOKUP(Ruimtestaat[[#This Row],[Code]],Locaties[#All],5,FALSE)</f>
        <v>3891 EV</v>
      </c>
      <c r="E20" s="23" t="str">
        <f>VLOOKUP(Ruimtestaat[[#This Row],[Code]],Locaties[#All],6,FALSE)</f>
        <v>Zeewolde</v>
      </c>
      <c r="F20" s="23"/>
      <c r="G20" s="60"/>
      <c r="H20" s="23" t="s">
        <v>535</v>
      </c>
      <c r="I20" s="27" t="s">
        <v>483</v>
      </c>
      <c r="J20" s="3" t="s">
        <v>544</v>
      </c>
      <c r="K20" s="23">
        <v>20</v>
      </c>
      <c r="L20" s="60" t="str">
        <f>VLOOKUP(K20,Ruimtegroepen[],2,FALSE)</f>
        <v>Spreekkamers</v>
      </c>
      <c r="M20" s="23" t="s">
        <v>111</v>
      </c>
      <c r="N20" s="23" t="s">
        <v>39</v>
      </c>
      <c r="O20" s="86">
        <v>12</v>
      </c>
      <c r="P20" s="86"/>
      <c r="Q20" s="95" t="str">
        <f>LEFT(VLOOKUP(Ruimtestaat[[#This Row],[Ruimte code]],Ruimtegroepen[#All],4,1),2)</f>
        <v xml:space="preserve">B </v>
      </c>
      <c r="R20" s="86"/>
      <c r="S20" s="87">
        <v>40</v>
      </c>
      <c r="T20" s="87" t="s">
        <v>17</v>
      </c>
      <c r="U20" s="88">
        <f>IF(S20&gt;0,IF(RIGHT(Ruimtestaat[[#This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0" s="88">
        <f>IF(U20&gt;0,VLOOKUP($K20,Ruimtegroepen[],3,FALSE)*VLOOKUP($M20,Vloersoorten[],3,FALSE)*VLOOKUP($T20,Frequenties[],3,FALSE)*VLOOKUP($A20,Locaties[],3,FALSE),0)</f>
        <v>0</v>
      </c>
      <c r="W20" s="89">
        <f>Ruimtestaat[[#This Row],[Uitvoeringen werkdagen]]*Ruimtestaat[[#This Row],[Oppervlak (netto)]]</f>
        <v>960</v>
      </c>
      <c r="X20" s="90">
        <f>IF(V20&gt;0,Ruimtestaat[[#This Row],[Prest. (m2 /jaar) werkdagen]]/Ruimtestaat[[#This Row],[Norm (m2/uur) werkdagen]],0)</f>
        <v>0</v>
      </c>
      <c r="Y20" s="91">
        <f>Ruimtestaat[[#This Row],[uren / jaar werkdagen]]*Tariefsopbouw!$E$35</f>
        <v>0</v>
      </c>
      <c r="Z20" s="88"/>
      <c r="AA20" s="92">
        <f>IF(Ruimtestaat[[#This Row],[Frequentie weekend]]&gt;0,VALUE(LEFT(Z20,1))*S20,0)</f>
        <v>0</v>
      </c>
      <c r="AB20" s="88">
        <f>IF($AA20&gt;0,VLOOKUP($K20,Ruimtegroepen[],3,FALSE)*VLOOKUP($M20,Vloersoorten[],3,FALSE)*VLOOKUP($Z20,Frequenties[],3,FALSE)*VLOOKUP(#REF!,Locaties[],3,FALSE),0)</f>
        <v>0</v>
      </c>
      <c r="AC20" s="90">
        <f>Ruimtestaat[[#This Row],[Uitvoeringen weekend]]*Ruimtestaat[[#This Row],[Oppervlak (netto)]]</f>
        <v>0</v>
      </c>
      <c r="AD20" s="93">
        <f>IF(AC20&gt;0,Ruimtestaat[[#This Row],[Prest. (m2 /jaar) weekend]]/Ruimtestaat[[#This Row],[Norm (m2/uur) weekend]],0)</f>
        <v>0</v>
      </c>
      <c r="AE20" s="94">
        <f>Ruimtestaat[[#This Row],[uren / jaar weekend]]*Tariefsopbouw!$D$40</f>
        <v>0</v>
      </c>
      <c r="AF20" s="66">
        <f>Ruimtestaat[[#This Row],[Prest. (m2 /jaar) weekend]]+Ruimtestaat[[#This Row],[Prest. (m2 /jaar) werkdagen]]</f>
        <v>960</v>
      </c>
      <c r="AG20" s="66">
        <f>Ruimtestaat[[#This Row],[uren / jaar weekend]]+Ruimtestaat[[#This Row],[uren / jaar werkdagen]]</f>
        <v>0</v>
      </c>
      <c r="AH20" s="67">
        <f>Ruimtestaat[[#This Row],[kosten / jaar weekend]]+Ruimtestaat[[#This Row],[kosten / jaar werkdagen]]</f>
        <v>0</v>
      </c>
    </row>
    <row r="21" spans="1:34" ht="15" customHeight="1">
      <c r="A21" s="112">
        <v>1</v>
      </c>
      <c r="B21" s="23" t="str">
        <f>VLOOKUP(Ruimtestaat[[#This Row],[Code]],Locaties[#All],2,FALSE)</f>
        <v>RSG Levant</v>
      </c>
      <c r="C21" s="23" t="str">
        <f>VLOOKUP(Ruimtestaat[[#This Row],[Code]],Locaties[#All],4,FALSE)</f>
        <v>Horsterweg 192</v>
      </c>
      <c r="D21" s="23" t="str">
        <f>VLOOKUP(Ruimtestaat[[#This Row],[Code]],Locaties[#All],5,FALSE)</f>
        <v>3891 EV</v>
      </c>
      <c r="E21" s="23" t="str">
        <f>VLOOKUP(Ruimtestaat[[#This Row],[Code]],Locaties[#All],6,FALSE)</f>
        <v>Zeewolde</v>
      </c>
      <c r="F21" s="23"/>
      <c r="G21" s="60"/>
      <c r="H21" s="23" t="s">
        <v>535</v>
      </c>
      <c r="I21" s="27" t="s">
        <v>484</v>
      </c>
      <c r="J21" s="3" t="s">
        <v>545</v>
      </c>
      <c r="K21" s="23">
        <v>2</v>
      </c>
      <c r="L21" s="60" t="str">
        <f>VLOOKUP(K21,Ruimtegroepen[],2,FALSE)</f>
        <v>Kantoren</v>
      </c>
      <c r="M21" s="23" t="s">
        <v>111</v>
      </c>
      <c r="N21" s="23" t="s">
        <v>39</v>
      </c>
      <c r="O21" s="86">
        <v>12</v>
      </c>
      <c r="P21" s="86"/>
      <c r="Q21" s="95" t="str">
        <f>LEFT(VLOOKUP(Ruimtestaat[[#This Row],[Ruimte code]],Ruimtegroepen[#All],4,1),2)</f>
        <v xml:space="preserve">B </v>
      </c>
      <c r="R21" s="86"/>
      <c r="S21" s="87">
        <v>40</v>
      </c>
      <c r="T21" s="87" t="s">
        <v>17</v>
      </c>
      <c r="U21" s="88">
        <f>IF(S21&gt;0,IF(RIGHT(Ruimtestaat[[#This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1" s="88">
        <f>IF(U21&gt;0,VLOOKUP($K21,Ruimtegroepen[],3,FALSE)*VLOOKUP($M21,Vloersoorten[],3,FALSE)*VLOOKUP($T21,Frequenties[],3,FALSE)*VLOOKUP($A21,Locaties[],3,FALSE),0)</f>
        <v>0</v>
      </c>
      <c r="W21" s="89">
        <f>Ruimtestaat[[#This Row],[Uitvoeringen werkdagen]]*Ruimtestaat[[#This Row],[Oppervlak (netto)]]</f>
        <v>960</v>
      </c>
      <c r="X21" s="90">
        <f>IF(V21&gt;0,Ruimtestaat[[#This Row],[Prest. (m2 /jaar) werkdagen]]/Ruimtestaat[[#This Row],[Norm (m2/uur) werkdagen]],0)</f>
        <v>0</v>
      </c>
      <c r="Y21" s="91">
        <f>Ruimtestaat[[#This Row],[uren / jaar werkdagen]]*Tariefsopbouw!$E$35</f>
        <v>0</v>
      </c>
      <c r="Z21" s="88"/>
      <c r="AA21" s="92">
        <f>IF(Ruimtestaat[[#This Row],[Frequentie weekend]]&gt;0,VALUE(LEFT(Z21,1))*S21,0)</f>
        <v>0</v>
      </c>
      <c r="AB21" s="88">
        <f>IF($AA21&gt;0,VLOOKUP($K21,Ruimtegroepen[],3,FALSE)*VLOOKUP($M21,Vloersoorten[],3,FALSE)*VLOOKUP($Z21,Frequenties[],3,FALSE)*VLOOKUP(#REF!,Locaties[],3,FALSE),0)</f>
        <v>0</v>
      </c>
      <c r="AC21" s="90">
        <f>Ruimtestaat[[#This Row],[Uitvoeringen weekend]]*Ruimtestaat[[#This Row],[Oppervlak (netto)]]</f>
        <v>0</v>
      </c>
      <c r="AD21" s="93">
        <f>IF(AC21&gt;0,Ruimtestaat[[#This Row],[Prest. (m2 /jaar) weekend]]/Ruimtestaat[[#This Row],[Norm (m2/uur) weekend]],0)</f>
        <v>0</v>
      </c>
      <c r="AE21" s="94">
        <f>Ruimtestaat[[#This Row],[uren / jaar weekend]]*Tariefsopbouw!$D$40</f>
        <v>0</v>
      </c>
      <c r="AF21" s="66">
        <f>Ruimtestaat[[#This Row],[Prest. (m2 /jaar) weekend]]+Ruimtestaat[[#This Row],[Prest. (m2 /jaar) werkdagen]]</f>
        <v>960</v>
      </c>
      <c r="AG21" s="66">
        <f>Ruimtestaat[[#This Row],[uren / jaar weekend]]+Ruimtestaat[[#This Row],[uren / jaar werkdagen]]</f>
        <v>0</v>
      </c>
      <c r="AH21" s="67">
        <f>Ruimtestaat[[#This Row],[kosten / jaar weekend]]+Ruimtestaat[[#This Row],[kosten / jaar werkdagen]]</f>
        <v>0</v>
      </c>
    </row>
    <row r="22" spans="1:34" ht="15" customHeight="1">
      <c r="A22" s="112">
        <v>1</v>
      </c>
      <c r="B22" s="23" t="str">
        <f>VLOOKUP(Ruimtestaat[[#This Row],[Code]],Locaties[#All],2,FALSE)</f>
        <v>RSG Levant</v>
      </c>
      <c r="C22" s="23" t="str">
        <f>VLOOKUP(Ruimtestaat[[#This Row],[Code]],Locaties[#All],4,FALSE)</f>
        <v>Horsterweg 192</v>
      </c>
      <c r="D22" s="23" t="str">
        <f>VLOOKUP(Ruimtestaat[[#This Row],[Code]],Locaties[#All],5,FALSE)</f>
        <v>3891 EV</v>
      </c>
      <c r="E22" s="23" t="str">
        <f>VLOOKUP(Ruimtestaat[[#This Row],[Code]],Locaties[#All],6,FALSE)</f>
        <v>Zeewolde</v>
      </c>
      <c r="F22" s="23"/>
      <c r="G22" s="60"/>
      <c r="H22" s="23" t="s">
        <v>535</v>
      </c>
      <c r="I22" s="27" t="s">
        <v>485</v>
      </c>
      <c r="J22" s="3" t="s">
        <v>543</v>
      </c>
      <c r="K22" s="23">
        <v>8</v>
      </c>
      <c r="L22" s="60" t="str">
        <f>VLOOKUP(K22,Ruimtegroepen[],2,FALSE)</f>
        <v>Mediatheek / OLC</v>
      </c>
      <c r="M22" s="23" t="s">
        <v>112</v>
      </c>
      <c r="N22" s="23" t="s">
        <v>137</v>
      </c>
      <c r="O22" s="86">
        <v>13</v>
      </c>
      <c r="P22" s="86"/>
      <c r="Q22" s="95" t="str">
        <f>LEFT(VLOOKUP(Ruimtestaat[[#This Row],[Ruimte code]],Ruimtegroepen[#All],4,1),2)</f>
        <v xml:space="preserve">L </v>
      </c>
      <c r="R22" s="86"/>
      <c r="S22" s="87">
        <v>40</v>
      </c>
      <c r="T22" s="87" t="s">
        <v>2</v>
      </c>
      <c r="U22" s="88">
        <f>IF(S22&gt;0,IF(RIGHT(Ruimtestaat[[#This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2" s="88">
        <f>IF(U22&gt;0,VLOOKUP($K22,Ruimtegroepen[],3,FALSE)*VLOOKUP($M22,Vloersoorten[],3,FALSE)*VLOOKUP($T22,Frequenties[],3,FALSE)*VLOOKUP($A22,Locaties[],3,FALSE),0)</f>
        <v>0</v>
      </c>
      <c r="W22" s="89">
        <f>Ruimtestaat[[#This Row],[Uitvoeringen werkdagen]]*Ruimtestaat[[#This Row],[Oppervlak (netto)]]</f>
        <v>2600</v>
      </c>
      <c r="X22" s="90">
        <f>IF(V22&gt;0,Ruimtestaat[[#This Row],[Prest. (m2 /jaar) werkdagen]]/Ruimtestaat[[#This Row],[Norm (m2/uur) werkdagen]],0)</f>
        <v>0</v>
      </c>
      <c r="Y22" s="91">
        <f>Ruimtestaat[[#This Row],[uren / jaar werkdagen]]*Tariefsopbouw!$E$35</f>
        <v>0</v>
      </c>
      <c r="Z22" s="88"/>
      <c r="AA22" s="92">
        <f>IF(Ruimtestaat[[#This Row],[Frequentie weekend]]&gt;0,VALUE(LEFT(Z22,1))*S22,0)</f>
        <v>0</v>
      </c>
      <c r="AB22" s="88">
        <f>IF($AA22&gt;0,VLOOKUP($K22,Ruimtegroepen[],3,FALSE)*VLOOKUP($M22,Vloersoorten[],3,FALSE)*VLOOKUP($Z22,Frequenties[],3,FALSE)*VLOOKUP(#REF!,Locaties[],3,FALSE),0)</f>
        <v>0</v>
      </c>
      <c r="AC22" s="90">
        <f>Ruimtestaat[[#This Row],[Uitvoeringen weekend]]*Ruimtestaat[[#This Row],[Oppervlak (netto)]]</f>
        <v>0</v>
      </c>
      <c r="AD22" s="93">
        <f>IF(AC22&gt;0,Ruimtestaat[[#This Row],[Prest. (m2 /jaar) weekend]]/Ruimtestaat[[#This Row],[Norm (m2/uur) weekend]],0)</f>
        <v>0</v>
      </c>
      <c r="AE22" s="94">
        <f>Ruimtestaat[[#This Row],[uren / jaar weekend]]*Tariefsopbouw!$D$40</f>
        <v>0</v>
      </c>
      <c r="AF22" s="66">
        <f>Ruimtestaat[[#This Row],[Prest. (m2 /jaar) weekend]]+Ruimtestaat[[#This Row],[Prest. (m2 /jaar) werkdagen]]</f>
        <v>2600</v>
      </c>
      <c r="AG22" s="66">
        <f>Ruimtestaat[[#This Row],[uren / jaar weekend]]+Ruimtestaat[[#This Row],[uren / jaar werkdagen]]</f>
        <v>0</v>
      </c>
      <c r="AH22" s="67">
        <f>Ruimtestaat[[#This Row],[kosten / jaar weekend]]+Ruimtestaat[[#This Row],[kosten / jaar werkdagen]]</f>
        <v>0</v>
      </c>
    </row>
    <row r="23" spans="1:34" ht="15" customHeight="1">
      <c r="A23" s="112">
        <v>1</v>
      </c>
      <c r="B23" s="23" t="str">
        <f>VLOOKUP(Ruimtestaat[[#This Row],[Code]],Locaties[#All],2,FALSE)</f>
        <v>RSG Levant</v>
      </c>
      <c r="C23" s="23" t="str">
        <f>VLOOKUP(Ruimtestaat[[#This Row],[Code]],Locaties[#All],4,FALSE)</f>
        <v>Horsterweg 192</v>
      </c>
      <c r="D23" s="23" t="str">
        <f>VLOOKUP(Ruimtestaat[[#This Row],[Code]],Locaties[#All],5,FALSE)</f>
        <v>3891 EV</v>
      </c>
      <c r="E23" s="23" t="str">
        <f>VLOOKUP(Ruimtestaat[[#This Row],[Code]],Locaties[#All],6,FALSE)</f>
        <v>Zeewolde</v>
      </c>
      <c r="F23" s="23"/>
      <c r="G23" s="60"/>
      <c r="H23" s="23" t="s">
        <v>535</v>
      </c>
      <c r="I23" s="27" t="s">
        <v>486</v>
      </c>
      <c r="J23" s="3" t="s">
        <v>542</v>
      </c>
      <c r="K23" s="23">
        <v>16</v>
      </c>
      <c r="L23" s="60" t="str">
        <f>VLOOKUP(K23,Ruimtegroepen[],2,FALSE)</f>
        <v>Leslokalen theorie</v>
      </c>
      <c r="M23" s="23" t="s">
        <v>112</v>
      </c>
      <c r="N23" s="23" t="s">
        <v>137</v>
      </c>
      <c r="O23" s="86">
        <v>51</v>
      </c>
      <c r="P23" s="86"/>
      <c r="Q23" s="95" t="str">
        <f>LEFT(VLOOKUP(Ruimtestaat[[#This Row],[Ruimte code]],Ruimtegroepen[#All],4,1),2)</f>
        <v xml:space="preserve">L </v>
      </c>
      <c r="R23" s="86"/>
      <c r="S23" s="87">
        <v>40</v>
      </c>
      <c r="T23" s="87" t="s">
        <v>2</v>
      </c>
      <c r="U23" s="88">
        <f>IF(S23&gt;0,IF(RIGHT(Ruimtestaat[[#This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3" s="88">
        <f>IF(U23&gt;0,VLOOKUP($K23,Ruimtegroepen[],3,FALSE)*VLOOKUP($M23,Vloersoorten[],3,FALSE)*VLOOKUP($T23,Frequenties[],3,FALSE)*VLOOKUP($A23,Locaties[],3,FALSE),0)</f>
        <v>0</v>
      </c>
      <c r="W23" s="89">
        <f>Ruimtestaat[[#This Row],[Uitvoeringen werkdagen]]*Ruimtestaat[[#This Row],[Oppervlak (netto)]]</f>
        <v>10200</v>
      </c>
      <c r="X23" s="90">
        <f>IF(V23&gt;0,Ruimtestaat[[#This Row],[Prest. (m2 /jaar) werkdagen]]/Ruimtestaat[[#This Row],[Norm (m2/uur) werkdagen]],0)</f>
        <v>0</v>
      </c>
      <c r="Y23" s="91">
        <f>Ruimtestaat[[#This Row],[uren / jaar werkdagen]]*Tariefsopbouw!$E$35</f>
        <v>0</v>
      </c>
      <c r="Z23" s="88"/>
      <c r="AA23" s="92">
        <f>IF(Ruimtestaat[[#This Row],[Frequentie weekend]]&gt;0,VALUE(LEFT(Z23,1))*S23,0)</f>
        <v>0</v>
      </c>
      <c r="AB23" s="88">
        <f>IF($AA23&gt;0,VLOOKUP($K23,Ruimtegroepen[],3,FALSE)*VLOOKUP($M23,Vloersoorten[],3,FALSE)*VLOOKUP($Z23,Frequenties[],3,FALSE)*VLOOKUP(#REF!,Locaties[],3,FALSE),0)</f>
        <v>0</v>
      </c>
      <c r="AC23" s="90">
        <f>Ruimtestaat[[#This Row],[Uitvoeringen weekend]]*Ruimtestaat[[#This Row],[Oppervlak (netto)]]</f>
        <v>0</v>
      </c>
      <c r="AD23" s="93">
        <f>IF(AC23&gt;0,Ruimtestaat[[#This Row],[Prest. (m2 /jaar) weekend]]/Ruimtestaat[[#This Row],[Norm (m2/uur) weekend]],0)</f>
        <v>0</v>
      </c>
      <c r="AE23" s="94">
        <f>Ruimtestaat[[#This Row],[uren / jaar weekend]]*Tariefsopbouw!$D$40</f>
        <v>0</v>
      </c>
      <c r="AF23" s="66">
        <f>Ruimtestaat[[#This Row],[Prest. (m2 /jaar) weekend]]+Ruimtestaat[[#This Row],[Prest. (m2 /jaar) werkdagen]]</f>
        <v>10200</v>
      </c>
      <c r="AG23" s="66">
        <f>Ruimtestaat[[#This Row],[uren / jaar weekend]]+Ruimtestaat[[#This Row],[uren / jaar werkdagen]]</f>
        <v>0</v>
      </c>
      <c r="AH23" s="67">
        <f>Ruimtestaat[[#This Row],[kosten / jaar weekend]]+Ruimtestaat[[#This Row],[kosten / jaar werkdagen]]</f>
        <v>0</v>
      </c>
    </row>
    <row r="24" spans="1:34" ht="15" customHeight="1">
      <c r="A24" s="112">
        <v>1</v>
      </c>
      <c r="B24" s="23" t="str">
        <f>VLOOKUP(Ruimtestaat[[#This Row],[Code]],Locaties[#All],2,FALSE)</f>
        <v>RSG Levant</v>
      </c>
      <c r="C24" s="23" t="str">
        <f>VLOOKUP(Ruimtestaat[[#This Row],[Code]],Locaties[#All],4,FALSE)</f>
        <v>Horsterweg 192</v>
      </c>
      <c r="D24" s="23" t="str">
        <f>VLOOKUP(Ruimtestaat[[#This Row],[Code]],Locaties[#All],5,FALSE)</f>
        <v>3891 EV</v>
      </c>
      <c r="E24" s="23" t="str">
        <f>VLOOKUP(Ruimtestaat[[#This Row],[Code]],Locaties[#All],6,FALSE)</f>
        <v>Zeewolde</v>
      </c>
      <c r="F24" s="23"/>
      <c r="G24" s="60"/>
      <c r="H24" s="23" t="s">
        <v>535</v>
      </c>
      <c r="I24" s="27" t="s">
        <v>487</v>
      </c>
      <c r="J24" s="3" t="s">
        <v>542</v>
      </c>
      <c r="K24" s="23">
        <v>16</v>
      </c>
      <c r="L24" s="60" t="str">
        <f>VLOOKUP(K24,Ruimtegroepen[],2,FALSE)</f>
        <v>Leslokalen theorie</v>
      </c>
      <c r="M24" s="23" t="s">
        <v>112</v>
      </c>
      <c r="N24" s="23" t="s">
        <v>137</v>
      </c>
      <c r="O24" s="86">
        <v>58</v>
      </c>
      <c r="P24" s="86"/>
      <c r="Q24" s="95" t="str">
        <f>LEFT(VLOOKUP(Ruimtestaat[[#This Row],[Ruimte code]],Ruimtegroepen[#All],4,1),2)</f>
        <v xml:space="preserve">L </v>
      </c>
      <c r="R24" s="86"/>
      <c r="S24" s="87">
        <v>40</v>
      </c>
      <c r="T24" s="87" t="s">
        <v>2</v>
      </c>
      <c r="U24" s="88">
        <f>IF(S24&gt;0,IF(RIGHT(Ruimtestaat[[#This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4" s="88">
        <f>IF(U24&gt;0,VLOOKUP($K24,Ruimtegroepen[],3,FALSE)*VLOOKUP($M24,Vloersoorten[],3,FALSE)*VLOOKUP($T24,Frequenties[],3,FALSE)*VLOOKUP($A24,Locaties[],3,FALSE),0)</f>
        <v>0</v>
      </c>
      <c r="W24" s="89">
        <f>Ruimtestaat[[#This Row],[Uitvoeringen werkdagen]]*Ruimtestaat[[#This Row],[Oppervlak (netto)]]</f>
        <v>11600</v>
      </c>
      <c r="X24" s="90">
        <f>IF(V24&gt;0,Ruimtestaat[[#This Row],[Prest. (m2 /jaar) werkdagen]]/Ruimtestaat[[#This Row],[Norm (m2/uur) werkdagen]],0)</f>
        <v>0</v>
      </c>
      <c r="Y24" s="91">
        <f>Ruimtestaat[[#This Row],[uren / jaar werkdagen]]*Tariefsopbouw!$E$35</f>
        <v>0</v>
      </c>
      <c r="Z24" s="88"/>
      <c r="AA24" s="92">
        <f>IF(Ruimtestaat[[#This Row],[Frequentie weekend]]&gt;0,VALUE(LEFT(Z24,1))*S24,0)</f>
        <v>0</v>
      </c>
      <c r="AB24" s="88">
        <f>IF($AA24&gt;0,VLOOKUP($K24,Ruimtegroepen[],3,FALSE)*VLOOKUP($M24,Vloersoorten[],3,FALSE)*VLOOKUP($Z24,Frequenties[],3,FALSE)*VLOOKUP(#REF!,Locaties[],3,FALSE),0)</f>
        <v>0</v>
      </c>
      <c r="AC24" s="90">
        <f>Ruimtestaat[[#This Row],[Uitvoeringen weekend]]*Ruimtestaat[[#This Row],[Oppervlak (netto)]]</f>
        <v>0</v>
      </c>
      <c r="AD24" s="93">
        <f>IF(AC24&gt;0,Ruimtestaat[[#This Row],[Prest. (m2 /jaar) weekend]]/Ruimtestaat[[#This Row],[Norm (m2/uur) weekend]],0)</f>
        <v>0</v>
      </c>
      <c r="AE24" s="94">
        <f>Ruimtestaat[[#This Row],[uren / jaar weekend]]*Tariefsopbouw!$D$40</f>
        <v>0</v>
      </c>
      <c r="AF24" s="66">
        <f>Ruimtestaat[[#This Row],[Prest. (m2 /jaar) weekend]]+Ruimtestaat[[#This Row],[Prest. (m2 /jaar) werkdagen]]</f>
        <v>11600</v>
      </c>
      <c r="AG24" s="66">
        <f>Ruimtestaat[[#This Row],[uren / jaar weekend]]+Ruimtestaat[[#This Row],[uren / jaar werkdagen]]</f>
        <v>0</v>
      </c>
      <c r="AH24" s="67">
        <f>Ruimtestaat[[#This Row],[kosten / jaar weekend]]+Ruimtestaat[[#This Row],[kosten / jaar werkdagen]]</f>
        <v>0</v>
      </c>
    </row>
    <row r="25" spans="1:34" ht="15" customHeight="1">
      <c r="A25" s="112">
        <v>1</v>
      </c>
      <c r="B25" s="23" t="str">
        <f>VLOOKUP(Ruimtestaat[[#This Row],[Code]],Locaties[#All],2,FALSE)</f>
        <v>RSG Levant</v>
      </c>
      <c r="C25" s="23" t="str">
        <f>VLOOKUP(Ruimtestaat[[#This Row],[Code]],Locaties[#All],4,FALSE)</f>
        <v>Horsterweg 192</v>
      </c>
      <c r="D25" s="23" t="str">
        <f>VLOOKUP(Ruimtestaat[[#This Row],[Code]],Locaties[#All],5,FALSE)</f>
        <v>3891 EV</v>
      </c>
      <c r="E25" s="23" t="str">
        <f>VLOOKUP(Ruimtestaat[[#This Row],[Code]],Locaties[#All],6,FALSE)</f>
        <v>Zeewolde</v>
      </c>
      <c r="F25" s="23"/>
      <c r="G25" s="60"/>
      <c r="H25" s="23" t="s">
        <v>535</v>
      </c>
      <c r="I25" s="27" t="s">
        <v>488</v>
      </c>
      <c r="J25" s="3" t="s">
        <v>546</v>
      </c>
      <c r="K25" s="23">
        <v>8</v>
      </c>
      <c r="L25" s="60" t="str">
        <f>VLOOKUP(K25,Ruimtegroepen[],2,FALSE)</f>
        <v>Mediatheek / OLC</v>
      </c>
      <c r="M25" s="23" t="s">
        <v>112</v>
      </c>
      <c r="N25" s="23" t="s">
        <v>137</v>
      </c>
      <c r="O25" s="86">
        <v>71</v>
      </c>
      <c r="P25" s="86"/>
      <c r="Q25" s="95" t="str">
        <f>LEFT(VLOOKUP(Ruimtestaat[[#This Row],[Ruimte code]],Ruimtegroepen[#All],4,1),2)</f>
        <v xml:space="preserve">L </v>
      </c>
      <c r="R25" s="86"/>
      <c r="S25" s="87">
        <v>40</v>
      </c>
      <c r="T25" s="87" t="s">
        <v>2</v>
      </c>
      <c r="U25" s="88">
        <f>IF(S25&gt;0,IF(RIGHT(Ruimtestaat[[#This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5" s="88">
        <f>IF(U25&gt;0,VLOOKUP($K25,Ruimtegroepen[],3,FALSE)*VLOOKUP($M25,Vloersoorten[],3,FALSE)*VLOOKUP($T25,Frequenties[],3,FALSE)*VLOOKUP($A25,Locaties[],3,FALSE),0)</f>
        <v>0</v>
      </c>
      <c r="W25" s="89">
        <f>Ruimtestaat[[#This Row],[Uitvoeringen werkdagen]]*Ruimtestaat[[#This Row],[Oppervlak (netto)]]</f>
        <v>14200</v>
      </c>
      <c r="X25" s="90">
        <f>IF(V25&gt;0,Ruimtestaat[[#This Row],[Prest. (m2 /jaar) werkdagen]]/Ruimtestaat[[#This Row],[Norm (m2/uur) werkdagen]],0)</f>
        <v>0</v>
      </c>
      <c r="Y25" s="91">
        <f>Ruimtestaat[[#This Row],[uren / jaar werkdagen]]*Tariefsopbouw!$E$35</f>
        <v>0</v>
      </c>
      <c r="Z25" s="88"/>
      <c r="AA25" s="92">
        <f>IF(Ruimtestaat[[#This Row],[Frequentie weekend]]&gt;0,VALUE(LEFT(Z25,1))*S25,0)</f>
        <v>0</v>
      </c>
      <c r="AB25" s="88">
        <f>IF($AA25&gt;0,VLOOKUP($K25,Ruimtegroepen[],3,FALSE)*VLOOKUP($M25,Vloersoorten[],3,FALSE)*VLOOKUP($Z25,Frequenties[],3,FALSE)*VLOOKUP(#REF!,Locaties[],3,FALSE),0)</f>
        <v>0</v>
      </c>
      <c r="AC25" s="90">
        <f>Ruimtestaat[[#This Row],[Uitvoeringen weekend]]*Ruimtestaat[[#This Row],[Oppervlak (netto)]]</f>
        <v>0</v>
      </c>
      <c r="AD25" s="93">
        <f>IF(AC25&gt;0,Ruimtestaat[[#This Row],[Prest. (m2 /jaar) weekend]]/Ruimtestaat[[#This Row],[Norm (m2/uur) weekend]],0)</f>
        <v>0</v>
      </c>
      <c r="AE25" s="94">
        <f>Ruimtestaat[[#This Row],[uren / jaar weekend]]*Tariefsopbouw!$D$40</f>
        <v>0</v>
      </c>
      <c r="AF25" s="66">
        <f>Ruimtestaat[[#This Row],[Prest. (m2 /jaar) weekend]]+Ruimtestaat[[#This Row],[Prest. (m2 /jaar) werkdagen]]</f>
        <v>14200</v>
      </c>
      <c r="AG25" s="66">
        <f>Ruimtestaat[[#This Row],[uren / jaar weekend]]+Ruimtestaat[[#This Row],[uren / jaar werkdagen]]</f>
        <v>0</v>
      </c>
      <c r="AH25" s="67">
        <f>Ruimtestaat[[#This Row],[kosten / jaar weekend]]+Ruimtestaat[[#This Row],[kosten / jaar werkdagen]]</f>
        <v>0</v>
      </c>
    </row>
    <row r="26" spans="1:34" ht="15" customHeight="1">
      <c r="A26" s="112">
        <v>1</v>
      </c>
      <c r="B26" s="23" t="str">
        <f>VLOOKUP(Ruimtestaat[[#This Row],[Code]],Locaties[#All],2,FALSE)</f>
        <v>RSG Levant</v>
      </c>
      <c r="C26" s="23" t="str">
        <f>VLOOKUP(Ruimtestaat[[#This Row],[Code]],Locaties[#All],4,FALSE)</f>
        <v>Horsterweg 192</v>
      </c>
      <c r="D26" s="23" t="str">
        <f>VLOOKUP(Ruimtestaat[[#This Row],[Code]],Locaties[#All],5,FALSE)</f>
        <v>3891 EV</v>
      </c>
      <c r="E26" s="23" t="str">
        <f>VLOOKUP(Ruimtestaat[[#This Row],[Code]],Locaties[#All],6,FALSE)</f>
        <v>Zeewolde</v>
      </c>
      <c r="F26" s="23"/>
      <c r="G26" s="60"/>
      <c r="H26" s="23" t="s">
        <v>535</v>
      </c>
      <c r="I26" s="27" t="s">
        <v>489</v>
      </c>
      <c r="J26" s="3" t="s">
        <v>382</v>
      </c>
      <c r="K26" s="23">
        <v>6</v>
      </c>
      <c r="L26" s="60" t="str">
        <f>VLOOKUP(K26,Ruimtegroepen[],2,FALSE)</f>
        <v>Gangen/hallen</v>
      </c>
      <c r="M26" s="23" t="s">
        <v>112</v>
      </c>
      <c r="N26" s="23" t="s">
        <v>137</v>
      </c>
      <c r="O26" s="86">
        <v>24</v>
      </c>
      <c r="P26" s="86"/>
      <c r="Q26" s="95" t="str">
        <f>LEFT(VLOOKUP(Ruimtestaat[[#This Row],[Ruimte code]],Ruimtegroepen[#All],4,1),2)</f>
        <v xml:space="preserve">V </v>
      </c>
      <c r="R26" s="86"/>
      <c r="S26" s="87">
        <v>40</v>
      </c>
      <c r="T26" s="87" t="s">
        <v>2</v>
      </c>
      <c r="U26" s="88">
        <f>IF(S26&gt;0,IF(RIGHT(Ruimtestaat[[#This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6" s="88">
        <f>IF(U26&gt;0,VLOOKUP($K26,Ruimtegroepen[],3,FALSE)*VLOOKUP($M26,Vloersoorten[],3,FALSE)*VLOOKUP($T26,Frequenties[],3,FALSE)*VLOOKUP($A26,Locaties[],3,FALSE),0)</f>
        <v>0</v>
      </c>
      <c r="W26" s="89">
        <f>Ruimtestaat[[#This Row],[Uitvoeringen werkdagen]]*Ruimtestaat[[#This Row],[Oppervlak (netto)]]</f>
        <v>4800</v>
      </c>
      <c r="X26" s="90">
        <f>IF(V26&gt;0,Ruimtestaat[[#This Row],[Prest. (m2 /jaar) werkdagen]]/Ruimtestaat[[#This Row],[Norm (m2/uur) werkdagen]],0)</f>
        <v>0</v>
      </c>
      <c r="Y26" s="91">
        <f>Ruimtestaat[[#This Row],[uren / jaar werkdagen]]*Tariefsopbouw!$E$35</f>
        <v>0</v>
      </c>
      <c r="Z26" s="88"/>
      <c r="AA26" s="92">
        <f>IF(Ruimtestaat[[#This Row],[Frequentie weekend]]&gt;0,VALUE(LEFT(Z26,1))*S26,0)</f>
        <v>0</v>
      </c>
      <c r="AB26" s="88">
        <f>IF($AA26&gt;0,VLOOKUP($K26,Ruimtegroepen[],3,FALSE)*VLOOKUP($M26,Vloersoorten[],3,FALSE)*VLOOKUP($Z26,Frequenties[],3,FALSE)*VLOOKUP(#REF!,Locaties[],3,FALSE),0)</f>
        <v>0</v>
      </c>
      <c r="AC26" s="90">
        <f>Ruimtestaat[[#This Row],[Uitvoeringen weekend]]*Ruimtestaat[[#This Row],[Oppervlak (netto)]]</f>
        <v>0</v>
      </c>
      <c r="AD26" s="93">
        <f>IF(AC26&gt;0,Ruimtestaat[[#This Row],[Prest. (m2 /jaar) weekend]]/Ruimtestaat[[#This Row],[Norm (m2/uur) weekend]],0)</f>
        <v>0</v>
      </c>
      <c r="AE26" s="94">
        <f>Ruimtestaat[[#This Row],[uren / jaar weekend]]*Tariefsopbouw!$D$40</f>
        <v>0</v>
      </c>
      <c r="AF26" s="66">
        <f>Ruimtestaat[[#This Row],[Prest. (m2 /jaar) weekend]]+Ruimtestaat[[#This Row],[Prest. (m2 /jaar) werkdagen]]</f>
        <v>4800</v>
      </c>
      <c r="AG26" s="66">
        <f>Ruimtestaat[[#This Row],[uren / jaar weekend]]+Ruimtestaat[[#This Row],[uren / jaar werkdagen]]</f>
        <v>0</v>
      </c>
      <c r="AH26" s="67">
        <f>Ruimtestaat[[#This Row],[kosten / jaar weekend]]+Ruimtestaat[[#This Row],[kosten / jaar werkdagen]]</f>
        <v>0</v>
      </c>
    </row>
    <row r="27" spans="1:34" ht="15" customHeight="1">
      <c r="A27" s="112">
        <v>1</v>
      </c>
      <c r="B27" s="23" t="str">
        <f>VLOOKUP(Ruimtestaat[[#This Row],[Code]],Locaties[#All],2,FALSE)</f>
        <v>RSG Levant</v>
      </c>
      <c r="C27" s="23" t="str">
        <f>VLOOKUP(Ruimtestaat[[#This Row],[Code]],Locaties[#All],4,FALSE)</f>
        <v>Horsterweg 192</v>
      </c>
      <c r="D27" s="23" t="str">
        <f>VLOOKUP(Ruimtestaat[[#This Row],[Code]],Locaties[#All],5,FALSE)</f>
        <v>3891 EV</v>
      </c>
      <c r="E27" s="23" t="str">
        <f>VLOOKUP(Ruimtestaat[[#This Row],[Code]],Locaties[#All],6,FALSE)</f>
        <v>Zeewolde</v>
      </c>
      <c r="F27" s="23"/>
      <c r="G27" s="60"/>
      <c r="H27" s="23" t="s">
        <v>535</v>
      </c>
      <c r="I27" s="27" t="s">
        <v>490</v>
      </c>
      <c r="J27" s="3" t="s">
        <v>382</v>
      </c>
      <c r="K27" s="23">
        <v>6</v>
      </c>
      <c r="L27" s="60" t="str">
        <f>VLOOKUP(K27,Ruimtegroepen[],2,FALSE)</f>
        <v>Gangen/hallen</v>
      </c>
      <c r="M27" s="23" t="s">
        <v>112</v>
      </c>
      <c r="N27" s="23" t="s">
        <v>137</v>
      </c>
      <c r="O27" s="86">
        <v>66</v>
      </c>
      <c r="P27" s="86"/>
      <c r="Q27" s="95" t="str">
        <f>LEFT(VLOOKUP(Ruimtestaat[[#This Row],[Ruimte code]],Ruimtegroepen[#All],4,1),2)</f>
        <v xml:space="preserve">V </v>
      </c>
      <c r="R27" s="86"/>
      <c r="S27" s="87">
        <v>40</v>
      </c>
      <c r="T27" s="87" t="s">
        <v>2</v>
      </c>
      <c r="U27" s="88">
        <f>IF(S27&gt;0,IF(RIGHT(Ruimtestaat[[#This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7" s="88">
        <f>IF(U27&gt;0,VLOOKUP($K27,Ruimtegroepen[],3,FALSE)*VLOOKUP($M27,Vloersoorten[],3,FALSE)*VLOOKUP($T27,Frequenties[],3,FALSE)*VLOOKUP($A27,Locaties[],3,FALSE),0)</f>
        <v>0</v>
      </c>
      <c r="W27" s="89">
        <f>Ruimtestaat[[#This Row],[Uitvoeringen werkdagen]]*Ruimtestaat[[#This Row],[Oppervlak (netto)]]</f>
        <v>13200</v>
      </c>
      <c r="X27" s="90">
        <f>IF(V27&gt;0,Ruimtestaat[[#This Row],[Prest. (m2 /jaar) werkdagen]]/Ruimtestaat[[#This Row],[Norm (m2/uur) werkdagen]],0)</f>
        <v>0</v>
      </c>
      <c r="Y27" s="91">
        <f>Ruimtestaat[[#This Row],[uren / jaar werkdagen]]*Tariefsopbouw!$E$35</f>
        <v>0</v>
      </c>
      <c r="Z27" s="88"/>
      <c r="AA27" s="92">
        <f>IF(Ruimtestaat[[#This Row],[Frequentie weekend]]&gt;0,VALUE(LEFT(Z27,1))*S27,0)</f>
        <v>0</v>
      </c>
      <c r="AB27" s="88">
        <f>IF($AA27&gt;0,VLOOKUP($K27,Ruimtegroepen[],3,FALSE)*VLOOKUP($M27,Vloersoorten[],3,FALSE)*VLOOKUP($Z27,Frequenties[],3,FALSE)*VLOOKUP(#REF!,Locaties[],3,FALSE),0)</f>
        <v>0</v>
      </c>
      <c r="AC27" s="90">
        <f>Ruimtestaat[[#This Row],[Uitvoeringen weekend]]*Ruimtestaat[[#This Row],[Oppervlak (netto)]]</f>
        <v>0</v>
      </c>
      <c r="AD27" s="93">
        <f>IF(AC27&gt;0,Ruimtestaat[[#This Row],[Prest. (m2 /jaar) weekend]]/Ruimtestaat[[#This Row],[Norm (m2/uur) weekend]],0)</f>
        <v>0</v>
      </c>
      <c r="AE27" s="94">
        <f>Ruimtestaat[[#This Row],[uren / jaar weekend]]*Tariefsopbouw!$D$40</f>
        <v>0</v>
      </c>
      <c r="AF27" s="66">
        <f>Ruimtestaat[[#This Row],[Prest. (m2 /jaar) weekend]]+Ruimtestaat[[#This Row],[Prest. (m2 /jaar) werkdagen]]</f>
        <v>13200</v>
      </c>
      <c r="AG27" s="66">
        <f>Ruimtestaat[[#This Row],[uren / jaar weekend]]+Ruimtestaat[[#This Row],[uren / jaar werkdagen]]</f>
        <v>0</v>
      </c>
      <c r="AH27" s="67">
        <f>Ruimtestaat[[#This Row],[kosten / jaar weekend]]+Ruimtestaat[[#This Row],[kosten / jaar werkdagen]]</f>
        <v>0</v>
      </c>
    </row>
    <row r="28" spans="1:34" ht="15" customHeight="1">
      <c r="A28" s="112">
        <v>1</v>
      </c>
      <c r="B28" s="23" t="str">
        <f>VLOOKUP(Ruimtestaat[[#This Row],[Code]],Locaties[#All],2,FALSE)</f>
        <v>RSG Levant</v>
      </c>
      <c r="C28" s="23" t="str">
        <f>VLOOKUP(Ruimtestaat[[#This Row],[Code]],Locaties[#All],4,FALSE)</f>
        <v>Horsterweg 192</v>
      </c>
      <c r="D28" s="23" t="str">
        <f>VLOOKUP(Ruimtestaat[[#This Row],[Code]],Locaties[#All],5,FALSE)</f>
        <v>3891 EV</v>
      </c>
      <c r="E28" s="23" t="str">
        <f>VLOOKUP(Ruimtestaat[[#This Row],[Code]],Locaties[#All],6,FALSE)</f>
        <v>Zeewolde</v>
      </c>
      <c r="F28" s="23"/>
      <c r="G28" s="60"/>
      <c r="H28" s="23" t="s">
        <v>535</v>
      </c>
      <c r="I28" s="27" t="s">
        <v>491</v>
      </c>
      <c r="J28" s="3" t="s">
        <v>382</v>
      </c>
      <c r="K28" s="23">
        <v>6</v>
      </c>
      <c r="L28" s="60" t="str">
        <f>VLOOKUP(K28,Ruimtegroepen[],2,FALSE)</f>
        <v>Gangen/hallen</v>
      </c>
      <c r="M28" s="23" t="s">
        <v>112</v>
      </c>
      <c r="N28" s="23" t="s">
        <v>137</v>
      </c>
      <c r="O28" s="86">
        <v>21</v>
      </c>
      <c r="P28" s="86"/>
      <c r="Q28" s="95" t="str">
        <f>LEFT(VLOOKUP(Ruimtestaat[[#This Row],[Ruimte code]],Ruimtegroepen[#All],4,1),2)</f>
        <v xml:space="preserve">V </v>
      </c>
      <c r="R28" s="86"/>
      <c r="S28" s="87">
        <v>40</v>
      </c>
      <c r="T28" s="87" t="s">
        <v>2</v>
      </c>
      <c r="U28" s="88">
        <f>IF(S28&gt;0,IF(RIGHT(Ruimtestaat[[#This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8" s="88">
        <f>IF(U28&gt;0,VLOOKUP($K28,Ruimtegroepen[],3,FALSE)*VLOOKUP($M28,Vloersoorten[],3,FALSE)*VLOOKUP($T28,Frequenties[],3,FALSE)*VLOOKUP($A28,Locaties[],3,FALSE),0)</f>
        <v>0</v>
      </c>
      <c r="W28" s="89">
        <f>Ruimtestaat[[#This Row],[Uitvoeringen werkdagen]]*Ruimtestaat[[#This Row],[Oppervlak (netto)]]</f>
        <v>4200</v>
      </c>
      <c r="X28" s="90">
        <f>IF(V28&gt;0,Ruimtestaat[[#This Row],[Prest. (m2 /jaar) werkdagen]]/Ruimtestaat[[#This Row],[Norm (m2/uur) werkdagen]],0)</f>
        <v>0</v>
      </c>
      <c r="Y28" s="91">
        <f>Ruimtestaat[[#This Row],[uren / jaar werkdagen]]*Tariefsopbouw!$E$35</f>
        <v>0</v>
      </c>
      <c r="Z28" s="88"/>
      <c r="AA28" s="92">
        <f>IF(Ruimtestaat[[#This Row],[Frequentie weekend]]&gt;0,VALUE(LEFT(Z28,1))*S28,0)</f>
        <v>0</v>
      </c>
      <c r="AB28" s="88">
        <f>IF($AA28&gt;0,VLOOKUP($K28,Ruimtegroepen[],3,FALSE)*VLOOKUP($M28,Vloersoorten[],3,FALSE)*VLOOKUP($Z28,Frequenties[],3,FALSE)*VLOOKUP(#REF!,Locaties[],3,FALSE),0)</f>
        <v>0</v>
      </c>
      <c r="AC28" s="90">
        <f>Ruimtestaat[[#This Row],[Uitvoeringen weekend]]*Ruimtestaat[[#This Row],[Oppervlak (netto)]]</f>
        <v>0</v>
      </c>
      <c r="AD28" s="93">
        <f>IF(AC28&gt;0,Ruimtestaat[[#This Row],[Prest. (m2 /jaar) weekend]]/Ruimtestaat[[#This Row],[Norm (m2/uur) weekend]],0)</f>
        <v>0</v>
      </c>
      <c r="AE28" s="94">
        <f>Ruimtestaat[[#This Row],[uren / jaar weekend]]*Tariefsopbouw!$D$40</f>
        <v>0</v>
      </c>
      <c r="AF28" s="66">
        <f>Ruimtestaat[[#This Row],[Prest. (m2 /jaar) weekend]]+Ruimtestaat[[#This Row],[Prest. (m2 /jaar) werkdagen]]</f>
        <v>4200</v>
      </c>
      <c r="AG28" s="66">
        <f>Ruimtestaat[[#This Row],[uren / jaar weekend]]+Ruimtestaat[[#This Row],[uren / jaar werkdagen]]</f>
        <v>0</v>
      </c>
      <c r="AH28" s="67">
        <f>Ruimtestaat[[#This Row],[kosten / jaar weekend]]+Ruimtestaat[[#This Row],[kosten / jaar werkdagen]]</f>
        <v>0</v>
      </c>
    </row>
    <row r="29" spans="1:34" ht="15" customHeight="1">
      <c r="A29" s="112">
        <v>1</v>
      </c>
      <c r="B29" s="23" t="str">
        <f>VLOOKUP(Ruimtestaat[[#This Row],[Code]],Locaties[#All],2,FALSE)</f>
        <v>RSG Levant</v>
      </c>
      <c r="C29" s="23" t="str">
        <f>VLOOKUP(Ruimtestaat[[#This Row],[Code]],Locaties[#All],4,FALSE)</f>
        <v>Horsterweg 192</v>
      </c>
      <c r="D29" s="23" t="str">
        <f>VLOOKUP(Ruimtestaat[[#This Row],[Code]],Locaties[#All],5,FALSE)</f>
        <v>3891 EV</v>
      </c>
      <c r="E29" s="23" t="str">
        <f>VLOOKUP(Ruimtestaat[[#This Row],[Code]],Locaties[#All],6,FALSE)</f>
        <v>Zeewolde</v>
      </c>
      <c r="F29" s="23"/>
      <c r="G29" s="161"/>
      <c r="H29" s="23" t="s">
        <v>535</v>
      </c>
      <c r="I29" s="27" t="s">
        <v>492</v>
      </c>
      <c r="J29" s="3" t="s">
        <v>382</v>
      </c>
      <c r="K29" s="23">
        <v>6</v>
      </c>
      <c r="L29" s="60" t="str">
        <f>VLOOKUP(K29,Ruimtegroepen[],2,FALSE)</f>
        <v>Gangen/hallen</v>
      </c>
      <c r="M29" s="23" t="s">
        <v>112</v>
      </c>
      <c r="N29" s="23" t="s">
        <v>137</v>
      </c>
      <c r="O29" s="86">
        <v>54</v>
      </c>
      <c r="P29" s="162"/>
      <c r="Q29" s="95" t="str">
        <f>LEFT(VLOOKUP(Ruimtestaat[[#This Row],[Ruimte code]],Ruimtegroepen[#All],4,1),2)</f>
        <v xml:space="preserve">V </v>
      </c>
      <c r="R29" s="163"/>
      <c r="S29" s="87">
        <v>40</v>
      </c>
      <c r="T29" s="87" t="s">
        <v>2</v>
      </c>
      <c r="U29" s="88">
        <f>IF(S29&gt;0,IF(RIGHT(Ruimtestaat[[#This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9" s="88">
        <f>IF(U29&gt;0,VLOOKUP($K29,Ruimtegroepen[],3,FALSE)*VLOOKUP($M29,Vloersoorten[],3,FALSE)*VLOOKUP($T29,Frequenties[],3,FALSE)*VLOOKUP($A29,Locaties[],3,FALSE),0)</f>
        <v>0</v>
      </c>
      <c r="W29" s="89">
        <f>Ruimtestaat[[#This Row],[Uitvoeringen werkdagen]]*Ruimtestaat[[#This Row],[Oppervlak (netto)]]</f>
        <v>10800</v>
      </c>
      <c r="X29" s="90">
        <f>IF(V29&gt;0,Ruimtestaat[[#This Row],[Prest. (m2 /jaar) werkdagen]]/Ruimtestaat[[#This Row],[Norm (m2/uur) werkdagen]],0)</f>
        <v>0</v>
      </c>
      <c r="Y29" s="91">
        <f>Ruimtestaat[[#This Row],[uren / jaar werkdagen]]*Tariefsopbouw!$E$35</f>
        <v>0</v>
      </c>
      <c r="Z29" s="88"/>
      <c r="AA29" s="92">
        <f>IF(Ruimtestaat[[#This Row],[Frequentie weekend]]&gt;0,VALUE(LEFT(Z29,1))*S29,0)</f>
        <v>0</v>
      </c>
      <c r="AB29" s="88">
        <f>IF($AA29&gt;0,VLOOKUP($K29,Ruimtegroepen[],3,FALSE)*VLOOKUP($M29,Vloersoorten[],3,FALSE)*VLOOKUP($Z29,Frequenties[],3,FALSE)*VLOOKUP(#REF!,Locaties[],3,FALSE),0)</f>
        <v>0</v>
      </c>
      <c r="AC29" s="90">
        <f>Ruimtestaat[[#This Row],[Uitvoeringen weekend]]*Ruimtestaat[[#This Row],[Oppervlak (netto)]]</f>
        <v>0</v>
      </c>
      <c r="AD29" s="93">
        <f>IF(AC29&gt;0,Ruimtestaat[[#This Row],[Prest. (m2 /jaar) weekend]]/Ruimtestaat[[#This Row],[Norm (m2/uur) weekend]],0)</f>
        <v>0</v>
      </c>
      <c r="AE29" s="94">
        <f>Ruimtestaat[[#This Row],[uren / jaar weekend]]*Tariefsopbouw!$D$40</f>
        <v>0</v>
      </c>
      <c r="AF29" s="66">
        <f>Ruimtestaat[[#This Row],[Prest. (m2 /jaar) weekend]]+Ruimtestaat[[#This Row],[Prest. (m2 /jaar) werkdagen]]</f>
        <v>10800</v>
      </c>
      <c r="AG29" s="66">
        <f>Ruimtestaat[[#This Row],[uren / jaar weekend]]+Ruimtestaat[[#This Row],[uren / jaar werkdagen]]</f>
        <v>0</v>
      </c>
      <c r="AH29" s="67">
        <f>Ruimtestaat[[#This Row],[kosten / jaar weekend]]+Ruimtestaat[[#This Row],[kosten / jaar werkdagen]]</f>
        <v>0</v>
      </c>
    </row>
    <row r="30" spans="1:34" ht="15" customHeight="1">
      <c r="A30" s="112">
        <v>1</v>
      </c>
      <c r="B30" s="23" t="str">
        <f>VLOOKUP(Ruimtestaat[[#This Row],[Code]],Locaties[#All],2,FALSE)</f>
        <v>RSG Levant</v>
      </c>
      <c r="C30" s="23" t="str">
        <f>VLOOKUP(Ruimtestaat[[#This Row],[Code]],Locaties[#All],4,FALSE)</f>
        <v>Horsterweg 192</v>
      </c>
      <c r="D30" s="23" t="str">
        <f>VLOOKUP(Ruimtestaat[[#This Row],[Code]],Locaties[#All],5,FALSE)</f>
        <v>3891 EV</v>
      </c>
      <c r="E30" s="23" t="str">
        <f>VLOOKUP(Ruimtestaat[[#This Row],[Code]],Locaties[#All],6,FALSE)</f>
        <v>Zeewolde</v>
      </c>
      <c r="F30" s="23"/>
      <c r="G30" s="60"/>
      <c r="H30" s="23" t="s">
        <v>535</v>
      </c>
      <c r="I30" s="27" t="s">
        <v>493</v>
      </c>
      <c r="J30" s="3" t="s">
        <v>382</v>
      </c>
      <c r="K30" s="23">
        <v>6</v>
      </c>
      <c r="L30" s="60" t="str">
        <f>VLOOKUP(K30,Ruimtegroepen[],2,FALSE)</f>
        <v>Gangen/hallen</v>
      </c>
      <c r="M30" s="23" t="s">
        <v>112</v>
      </c>
      <c r="N30" s="23" t="s">
        <v>137</v>
      </c>
      <c r="O30" s="86">
        <v>21</v>
      </c>
      <c r="P30" s="86"/>
      <c r="Q30" s="95" t="str">
        <f>LEFT(VLOOKUP(Ruimtestaat[[#This Row],[Ruimte code]],Ruimtegroepen[#All],4,1),2)</f>
        <v xml:space="preserve">V </v>
      </c>
      <c r="R30" s="86"/>
      <c r="S30" s="87">
        <v>40</v>
      </c>
      <c r="T30" s="87" t="s">
        <v>2</v>
      </c>
      <c r="U30" s="88">
        <f>IF(S30&gt;0,IF(RIGHT(Ruimtestaat[[#This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0" s="88">
        <f>IF(U30&gt;0,VLOOKUP($K30,Ruimtegroepen[],3,FALSE)*VLOOKUP($M30,Vloersoorten[],3,FALSE)*VLOOKUP($T30,Frequenties[],3,FALSE)*VLOOKUP($A30,Locaties[],3,FALSE),0)</f>
        <v>0</v>
      </c>
      <c r="W30" s="89">
        <f>Ruimtestaat[[#This Row],[Uitvoeringen werkdagen]]*Ruimtestaat[[#This Row],[Oppervlak (netto)]]</f>
        <v>4200</v>
      </c>
      <c r="X30" s="90">
        <f>IF(V30&gt;0,Ruimtestaat[[#This Row],[Prest. (m2 /jaar) werkdagen]]/Ruimtestaat[[#This Row],[Norm (m2/uur) werkdagen]],0)</f>
        <v>0</v>
      </c>
      <c r="Y30" s="91">
        <f>Ruimtestaat[[#This Row],[uren / jaar werkdagen]]*Tariefsopbouw!$E$35</f>
        <v>0</v>
      </c>
      <c r="Z30" s="88"/>
      <c r="AA30" s="92">
        <f>IF(Ruimtestaat[[#This Row],[Frequentie weekend]]&gt;0,VALUE(LEFT(Z30,1))*S30,0)</f>
        <v>0</v>
      </c>
      <c r="AB30" s="88">
        <f>IF($AA30&gt;0,VLOOKUP($K30,Ruimtegroepen[],3,FALSE)*VLOOKUP($M30,Vloersoorten[],3,FALSE)*VLOOKUP($Z30,Frequenties[],3,FALSE)*VLOOKUP(#REF!,Locaties[],3,FALSE),0)</f>
        <v>0</v>
      </c>
      <c r="AC30" s="90">
        <f>Ruimtestaat[[#This Row],[Uitvoeringen weekend]]*Ruimtestaat[[#This Row],[Oppervlak (netto)]]</f>
        <v>0</v>
      </c>
      <c r="AD30" s="93">
        <f>IF(AC30&gt;0,Ruimtestaat[[#This Row],[Prest. (m2 /jaar) weekend]]/Ruimtestaat[[#This Row],[Norm (m2/uur) weekend]],0)</f>
        <v>0</v>
      </c>
      <c r="AE30" s="94">
        <f>Ruimtestaat[[#This Row],[uren / jaar weekend]]*Tariefsopbouw!$D$40</f>
        <v>0</v>
      </c>
      <c r="AF30" s="66">
        <f>Ruimtestaat[[#This Row],[Prest. (m2 /jaar) weekend]]+Ruimtestaat[[#This Row],[Prest. (m2 /jaar) werkdagen]]</f>
        <v>4200</v>
      </c>
      <c r="AG30" s="66">
        <f>Ruimtestaat[[#This Row],[uren / jaar weekend]]+Ruimtestaat[[#This Row],[uren / jaar werkdagen]]</f>
        <v>0</v>
      </c>
      <c r="AH30" s="67">
        <f>Ruimtestaat[[#This Row],[kosten / jaar weekend]]+Ruimtestaat[[#This Row],[kosten / jaar werkdagen]]</f>
        <v>0</v>
      </c>
    </row>
    <row r="31" spans="1:34" ht="15" customHeight="1">
      <c r="A31" s="112">
        <v>1</v>
      </c>
      <c r="B31" s="23" t="str">
        <f>VLOOKUP(Ruimtestaat[[#This Row],[Code]],Locaties[#All],2,FALSE)</f>
        <v>RSG Levant</v>
      </c>
      <c r="C31" s="23" t="str">
        <f>VLOOKUP(Ruimtestaat[[#This Row],[Code]],Locaties[#All],4,FALSE)</f>
        <v>Horsterweg 192</v>
      </c>
      <c r="D31" s="23" t="str">
        <f>VLOOKUP(Ruimtestaat[[#This Row],[Code]],Locaties[#All],5,FALSE)</f>
        <v>3891 EV</v>
      </c>
      <c r="E31" s="23" t="str">
        <f>VLOOKUP(Ruimtestaat[[#This Row],[Code]],Locaties[#All],6,FALSE)</f>
        <v>Zeewolde</v>
      </c>
      <c r="F31" s="23"/>
      <c r="G31" s="60"/>
      <c r="H31" s="23" t="s">
        <v>535</v>
      </c>
      <c r="I31" s="27" t="s">
        <v>494</v>
      </c>
      <c r="J31" s="3" t="s">
        <v>382</v>
      </c>
      <c r="K31" s="23">
        <v>6</v>
      </c>
      <c r="L31" s="60" t="str">
        <f>VLOOKUP(K31,Ruimtegroepen[],2,FALSE)</f>
        <v>Gangen/hallen</v>
      </c>
      <c r="M31" s="23" t="s">
        <v>112</v>
      </c>
      <c r="N31" s="23" t="s">
        <v>137</v>
      </c>
      <c r="O31" s="86">
        <v>16</v>
      </c>
      <c r="P31" s="86"/>
      <c r="Q31" s="95" t="str">
        <f>LEFT(VLOOKUP(Ruimtestaat[[#This Row],[Ruimte code]],Ruimtegroepen[#All],4,1),2)</f>
        <v xml:space="preserve">V </v>
      </c>
      <c r="R31" s="86"/>
      <c r="S31" s="87">
        <v>40</v>
      </c>
      <c r="T31" s="87" t="s">
        <v>2</v>
      </c>
      <c r="U31" s="88">
        <f>IF(S31&gt;0,IF(RIGHT(Ruimtestaat[[#This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1" s="88">
        <f>IF(U31&gt;0,VLOOKUP($K31,Ruimtegroepen[],3,FALSE)*VLOOKUP($M31,Vloersoorten[],3,FALSE)*VLOOKUP($T31,Frequenties[],3,FALSE)*VLOOKUP($A31,Locaties[],3,FALSE),0)</f>
        <v>0</v>
      </c>
      <c r="W31" s="89">
        <f>Ruimtestaat[[#This Row],[Uitvoeringen werkdagen]]*Ruimtestaat[[#This Row],[Oppervlak (netto)]]</f>
        <v>3200</v>
      </c>
      <c r="X31" s="90">
        <f>IF(V31&gt;0,Ruimtestaat[[#This Row],[Prest. (m2 /jaar) werkdagen]]/Ruimtestaat[[#This Row],[Norm (m2/uur) werkdagen]],0)</f>
        <v>0</v>
      </c>
      <c r="Y31" s="91">
        <f>Ruimtestaat[[#This Row],[uren / jaar werkdagen]]*Tariefsopbouw!$E$35</f>
        <v>0</v>
      </c>
      <c r="Z31" s="88"/>
      <c r="AA31" s="92">
        <f>IF(Ruimtestaat[[#This Row],[Frequentie weekend]]&gt;0,VALUE(LEFT(Z31,1))*S31,0)</f>
        <v>0</v>
      </c>
      <c r="AB31" s="88">
        <f>IF($AA31&gt;0,VLOOKUP($K31,Ruimtegroepen[],3,FALSE)*VLOOKUP($M31,Vloersoorten[],3,FALSE)*VLOOKUP($Z31,Frequenties[],3,FALSE)*VLOOKUP(#REF!,Locaties[],3,FALSE),0)</f>
        <v>0</v>
      </c>
      <c r="AC31" s="90">
        <f>Ruimtestaat[[#This Row],[Uitvoeringen weekend]]*Ruimtestaat[[#This Row],[Oppervlak (netto)]]</f>
        <v>0</v>
      </c>
      <c r="AD31" s="93">
        <f>IF(AC31&gt;0,Ruimtestaat[[#This Row],[Prest. (m2 /jaar) weekend]]/Ruimtestaat[[#This Row],[Norm (m2/uur) weekend]],0)</f>
        <v>0</v>
      </c>
      <c r="AE31" s="94">
        <f>Ruimtestaat[[#This Row],[uren / jaar weekend]]*Tariefsopbouw!$D$40</f>
        <v>0</v>
      </c>
      <c r="AF31" s="66">
        <f>Ruimtestaat[[#This Row],[Prest. (m2 /jaar) weekend]]+Ruimtestaat[[#This Row],[Prest. (m2 /jaar) werkdagen]]</f>
        <v>3200</v>
      </c>
      <c r="AG31" s="66">
        <f>Ruimtestaat[[#This Row],[uren / jaar weekend]]+Ruimtestaat[[#This Row],[uren / jaar werkdagen]]</f>
        <v>0</v>
      </c>
      <c r="AH31" s="67">
        <f>Ruimtestaat[[#This Row],[kosten / jaar weekend]]+Ruimtestaat[[#This Row],[kosten / jaar werkdagen]]</f>
        <v>0</v>
      </c>
    </row>
    <row r="32" spans="1:34" ht="15" customHeight="1">
      <c r="A32" s="112">
        <v>1</v>
      </c>
      <c r="B32" s="23" t="str">
        <f>VLOOKUP(Ruimtestaat[[#This Row],[Code]],Locaties[#All],2,FALSE)</f>
        <v>RSG Levant</v>
      </c>
      <c r="C32" s="23" t="str">
        <f>VLOOKUP(Ruimtestaat[[#This Row],[Code]],Locaties[#All],4,FALSE)</f>
        <v>Horsterweg 192</v>
      </c>
      <c r="D32" s="23" t="str">
        <f>VLOOKUP(Ruimtestaat[[#This Row],[Code]],Locaties[#All],5,FALSE)</f>
        <v>3891 EV</v>
      </c>
      <c r="E32" s="23" t="str">
        <f>VLOOKUP(Ruimtestaat[[#This Row],[Code]],Locaties[#All],6,FALSE)</f>
        <v>Zeewolde</v>
      </c>
      <c r="F32" s="23"/>
      <c r="G32" s="60"/>
      <c r="H32" s="23" t="s">
        <v>535</v>
      </c>
      <c r="I32" s="27" t="s">
        <v>495</v>
      </c>
      <c r="J32" s="3" t="s">
        <v>537</v>
      </c>
      <c r="K32" s="23">
        <v>10</v>
      </c>
      <c r="L32" s="60" t="str">
        <f>VLOOKUP(K32,Ruimtegroepen[],2,FALSE)</f>
        <v>Trappenhuizen/lift</v>
      </c>
      <c r="M32" s="23" t="s">
        <v>112</v>
      </c>
      <c r="N32" s="23" t="s">
        <v>137</v>
      </c>
      <c r="O32" s="86">
        <v>22</v>
      </c>
      <c r="P32" s="86"/>
      <c r="Q32" s="95" t="str">
        <f>LEFT(VLOOKUP(Ruimtestaat[[#This Row],[Ruimte code]],Ruimtegroepen[#All],4,1),2)</f>
        <v xml:space="preserve">V </v>
      </c>
      <c r="R32" s="86"/>
      <c r="S32" s="87">
        <v>40</v>
      </c>
      <c r="T32" s="87" t="s">
        <v>2</v>
      </c>
      <c r="U32" s="88">
        <f>IF(S32&gt;0,IF(RIGHT(Ruimtestaat[[#This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2" s="88">
        <f>IF(U32&gt;0,VLOOKUP($K32,Ruimtegroepen[],3,FALSE)*VLOOKUP($M32,Vloersoorten[],3,FALSE)*VLOOKUP($T32,Frequenties[],3,FALSE)*VLOOKUP($A32,Locaties[],3,FALSE),0)</f>
        <v>0</v>
      </c>
      <c r="W32" s="89">
        <f>Ruimtestaat[[#This Row],[Uitvoeringen werkdagen]]*Ruimtestaat[[#This Row],[Oppervlak (netto)]]</f>
        <v>4400</v>
      </c>
      <c r="X32" s="90">
        <f>IF(V32&gt;0,Ruimtestaat[[#This Row],[Prest. (m2 /jaar) werkdagen]]/Ruimtestaat[[#This Row],[Norm (m2/uur) werkdagen]],0)</f>
        <v>0</v>
      </c>
      <c r="Y32" s="91">
        <f>Ruimtestaat[[#This Row],[uren / jaar werkdagen]]*Tariefsopbouw!$E$35</f>
        <v>0</v>
      </c>
      <c r="Z32" s="88"/>
      <c r="AA32" s="92">
        <f>IF(Ruimtestaat[[#This Row],[Frequentie weekend]]&gt;0,VALUE(LEFT(Z32,1))*S32,0)</f>
        <v>0</v>
      </c>
      <c r="AB32" s="88">
        <f>IF($AA32&gt;0,VLOOKUP($K32,Ruimtegroepen[],3,FALSE)*VLOOKUP($M32,Vloersoorten[],3,FALSE)*VLOOKUP($Z32,Frequenties[],3,FALSE)*VLOOKUP(#REF!,Locaties[],3,FALSE),0)</f>
        <v>0</v>
      </c>
      <c r="AC32" s="90">
        <f>Ruimtestaat[[#This Row],[Uitvoeringen weekend]]*Ruimtestaat[[#This Row],[Oppervlak (netto)]]</f>
        <v>0</v>
      </c>
      <c r="AD32" s="93">
        <f>IF(AC32&gt;0,Ruimtestaat[[#This Row],[Prest. (m2 /jaar) weekend]]/Ruimtestaat[[#This Row],[Norm (m2/uur) weekend]],0)</f>
        <v>0</v>
      </c>
      <c r="AE32" s="94">
        <f>Ruimtestaat[[#This Row],[uren / jaar weekend]]*Tariefsopbouw!$D$40</f>
        <v>0</v>
      </c>
      <c r="AF32" s="66">
        <f>Ruimtestaat[[#This Row],[Prest. (m2 /jaar) weekend]]+Ruimtestaat[[#This Row],[Prest. (m2 /jaar) werkdagen]]</f>
        <v>4400</v>
      </c>
      <c r="AG32" s="66">
        <f>Ruimtestaat[[#This Row],[uren / jaar weekend]]+Ruimtestaat[[#This Row],[uren / jaar werkdagen]]</f>
        <v>0</v>
      </c>
      <c r="AH32" s="67">
        <f>Ruimtestaat[[#This Row],[kosten / jaar weekend]]+Ruimtestaat[[#This Row],[kosten / jaar werkdagen]]</f>
        <v>0</v>
      </c>
    </row>
    <row r="33" spans="1:34" ht="15" customHeight="1">
      <c r="A33" s="112">
        <v>1</v>
      </c>
      <c r="B33" s="23" t="str">
        <f>VLOOKUP(Ruimtestaat[[#This Row],[Code]],Locaties[#All],2,FALSE)</f>
        <v>RSG Levant</v>
      </c>
      <c r="C33" s="23" t="str">
        <f>VLOOKUP(Ruimtestaat[[#This Row],[Code]],Locaties[#All],4,FALSE)</f>
        <v>Horsterweg 192</v>
      </c>
      <c r="D33" s="23" t="str">
        <f>VLOOKUP(Ruimtestaat[[#This Row],[Code]],Locaties[#All],5,FALSE)</f>
        <v>3891 EV</v>
      </c>
      <c r="E33" s="23" t="str">
        <f>VLOOKUP(Ruimtestaat[[#This Row],[Code]],Locaties[#All],6,FALSE)</f>
        <v>Zeewolde</v>
      </c>
      <c r="F33" s="23"/>
      <c r="G33" s="60"/>
      <c r="H33" s="23" t="s">
        <v>535</v>
      </c>
      <c r="I33" s="27" t="s">
        <v>496</v>
      </c>
      <c r="J33" s="3" t="s">
        <v>547</v>
      </c>
      <c r="K33" s="23">
        <v>12</v>
      </c>
      <c r="L33" s="60" t="str">
        <f>VLOOKUP(K33,Ruimtegroepen[],2,FALSE)</f>
        <v>Kantine</v>
      </c>
      <c r="M33" s="23" t="s">
        <v>112</v>
      </c>
      <c r="N33" s="23" t="s">
        <v>137</v>
      </c>
      <c r="O33" s="86">
        <v>479</v>
      </c>
      <c r="P33" s="86"/>
      <c r="Q33" s="95" t="str">
        <f>LEFT(VLOOKUP(Ruimtestaat[[#This Row],[Ruimte code]],Ruimtegroepen[#All],4,1),2)</f>
        <v xml:space="preserve">V </v>
      </c>
      <c r="R33" s="86"/>
      <c r="S33" s="87">
        <v>40</v>
      </c>
      <c r="T33" s="87" t="s">
        <v>2</v>
      </c>
      <c r="U33" s="88">
        <f>IF(S33&gt;0,IF(RIGHT(Ruimtestaat[[#This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3" s="88">
        <f>IF(U33&gt;0,VLOOKUP($K33,Ruimtegroepen[],3,FALSE)*VLOOKUP($M33,Vloersoorten[],3,FALSE)*VLOOKUP($T33,Frequenties[],3,FALSE)*VLOOKUP($A33,Locaties[],3,FALSE),0)</f>
        <v>0</v>
      </c>
      <c r="W33" s="89">
        <f>Ruimtestaat[[#This Row],[Uitvoeringen werkdagen]]*Ruimtestaat[[#This Row],[Oppervlak (netto)]]</f>
        <v>95800</v>
      </c>
      <c r="X33" s="90">
        <f>IF(V33&gt;0,Ruimtestaat[[#This Row],[Prest. (m2 /jaar) werkdagen]]/Ruimtestaat[[#This Row],[Norm (m2/uur) werkdagen]],0)</f>
        <v>0</v>
      </c>
      <c r="Y33" s="91">
        <f>Ruimtestaat[[#This Row],[uren / jaar werkdagen]]*Tariefsopbouw!$E$35</f>
        <v>0</v>
      </c>
      <c r="Z33" s="88"/>
      <c r="AA33" s="92">
        <f>IF(Ruimtestaat[[#This Row],[Frequentie weekend]]&gt;0,VALUE(LEFT(Z33,1))*S33,0)</f>
        <v>0</v>
      </c>
      <c r="AB33" s="88">
        <f>IF($AA33&gt;0,VLOOKUP($K33,Ruimtegroepen[],3,FALSE)*VLOOKUP($M33,Vloersoorten[],3,FALSE)*VLOOKUP($Z33,Frequenties[],3,FALSE)*VLOOKUP(#REF!,Locaties[],3,FALSE),0)</f>
        <v>0</v>
      </c>
      <c r="AC33" s="90">
        <f>Ruimtestaat[[#This Row],[Uitvoeringen weekend]]*Ruimtestaat[[#This Row],[Oppervlak (netto)]]</f>
        <v>0</v>
      </c>
      <c r="AD33" s="93">
        <f>IF(AC33&gt;0,Ruimtestaat[[#This Row],[Prest. (m2 /jaar) weekend]]/Ruimtestaat[[#This Row],[Norm (m2/uur) weekend]],0)</f>
        <v>0</v>
      </c>
      <c r="AE33" s="94">
        <f>Ruimtestaat[[#This Row],[uren / jaar weekend]]*Tariefsopbouw!$D$40</f>
        <v>0</v>
      </c>
      <c r="AF33" s="66">
        <f>Ruimtestaat[[#This Row],[Prest. (m2 /jaar) weekend]]+Ruimtestaat[[#This Row],[Prest. (m2 /jaar) werkdagen]]</f>
        <v>95800</v>
      </c>
      <c r="AG33" s="66">
        <f>Ruimtestaat[[#This Row],[uren / jaar weekend]]+Ruimtestaat[[#This Row],[uren / jaar werkdagen]]</f>
        <v>0</v>
      </c>
      <c r="AH33" s="67">
        <f>Ruimtestaat[[#This Row],[kosten / jaar weekend]]+Ruimtestaat[[#This Row],[kosten / jaar werkdagen]]</f>
        <v>0</v>
      </c>
    </row>
    <row r="34" spans="1:34" ht="15" customHeight="1">
      <c r="A34" s="112">
        <v>1</v>
      </c>
      <c r="B34" s="23" t="str">
        <f>VLOOKUP(Ruimtestaat[[#This Row],[Code]],Locaties[#All],2,FALSE)</f>
        <v>RSG Levant</v>
      </c>
      <c r="C34" s="23" t="str">
        <f>VLOOKUP(Ruimtestaat[[#This Row],[Code]],Locaties[#All],4,FALSE)</f>
        <v>Horsterweg 192</v>
      </c>
      <c r="D34" s="23" t="str">
        <f>VLOOKUP(Ruimtestaat[[#This Row],[Code]],Locaties[#All],5,FALSE)</f>
        <v>3891 EV</v>
      </c>
      <c r="E34" s="23" t="str">
        <f>VLOOKUP(Ruimtestaat[[#This Row],[Code]],Locaties[#All],6,FALSE)</f>
        <v>Zeewolde</v>
      </c>
      <c r="F34" s="23"/>
      <c r="G34" s="60"/>
      <c r="H34" s="23" t="s">
        <v>535</v>
      </c>
      <c r="I34" s="27" t="s">
        <v>497</v>
      </c>
      <c r="J34" s="3" t="s">
        <v>548</v>
      </c>
      <c r="K34" s="23">
        <v>12</v>
      </c>
      <c r="L34" s="60" t="str">
        <f>VLOOKUP(K34,Ruimtegroepen[],2,FALSE)</f>
        <v>Kantine</v>
      </c>
      <c r="M34" s="23" t="s">
        <v>112</v>
      </c>
      <c r="N34" s="23" t="s">
        <v>137</v>
      </c>
      <c r="O34" s="86">
        <v>184</v>
      </c>
      <c r="P34" s="86"/>
      <c r="Q34" s="95" t="str">
        <f>LEFT(VLOOKUP(Ruimtestaat[[#This Row],[Ruimte code]],Ruimtegroepen[#All],4,1),2)</f>
        <v xml:space="preserve">V </v>
      </c>
      <c r="R34" s="86"/>
      <c r="S34" s="87">
        <v>40</v>
      </c>
      <c r="T34" s="87" t="s">
        <v>2</v>
      </c>
      <c r="U34" s="88">
        <f>IF(S34&gt;0,IF(RIGHT(Ruimtestaat[[#This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4" s="88">
        <f>IF(U34&gt;0,VLOOKUP($K34,Ruimtegroepen[],3,FALSE)*VLOOKUP($M34,Vloersoorten[],3,FALSE)*VLOOKUP($T34,Frequenties[],3,FALSE)*VLOOKUP($A34,Locaties[],3,FALSE),0)</f>
        <v>0</v>
      </c>
      <c r="W34" s="89">
        <f>Ruimtestaat[[#This Row],[Uitvoeringen werkdagen]]*Ruimtestaat[[#This Row],[Oppervlak (netto)]]</f>
        <v>36800</v>
      </c>
      <c r="X34" s="90">
        <f>IF(V34&gt;0,Ruimtestaat[[#This Row],[Prest. (m2 /jaar) werkdagen]]/Ruimtestaat[[#This Row],[Norm (m2/uur) werkdagen]],0)</f>
        <v>0</v>
      </c>
      <c r="Y34" s="91">
        <f>Ruimtestaat[[#This Row],[uren / jaar werkdagen]]*Tariefsopbouw!$E$35</f>
        <v>0</v>
      </c>
      <c r="Z34" s="88"/>
      <c r="AA34" s="92">
        <f>IF(Ruimtestaat[[#This Row],[Frequentie weekend]]&gt;0,VALUE(LEFT(Z34,1))*S34,0)</f>
        <v>0</v>
      </c>
      <c r="AB34" s="88">
        <f>IF($AA34&gt;0,VLOOKUP($K34,Ruimtegroepen[],3,FALSE)*VLOOKUP($M34,Vloersoorten[],3,FALSE)*VLOOKUP($Z34,Frequenties[],3,FALSE)*VLOOKUP(#REF!,Locaties[],3,FALSE),0)</f>
        <v>0</v>
      </c>
      <c r="AC34" s="90">
        <f>Ruimtestaat[[#This Row],[Uitvoeringen weekend]]*Ruimtestaat[[#This Row],[Oppervlak (netto)]]</f>
        <v>0</v>
      </c>
      <c r="AD34" s="93">
        <f>IF(AC34&gt;0,Ruimtestaat[[#This Row],[Prest. (m2 /jaar) weekend]]/Ruimtestaat[[#This Row],[Norm (m2/uur) weekend]],0)</f>
        <v>0</v>
      </c>
      <c r="AE34" s="94">
        <f>Ruimtestaat[[#This Row],[uren / jaar weekend]]*Tariefsopbouw!$D$40</f>
        <v>0</v>
      </c>
      <c r="AF34" s="66">
        <f>Ruimtestaat[[#This Row],[Prest. (m2 /jaar) weekend]]+Ruimtestaat[[#This Row],[Prest. (m2 /jaar) werkdagen]]</f>
        <v>36800</v>
      </c>
      <c r="AG34" s="66">
        <f>Ruimtestaat[[#This Row],[uren / jaar weekend]]+Ruimtestaat[[#This Row],[uren / jaar werkdagen]]</f>
        <v>0</v>
      </c>
      <c r="AH34" s="67">
        <f>Ruimtestaat[[#This Row],[kosten / jaar weekend]]+Ruimtestaat[[#This Row],[kosten / jaar werkdagen]]</f>
        <v>0</v>
      </c>
    </row>
    <row r="35" spans="1:34" ht="15" customHeight="1">
      <c r="A35" s="112">
        <v>1</v>
      </c>
      <c r="B35" s="23" t="str">
        <f>VLOOKUP(Ruimtestaat[[#This Row],[Code]],Locaties[#All],2,FALSE)</f>
        <v>RSG Levant</v>
      </c>
      <c r="C35" s="23" t="str">
        <f>VLOOKUP(Ruimtestaat[[#This Row],[Code]],Locaties[#All],4,FALSE)</f>
        <v>Horsterweg 192</v>
      </c>
      <c r="D35" s="23" t="str">
        <f>VLOOKUP(Ruimtestaat[[#This Row],[Code]],Locaties[#All],5,FALSE)</f>
        <v>3891 EV</v>
      </c>
      <c r="E35" s="23" t="str">
        <f>VLOOKUP(Ruimtestaat[[#This Row],[Code]],Locaties[#All],6,FALSE)</f>
        <v>Zeewolde</v>
      </c>
      <c r="F35" s="23"/>
      <c r="G35" s="60"/>
      <c r="H35" s="23" t="s">
        <v>535</v>
      </c>
      <c r="I35" s="27" t="s">
        <v>498</v>
      </c>
      <c r="J35" s="3" t="s">
        <v>549</v>
      </c>
      <c r="K35" s="23">
        <v>9</v>
      </c>
      <c r="L35" s="60" t="str">
        <f>VLOOKUP(K35,Ruimtegroepen[],2,FALSE)</f>
        <v>Garderobe</v>
      </c>
      <c r="M35" s="23" t="s">
        <v>112</v>
      </c>
      <c r="N35" s="23" t="s">
        <v>137</v>
      </c>
      <c r="O35" s="86">
        <v>40</v>
      </c>
      <c r="P35" s="86"/>
      <c r="Q35" s="95" t="str">
        <f>LEFT(VLOOKUP(Ruimtestaat[[#This Row],[Ruimte code]],Ruimtegroepen[#All],4,1),2)</f>
        <v xml:space="preserve">V </v>
      </c>
      <c r="R35" s="86"/>
      <c r="S35" s="87">
        <v>40</v>
      </c>
      <c r="T35" s="87" t="s">
        <v>2</v>
      </c>
      <c r="U35" s="88">
        <f>IF(S35&gt;0,IF(RIGHT(Ruimtestaat[[#This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5" s="88">
        <f>IF(U35&gt;0,VLOOKUP($K35,Ruimtegroepen[],3,FALSE)*VLOOKUP($M35,Vloersoorten[],3,FALSE)*VLOOKUP($T35,Frequenties[],3,FALSE)*VLOOKUP($A35,Locaties[],3,FALSE),0)</f>
        <v>0</v>
      </c>
      <c r="W35" s="89">
        <f>Ruimtestaat[[#This Row],[Uitvoeringen werkdagen]]*Ruimtestaat[[#This Row],[Oppervlak (netto)]]</f>
        <v>8000</v>
      </c>
      <c r="X35" s="90">
        <f>IF(V35&gt;0,Ruimtestaat[[#This Row],[Prest. (m2 /jaar) werkdagen]]/Ruimtestaat[[#This Row],[Norm (m2/uur) werkdagen]],0)</f>
        <v>0</v>
      </c>
      <c r="Y35" s="91">
        <f>Ruimtestaat[[#This Row],[uren / jaar werkdagen]]*Tariefsopbouw!$E$35</f>
        <v>0</v>
      </c>
      <c r="Z35" s="88"/>
      <c r="AA35" s="92">
        <f>IF(Ruimtestaat[[#This Row],[Frequentie weekend]]&gt;0,VALUE(LEFT(Z35,1))*S35,0)</f>
        <v>0</v>
      </c>
      <c r="AB35" s="88">
        <f>IF($AA35&gt;0,VLOOKUP($K35,Ruimtegroepen[],3,FALSE)*VLOOKUP($M35,Vloersoorten[],3,FALSE)*VLOOKUP($Z35,Frequenties[],3,FALSE)*VLOOKUP(#REF!,Locaties[],3,FALSE),0)</f>
        <v>0</v>
      </c>
      <c r="AC35" s="90">
        <f>Ruimtestaat[[#This Row],[Uitvoeringen weekend]]*Ruimtestaat[[#This Row],[Oppervlak (netto)]]</f>
        <v>0</v>
      </c>
      <c r="AD35" s="93">
        <f>IF(AC35&gt;0,Ruimtestaat[[#This Row],[Prest. (m2 /jaar) weekend]]/Ruimtestaat[[#This Row],[Norm (m2/uur) weekend]],0)</f>
        <v>0</v>
      </c>
      <c r="AE35" s="94">
        <f>Ruimtestaat[[#This Row],[uren / jaar weekend]]*Tariefsopbouw!$D$40</f>
        <v>0</v>
      </c>
      <c r="AF35" s="66">
        <f>Ruimtestaat[[#This Row],[Prest. (m2 /jaar) weekend]]+Ruimtestaat[[#This Row],[Prest. (m2 /jaar) werkdagen]]</f>
        <v>8000</v>
      </c>
      <c r="AG35" s="66">
        <f>Ruimtestaat[[#This Row],[uren / jaar weekend]]+Ruimtestaat[[#This Row],[uren / jaar werkdagen]]</f>
        <v>0</v>
      </c>
      <c r="AH35" s="67">
        <f>Ruimtestaat[[#This Row],[kosten / jaar weekend]]+Ruimtestaat[[#This Row],[kosten / jaar werkdagen]]</f>
        <v>0</v>
      </c>
    </row>
    <row r="36" spans="1:34" ht="15" customHeight="1">
      <c r="A36" s="112">
        <v>1</v>
      </c>
      <c r="B36" s="23" t="str">
        <f>VLOOKUP(Ruimtestaat[[#This Row],[Code]],Locaties[#All],2,FALSE)</f>
        <v>RSG Levant</v>
      </c>
      <c r="C36" s="23" t="str">
        <f>VLOOKUP(Ruimtestaat[[#This Row],[Code]],Locaties[#All],4,FALSE)</f>
        <v>Horsterweg 192</v>
      </c>
      <c r="D36" s="23" t="str">
        <f>VLOOKUP(Ruimtestaat[[#This Row],[Code]],Locaties[#All],5,FALSE)</f>
        <v>3891 EV</v>
      </c>
      <c r="E36" s="23" t="str">
        <f>VLOOKUP(Ruimtestaat[[#This Row],[Code]],Locaties[#All],6,FALSE)</f>
        <v>Zeewolde</v>
      </c>
      <c r="F36" s="23"/>
      <c r="G36" s="60"/>
      <c r="H36" s="23" t="s">
        <v>535</v>
      </c>
      <c r="I36" s="27" t="s">
        <v>499</v>
      </c>
      <c r="J36" s="3" t="s">
        <v>550</v>
      </c>
      <c r="K36" s="23">
        <v>12</v>
      </c>
      <c r="L36" s="60" t="str">
        <f>VLOOKUP(K36,Ruimtegroepen[],2,FALSE)</f>
        <v>Kantine</v>
      </c>
      <c r="M36" s="23" t="s">
        <v>112</v>
      </c>
      <c r="N36" s="23" t="s">
        <v>137</v>
      </c>
      <c r="O36" s="86">
        <v>46</v>
      </c>
      <c r="P36" s="86"/>
      <c r="Q36" s="95" t="str">
        <f>LEFT(VLOOKUP(Ruimtestaat[[#This Row],[Ruimte code]],Ruimtegroepen[#All],4,1),2)</f>
        <v xml:space="preserve">V </v>
      </c>
      <c r="R36" s="86"/>
      <c r="S36" s="87">
        <v>40</v>
      </c>
      <c r="T36" s="87" t="s">
        <v>2</v>
      </c>
      <c r="U36" s="88">
        <f>IF(S36&gt;0,IF(RIGHT(Ruimtestaat[[#This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6" s="88">
        <f>IF(U36&gt;0,VLOOKUP($K36,Ruimtegroepen[],3,FALSE)*VLOOKUP($M36,Vloersoorten[],3,FALSE)*VLOOKUP($T36,Frequenties[],3,FALSE)*VLOOKUP($A36,Locaties[],3,FALSE),0)</f>
        <v>0</v>
      </c>
      <c r="W36" s="89">
        <f>Ruimtestaat[[#This Row],[Uitvoeringen werkdagen]]*Ruimtestaat[[#This Row],[Oppervlak (netto)]]</f>
        <v>9200</v>
      </c>
      <c r="X36" s="90">
        <f>IF(V36&gt;0,Ruimtestaat[[#This Row],[Prest. (m2 /jaar) werkdagen]]/Ruimtestaat[[#This Row],[Norm (m2/uur) werkdagen]],0)</f>
        <v>0</v>
      </c>
      <c r="Y36" s="91">
        <f>Ruimtestaat[[#This Row],[uren / jaar werkdagen]]*Tariefsopbouw!$E$35</f>
        <v>0</v>
      </c>
      <c r="Z36" s="88"/>
      <c r="AA36" s="92">
        <f>IF(Ruimtestaat[[#This Row],[Frequentie weekend]]&gt;0,VALUE(LEFT(Z36,1))*S36,0)</f>
        <v>0</v>
      </c>
      <c r="AB36" s="88">
        <f>IF($AA36&gt;0,VLOOKUP($K36,Ruimtegroepen[],3,FALSE)*VLOOKUP($M36,Vloersoorten[],3,FALSE)*VLOOKUP($Z36,Frequenties[],3,FALSE)*VLOOKUP(#REF!,Locaties[],3,FALSE),0)</f>
        <v>0</v>
      </c>
      <c r="AC36" s="90">
        <f>Ruimtestaat[[#This Row],[Uitvoeringen weekend]]*Ruimtestaat[[#This Row],[Oppervlak (netto)]]</f>
        <v>0</v>
      </c>
      <c r="AD36" s="93">
        <f>IF(AC36&gt;0,Ruimtestaat[[#This Row],[Prest. (m2 /jaar) weekend]]/Ruimtestaat[[#This Row],[Norm (m2/uur) weekend]],0)</f>
        <v>0</v>
      </c>
      <c r="AE36" s="94">
        <f>Ruimtestaat[[#This Row],[uren / jaar weekend]]*Tariefsopbouw!$D$40</f>
        <v>0</v>
      </c>
      <c r="AF36" s="66">
        <f>Ruimtestaat[[#This Row],[Prest. (m2 /jaar) weekend]]+Ruimtestaat[[#This Row],[Prest. (m2 /jaar) werkdagen]]</f>
        <v>9200</v>
      </c>
      <c r="AG36" s="66">
        <f>Ruimtestaat[[#This Row],[uren / jaar weekend]]+Ruimtestaat[[#This Row],[uren / jaar werkdagen]]</f>
        <v>0</v>
      </c>
      <c r="AH36" s="67">
        <f>Ruimtestaat[[#This Row],[kosten / jaar weekend]]+Ruimtestaat[[#This Row],[kosten / jaar werkdagen]]</f>
        <v>0</v>
      </c>
    </row>
    <row r="37" spans="1:34" ht="15" customHeight="1">
      <c r="A37" s="112">
        <v>1</v>
      </c>
      <c r="B37" s="23" t="str">
        <f>VLOOKUP(Ruimtestaat[[#This Row],[Code]],Locaties[#All],2,FALSE)</f>
        <v>RSG Levant</v>
      </c>
      <c r="C37" s="23" t="str">
        <f>VLOOKUP(Ruimtestaat[[#This Row],[Code]],Locaties[#All],4,FALSE)</f>
        <v>Horsterweg 192</v>
      </c>
      <c r="D37" s="23" t="str">
        <f>VLOOKUP(Ruimtestaat[[#This Row],[Code]],Locaties[#All],5,FALSE)</f>
        <v>3891 EV</v>
      </c>
      <c r="E37" s="23" t="str">
        <f>VLOOKUP(Ruimtestaat[[#This Row],[Code]],Locaties[#All],6,FALSE)</f>
        <v>Zeewolde</v>
      </c>
      <c r="F37" s="23"/>
      <c r="G37" s="60"/>
      <c r="H37" s="23" t="s">
        <v>535</v>
      </c>
      <c r="I37" s="27" t="s">
        <v>500</v>
      </c>
      <c r="J37" s="3" t="s">
        <v>551</v>
      </c>
      <c r="K37" s="23">
        <v>19</v>
      </c>
      <c r="L37" s="60" t="str">
        <f>VLOOKUP(K37,Ruimtegroepen[],2,FALSE)</f>
        <v>Kleedruimten</v>
      </c>
      <c r="M37" s="23" t="s">
        <v>112</v>
      </c>
      <c r="N37" s="23" t="s">
        <v>137</v>
      </c>
      <c r="O37" s="86">
        <v>14</v>
      </c>
      <c r="P37" s="86"/>
      <c r="Q37" s="95" t="str">
        <f>LEFT(VLOOKUP(Ruimtestaat[[#This Row],[Ruimte code]],Ruimtegroepen[#All],4,1),2)</f>
        <v xml:space="preserve">V </v>
      </c>
      <c r="R37" s="86"/>
      <c r="S37" s="87">
        <v>40</v>
      </c>
      <c r="T37" s="87" t="s">
        <v>2</v>
      </c>
      <c r="U37" s="88">
        <f>IF(S37&gt;0,IF(RIGHT(Ruimtestaat[[#This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7" s="88">
        <f>IF(U37&gt;0,VLOOKUP($K37,Ruimtegroepen[],3,FALSE)*VLOOKUP($M37,Vloersoorten[],3,FALSE)*VLOOKUP($T37,Frequenties[],3,FALSE)*VLOOKUP($A37,Locaties[],3,FALSE),0)</f>
        <v>0</v>
      </c>
      <c r="W37" s="89">
        <f>Ruimtestaat[[#This Row],[Uitvoeringen werkdagen]]*Ruimtestaat[[#This Row],[Oppervlak (netto)]]</f>
        <v>2800</v>
      </c>
      <c r="X37" s="90">
        <f>IF(V37&gt;0,Ruimtestaat[[#This Row],[Prest. (m2 /jaar) werkdagen]]/Ruimtestaat[[#This Row],[Norm (m2/uur) werkdagen]],0)</f>
        <v>0</v>
      </c>
      <c r="Y37" s="91">
        <f>Ruimtestaat[[#This Row],[uren / jaar werkdagen]]*Tariefsopbouw!$E$35</f>
        <v>0</v>
      </c>
      <c r="Z37" s="88"/>
      <c r="AA37" s="92">
        <f>IF(Ruimtestaat[[#This Row],[Frequentie weekend]]&gt;0,VALUE(LEFT(Z37,1))*S37,0)</f>
        <v>0</v>
      </c>
      <c r="AB37" s="88">
        <f>IF($AA37&gt;0,VLOOKUP($K37,Ruimtegroepen[],3,FALSE)*VLOOKUP($M37,Vloersoorten[],3,FALSE)*VLOOKUP($Z37,Frequenties[],3,FALSE)*VLOOKUP(#REF!,Locaties[],3,FALSE),0)</f>
        <v>0</v>
      </c>
      <c r="AC37" s="90">
        <f>Ruimtestaat[[#This Row],[Uitvoeringen weekend]]*Ruimtestaat[[#This Row],[Oppervlak (netto)]]</f>
        <v>0</v>
      </c>
      <c r="AD37" s="93">
        <f>IF(AC37&gt;0,Ruimtestaat[[#This Row],[Prest. (m2 /jaar) weekend]]/Ruimtestaat[[#This Row],[Norm (m2/uur) weekend]],0)</f>
        <v>0</v>
      </c>
      <c r="AE37" s="94">
        <f>Ruimtestaat[[#This Row],[uren / jaar weekend]]*Tariefsopbouw!$D$40</f>
        <v>0</v>
      </c>
      <c r="AF37" s="66">
        <f>Ruimtestaat[[#This Row],[Prest. (m2 /jaar) weekend]]+Ruimtestaat[[#This Row],[Prest. (m2 /jaar) werkdagen]]</f>
        <v>2800</v>
      </c>
      <c r="AG37" s="66">
        <f>Ruimtestaat[[#This Row],[uren / jaar weekend]]+Ruimtestaat[[#This Row],[uren / jaar werkdagen]]</f>
        <v>0</v>
      </c>
      <c r="AH37" s="67">
        <f>Ruimtestaat[[#This Row],[kosten / jaar weekend]]+Ruimtestaat[[#This Row],[kosten / jaar werkdagen]]</f>
        <v>0</v>
      </c>
    </row>
    <row r="38" spans="1:34" ht="15" customHeight="1">
      <c r="A38" s="112">
        <v>1</v>
      </c>
      <c r="B38" s="23" t="str">
        <f>VLOOKUP(Ruimtestaat[[#This Row],[Code]],Locaties[#All],2,FALSE)</f>
        <v>RSG Levant</v>
      </c>
      <c r="C38" s="23" t="str">
        <f>VLOOKUP(Ruimtestaat[[#This Row],[Code]],Locaties[#All],4,FALSE)</f>
        <v>Horsterweg 192</v>
      </c>
      <c r="D38" s="23" t="str">
        <f>VLOOKUP(Ruimtestaat[[#This Row],[Code]],Locaties[#All],5,FALSE)</f>
        <v>3891 EV</v>
      </c>
      <c r="E38" s="23" t="str">
        <f>VLOOKUP(Ruimtestaat[[#This Row],[Code]],Locaties[#All],6,FALSE)</f>
        <v>Zeewolde</v>
      </c>
      <c r="F38" s="23"/>
      <c r="G38" s="60"/>
      <c r="H38" s="23" t="s">
        <v>535</v>
      </c>
      <c r="I38" s="27" t="s">
        <v>501</v>
      </c>
      <c r="J38" s="3" t="s">
        <v>552</v>
      </c>
      <c r="K38" s="23">
        <v>1</v>
      </c>
      <c r="L38" s="60" t="str">
        <f>VLOOKUP(K38,Ruimtegroepen[],2,FALSE)</f>
        <v>Magazijnen/bergingen</v>
      </c>
      <c r="M38" s="23" t="s">
        <v>112</v>
      </c>
      <c r="N38" s="23" t="s">
        <v>137</v>
      </c>
      <c r="O38" s="86">
        <v>14</v>
      </c>
      <c r="P38" s="86"/>
      <c r="Q38" s="95" t="str">
        <f>LEFT(VLOOKUP(Ruimtestaat[[#This Row],[Ruimte code]],Ruimtegroepen[#All],4,1),2)</f>
        <v xml:space="preserve">V </v>
      </c>
      <c r="R38" s="86"/>
      <c r="S38" s="87">
        <v>40</v>
      </c>
      <c r="T38" s="87" t="s">
        <v>15</v>
      </c>
      <c r="U38" s="88">
        <f>IF(S38&gt;0,IF(RIGHT(Ruimtestaat[[#This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V38" s="88">
        <f>IF(U38&gt;0,VLOOKUP($K38,Ruimtegroepen[],3,FALSE)*VLOOKUP($M38,Vloersoorten[],3,FALSE)*VLOOKUP($T38,Frequenties[],3,FALSE)*VLOOKUP($A38,Locaties[],3,FALSE),0)</f>
        <v>0</v>
      </c>
      <c r="W38" s="89">
        <f>Ruimtestaat[[#This Row],[Uitvoeringen werkdagen]]*Ruimtestaat[[#This Row],[Oppervlak (netto)]]</f>
        <v>560</v>
      </c>
      <c r="X38" s="90">
        <f>IF(V38&gt;0,Ruimtestaat[[#This Row],[Prest. (m2 /jaar) werkdagen]]/Ruimtestaat[[#This Row],[Norm (m2/uur) werkdagen]],0)</f>
        <v>0</v>
      </c>
      <c r="Y38" s="91">
        <f>Ruimtestaat[[#This Row],[uren / jaar werkdagen]]*Tariefsopbouw!$E$35</f>
        <v>0</v>
      </c>
      <c r="Z38" s="88"/>
      <c r="AA38" s="92">
        <f>IF(Ruimtestaat[[#This Row],[Frequentie weekend]]&gt;0,VALUE(LEFT(Z38,1))*S38,0)</f>
        <v>0</v>
      </c>
      <c r="AB38" s="88">
        <f>IF($AA38&gt;0,VLOOKUP($K38,Ruimtegroepen[],3,FALSE)*VLOOKUP($M38,Vloersoorten[],3,FALSE)*VLOOKUP($Z38,Frequenties[],3,FALSE)*VLOOKUP(#REF!,Locaties[],3,FALSE),0)</f>
        <v>0</v>
      </c>
      <c r="AC38" s="90">
        <f>Ruimtestaat[[#This Row],[Uitvoeringen weekend]]*Ruimtestaat[[#This Row],[Oppervlak (netto)]]</f>
        <v>0</v>
      </c>
      <c r="AD38" s="93">
        <f>IF(AC38&gt;0,Ruimtestaat[[#This Row],[Prest. (m2 /jaar) weekend]]/Ruimtestaat[[#This Row],[Norm (m2/uur) weekend]],0)</f>
        <v>0</v>
      </c>
      <c r="AE38" s="94">
        <f>Ruimtestaat[[#This Row],[uren / jaar weekend]]*Tariefsopbouw!$D$40</f>
        <v>0</v>
      </c>
      <c r="AF38" s="66">
        <f>Ruimtestaat[[#This Row],[Prest. (m2 /jaar) weekend]]+Ruimtestaat[[#This Row],[Prest. (m2 /jaar) werkdagen]]</f>
        <v>560</v>
      </c>
      <c r="AG38" s="66">
        <f>Ruimtestaat[[#This Row],[uren / jaar weekend]]+Ruimtestaat[[#This Row],[uren / jaar werkdagen]]</f>
        <v>0</v>
      </c>
      <c r="AH38" s="67">
        <f>Ruimtestaat[[#This Row],[kosten / jaar weekend]]+Ruimtestaat[[#This Row],[kosten / jaar werkdagen]]</f>
        <v>0</v>
      </c>
    </row>
    <row r="39" spans="1:34" ht="15" customHeight="1">
      <c r="A39" s="112">
        <v>1</v>
      </c>
      <c r="B39" s="23" t="str">
        <f>VLOOKUP(Ruimtestaat[[#This Row],[Code]],Locaties[#All],2,FALSE)</f>
        <v>RSG Levant</v>
      </c>
      <c r="C39" s="23" t="str">
        <f>VLOOKUP(Ruimtestaat[[#This Row],[Code]],Locaties[#All],4,FALSE)</f>
        <v>Horsterweg 192</v>
      </c>
      <c r="D39" s="23" t="str">
        <f>VLOOKUP(Ruimtestaat[[#This Row],[Code]],Locaties[#All],5,FALSE)</f>
        <v>3891 EV</v>
      </c>
      <c r="E39" s="23" t="str">
        <f>VLOOKUP(Ruimtestaat[[#This Row],[Code]],Locaties[#All],6,FALSE)</f>
        <v>Zeewolde</v>
      </c>
      <c r="F39" s="23"/>
      <c r="G39" s="60"/>
      <c r="H39" s="23" t="s">
        <v>535</v>
      </c>
      <c r="I39" s="27" t="s">
        <v>502</v>
      </c>
      <c r="J39" s="3" t="s">
        <v>540</v>
      </c>
      <c r="K39" s="23">
        <v>23</v>
      </c>
      <c r="L39" s="60" t="str">
        <f>VLOOKUP(K39,Ruimtegroepen[],2,FALSE)</f>
        <v>Niet in onderhoud</v>
      </c>
      <c r="M39" s="23" t="s">
        <v>113</v>
      </c>
      <c r="N39" s="23" t="s">
        <v>661</v>
      </c>
      <c r="O39" s="86"/>
      <c r="P39" s="86">
        <v>3</v>
      </c>
      <c r="Q39" s="95" t="str">
        <f>LEFT(VLOOKUP(Ruimtestaat[[#This Row],[Ruimte code]],Ruimtegroepen[#All],4,1),2)</f>
        <v/>
      </c>
      <c r="R39" s="86"/>
      <c r="S39" s="87"/>
      <c r="T39" s="87"/>
      <c r="U39" s="88">
        <f>IF(S39&gt;0,IF(RIGHT(Ruimtestaat[[#This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9" s="88">
        <f>IF(U39&gt;0,VLOOKUP($K39,Ruimtegroepen[],3,FALSE)*VLOOKUP($M39,Vloersoorten[],3,FALSE)*VLOOKUP($T39,Frequenties[],3,FALSE)*VLOOKUP($A39,Locaties[],3,FALSE),0)</f>
        <v>0</v>
      </c>
      <c r="W39" s="89">
        <f>Ruimtestaat[[#This Row],[Uitvoeringen werkdagen]]*Ruimtestaat[[#This Row],[Oppervlak (netto)]]</f>
        <v>0</v>
      </c>
      <c r="X39" s="90">
        <f>IF(V39&gt;0,Ruimtestaat[[#This Row],[Prest. (m2 /jaar) werkdagen]]/Ruimtestaat[[#This Row],[Norm (m2/uur) werkdagen]],0)</f>
        <v>0</v>
      </c>
      <c r="Y39" s="91">
        <f>Ruimtestaat[[#This Row],[uren / jaar werkdagen]]*Tariefsopbouw!$E$35</f>
        <v>0</v>
      </c>
      <c r="Z39" s="88"/>
      <c r="AA39" s="92">
        <f>IF(Ruimtestaat[[#This Row],[Frequentie weekend]]&gt;0,VALUE(LEFT(Z39,1))*S39,0)</f>
        <v>0</v>
      </c>
      <c r="AB39" s="88">
        <f>IF($AA39&gt;0,VLOOKUP($K39,Ruimtegroepen[],3,FALSE)*VLOOKUP($M39,Vloersoorten[],3,FALSE)*VLOOKUP($Z39,Frequenties[],3,FALSE)*VLOOKUP(#REF!,Locaties[],3,FALSE),0)</f>
        <v>0</v>
      </c>
      <c r="AC39" s="90">
        <f>Ruimtestaat[[#This Row],[Uitvoeringen weekend]]*Ruimtestaat[[#This Row],[Oppervlak (netto)]]</f>
        <v>0</v>
      </c>
      <c r="AD39" s="93">
        <f>IF(AC39&gt;0,Ruimtestaat[[#This Row],[Prest. (m2 /jaar) weekend]]/Ruimtestaat[[#This Row],[Norm (m2/uur) weekend]],0)</f>
        <v>0</v>
      </c>
      <c r="AE39" s="94">
        <f>Ruimtestaat[[#This Row],[uren / jaar weekend]]*Tariefsopbouw!$D$40</f>
        <v>0</v>
      </c>
      <c r="AF39" s="66">
        <f>Ruimtestaat[[#This Row],[Prest. (m2 /jaar) weekend]]+Ruimtestaat[[#This Row],[Prest. (m2 /jaar) werkdagen]]</f>
        <v>0</v>
      </c>
      <c r="AG39" s="66">
        <f>Ruimtestaat[[#This Row],[uren / jaar weekend]]+Ruimtestaat[[#This Row],[uren / jaar werkdagen]]</f>
        <v>0</v>
      </c>
      <c r="AH39" s="67">
        <f>Ruimtestaat[[#This Row],[kosten / jaar weekend]]+Ruimtestaat[[#This Row],[kosten / jaar werkdagen]]</f>
        <v>0</v>
      </c>
    </row>
    <row r="40" spans="1:34" ht="15" customHeight="1">
      <c r="A40" s="112">
        <v>1</v>
      </c>
      <c r="B40" s="23" t="str">
        <f>VLOOKUP(Ruimtestaat[[#This Row],[Code]],Locaties[#All],2,FALSE)</f>
        <v>RSG Levant</v>
      </c>
      <c r="C40" s="23" t="str">
        <f>VLOOKUP(Ruimtestaat[[#This Row],[Code]],Locaties[#All],4,FALSE)</f>
        <v>Horsterweg 192</v>
      </c>
      <c r="D40" s="23" t="str">
        <f>VLOOKUP(Ruimtestaat[[#This Row],[Code]],Locaties[#All],5,FALSE)</f>
        <v>3891 EV</v>
      </c>
      <c r="E40" s="23" t="str">
        <f>VLOOKUP(Ruimtestaat[[#This Row],[Code]],Locaties[#All],6,FALSE)</f>
        <v>Zeewolde</v>
      </c>
      <c r="F40" s="23"/>
      <c r="G40" s="60"/>
      <c r="H40" s="23" t="s">
        <v>535</v>
      </c>
      <c r="I40" s="27" t="s">
        <v>503</v>
      </c>
      <c r="J40" s="3" t="s">
        <v>553</v>
      </c>
      <c r="K40" s="23">
        <v>5</v>
      </c>
      <c r="L40" s="60" t="str">
        <f>VLOOKUP(K40,Ruimtegroepen[],2,FALSE)</f>
        <v>Sanitair</v>
      </c>
      <c r="M40" s="23" t="s">
        <v>113</v>
      </c>
      <c r="N40" s="23" t="s">
        <v>661</v>
      </c>
      <c r="O40" s="86">
        <v>5</v>
      </c>
      <c r="P40" s="86"/>
      <c r="Q40" s="95" t="str">
        <f>LEFT(VLOOKUP(Ruimtestaat[[#This Row],[Ruimte code]],Ruimtegroepen[#All],4,1),2)</f>
        <v xml:space="preserve">S </v>
      </c>
      <c r="R40" s="86"/>
      <c r="S40" s="87">
        <v>40</v>
      </c>
      <c r="T40" s="87" t="s">
        <v>2</v>
      </c>
      <c r="U40" s="88">
        <f>IF(S40&gt;0,IF(RIGHT(Ruimtestaat[[#This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0" s="88">
        <f>IF(U40&gt;0,VLOOKUP($K40,Ruimtegroepen[],3,FALSE)*VLOOKUP($M40,Vloersoorten[],3,FALSE)*VLOOKUP($T40,Frequenties[],3,FALSE)*VLOOKUP($A40,Locaties[],3,FALSE),0)</f>
        <v>0</v>
      </c>
      <c r="W40" s="89">
        <f>Ruimtestaat[[#This Row],[Uitvoeringen werkdagen]]*Ruimtestaat[[#This Row],[Oppervlak (netto)]]</f>
        <v>1000</v>
      </c>
      <c r="X40" s="90">
        <f>IF(V40&gt;0,Ruimtestaat[[#This Row],[Prest. (m2 /jaar) werkdagen]]/Ruimtestaat[[#This Row],[Norm (m2/uur) werkdagen]],0)</f>
        <v>0</v>
      </c>
      <c r="Y40" s="91">
        <f>Ruimtestaat[[#This Row],[uren / jaar werkdagen]]*Tariefsopbouw!$E$35</f>
        <v>0</v>
      </c>
      <c r="Z40" s="88"/>
      <c r="AA40" s="92">
        <f>IF(Ruimtestaat[[#This Row],[Frequentie weekend]]&gt;0,VALUE(LEFT(Z40,1))*S40,0)</f>
        <v>0</v>
      </c>
      <c r="AB40" s="88">
        <f>IF($AA40&gt;0,VLOOKUP($K40,Ruimtegroepen[],3,FALSE)*VLOOKUP($M40,Vloersoorten[],3,FALSE)*VLOOKUP($Z40,Frequenties[],3,FALSE)*VLOOKUP(#REF!,Locaties[],3,FALSE),0)</f>
        <v>0</v>
      </c>
      <c r="AC40" s="90">
        <f>Ruimtestaat[[#This Row],[Uitvoeringen weekend]]*Ruimtestaat[[#This Row],[Oppervlak (netto)]]</f>
        <v>0</v>
      </c>
      <c r="AD40" s="93">
        <f>IF(AC40&gt;0,Ruimtestaat[[#This Row],[Prest. (m2 /jaar) weekend]]/Ruimtestaat[[#This Row],[Norm (m2/uur) weekend]],0)</f>
        <v>0</v>
      </c>
      <c r="AE40" s="94">
        <f>Ruimtestaat[[#This Row],[uren / jaar weekend]]*Tariefsopbouw!$D$40</f>
        <v>0</v>
      </c>
      <c r="AF40" s="66">
        <f>Ruimtestaat[[#This Row],[Prest. (m2 /jaar) weekend]]+Ruimtestaat[[#This Row],[Prest. (m2 /jaar) werkdagen]]</f>
        <v>1000</v>
      </c>
      <c r="AG40" s="66">
        <f>Ruimtestaat[[#This Row],[uren / jaar weekend]]+Ruimtestaat[[#This Row],[uren / jaar werkdagen]]</f>
        <v>0</v>
      </c>
      <c r="AH40" s="67">
        <f>Ruimtestaat[[#This Row],[kosten / jaar weekend]]+Ruimtestaat[[#This Row],[kosten / jaar werkdagen]]</f>
        <v>0</v>
      </c>
    </row>
    <row r="41" spans="1:34" ht="15" customHeight="1">
      <c r="A41" s="112">
        <v>1</v>
      </c>
      <c r="B41" s="23" t="str">
        <f>VLOOKUP(Ruimtestaat[[#This Row],[Code]],Locaties[#All],2,FALSE)</f>
        <v>RSG Levant</v>
      </c>
      <c r="C41" s="23" t="str">
        <f>VLOOKUP(Ruimtestaat[[#This Row],[Code]],Locaties[#All],4,FALSE)</f>
        <v>Horsterweg 192</v>
      </c>
      <c r="D41" s="23" t="str">
        <f>VLOOKUP(Ruimtestaat[[#This Row],[Code]],Locaties[#All],5,FALSE)</f>
        <v>3891 EV</v>
      </c>
      <c r="E41" s="23" t="str">
        <f>VLOOKUP(Ruimtestaat[[#This Row],[Code]],Locaties[#All],6,FALSE)</f>
        <v>Zeewolde</v>
      </c>
      <c r="F41" s="23"/>
      <c r="G41" s="60"/>
      <c r="H41" s="23" t="s">
        <v>535</v>
      </c>
      <c r="I41" s="27" t="s">
        <v>504</v>
      </c>
      <c r="J41" s="3" t="s">
        <v>539</v>
      </c>
      <c r="K41" s="23">
        <v>5</v>
      </c>
      <c r="L41" s="60" t="str">
        <f>VLOOKUP(K41,Ruimtegroepen[],2,FALSE)</f>
        <v>Sanitair</v>
      </c>
      <c r="M41" s="23" t="s">
        <v>113</v>
      </c>
      <c r="N41" s="23" t="s">
        <v>661</v>
      </c>
      <c r="O41" s="86">
        <v>12</v>
      </c>
      <c r="P41" s="86"/>
      <c r="Q41" s="95" t="str">
        <f>LEFT(VLOOKUP(Ruimtestaat[[#This Row],[Ruimte code]],Ruimtegroepen[#All],4,1),2)</f>
        <v xml:space="preserve">S </v>
      </c>
      <c r="R41" s="86"/>
      <c r="S41" s="87">
        <v>40</v>
      </c>
      <c r="T41" s="87" t="s">
        <v>2</v>
      </c>
      <c r="U41" s="88">
        <f>IF(S41&gt;0,IF(RIGHT(Ruimtestaat[[#This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1" s="88">
        <f>IF(U41&gt;0,VLOOKUP($K41,Ruimtegroepen[],3,FALSE)*VLOOKUP($M41,Vloersoorten[],3,FALSE)*VLOOKUP($T41,Frequenties[],3,FALSE)*VLOOKUP($A41,Locaties[],3,FALSE),0)</f>
        <v>0</v>
      </c>
      <c r="W41" s="89">
        <f>Ruimtestaat[[#This Row],[Uitvoeringen werkdagen]]*Ruimtestaat[[#This Row],[Oppervlak (netto)]]</f>
        <v>2400</v>
      </c>
      <c r="X41" s="90">
        <f>IF(V41&gt;0,Ruimtestaat[[#This Row],[Prest. (m2 /jaar) werkdagen]]/Ruimtestaat[[#This Row],[Norm (m2/uur) werkdagen]],0)</f>
        <v>0</v>
      </c>
      <c r="Y41" s="91">
        <f>Ruimtestaat[[#This Row],[uren / jaar werkdagen]]*Tariefsopbouw!$E$35</f>
        <v>0</v>
      </c>
      <c r="Z41" s="88"/>
      <c r="AA41" s="92">
        <f>IF(Ruimtestaat[[#This Row],[Frequentie weekend]]&gt;0,VALUE(LEFT(Z41,1))*S41,0)</f>
        <v>0</v>
      </c>
      <c r="AB41" s="88">
        <f>IF($AA41&gt;0,VLOOKUP($K41,Ruimtegroepen[],3,FALSE)*VLOOKUP($M41,Vloersoorten[],3,FALSE)*VLOOKUP($Z41,Frequenties[],3,FALSE)*VLOOKUP(#REF!,Locaties[],3,FALSE),0)</f>
        <v>0</v>
      </c>
      <c r="AC41" s="90">
        <f>Ruimtestaat[[#This Row],[Uitvoeringen weekend]]*Ruimtestaat[[#This Row],[Oppervlak (netto)]]</f>
        <v>0</v>
      </c>
      <c r="AD41" s="93">
        <f>IF(AC41&gt;0,Ruimtestaat[[#This Row],[Prest. (m2 /jaar) weekend]]/Ruimtestaat[[#This Row],[Norm (m2/uur) weekend]],0)</f>
        <v>0</v>
      </c>
      <c r="AE41" s="94">
        <f>Ruimtestaat[[#This Row],[uren / jaar weekend]]*Tariefsopbouw!$D$40</f>
        <v>0</v>
      </c>
      <c r="AF41" s="66">
        <f>Ruimtestaat[[#This Row],[Prest. (m2 /jaar) weekend]]+Ruimtestaat[[#This Row],[Prest. (m2 /jaar) werkdagen]]</f>
        <v>2400</v>
      </c>
      <c r="AG41" s="66">
        <f>Ruimtestaat[[#This Row],[uren / jaar weekend]]+Ruimtestaat[[#This Row],[uren / jaar werkdagen]]</f>
        <v>0</v>
      </c>
      <c r="AH41" s="67">
        <f>Ruimtestaat[[#This Row],[kosten / jaar weekend]]+Ruimtestaat[[#This Row],[kosten / jaar werkdagen]]</f>
        <v>0</v>
      </c>
    </row>
    <row r="42" spans="1:34" ht="15" customHeight="1">
      <c r="A42" s="112">
        <v>1</v>
      </c>
      <c r="B42" s="23" t="str">
        <f>VLOOKUP(Ruimtestaat[[#This Row],[Code]],Locaties[#All],2,FALSE)</f>
        <v>RSG Levant</v>
      </c>
      <c r="C42" s="23" t="str">
        <f>VLOOKUP(Ruimtestaat[[#This Row],[Code]],Locaties[#All],4,FALSE)</f>
        <v>Horsterweg 192</v>
      </c>
      <c r="D42" s="23" t="str">
        <f>VLOOKUP(Ruimtestaat[[#This Row],[Code]],Locaties[#All],5,FALSE)</f>
        <v>3891 EV</v>
      </c>
      <c r="E42" s="23" t="str">
        <f>VLOOKUP(Ruimtestaat[[#This Row],[Code]],Locaties[#All],6,FALSE)</f>
        <v>Zeewolde</v>
      </c>
      <c r="F42" s="23"/>
      <c r="G42" s="60"/>
      <c r="H42" s="23" t="s">
        <v>535</v>
      </c>
      <c r="I42" s="27" t="s">
        <v>505</v>
      </c>
      <c r="J42" s="3" t="s">
        <v>538</v>
      </c>
      <c r="K42" s="23">
        <v>5</v>
      </c>
      <c r="L42" s="60" t="str">
        <f>VLOOKUP(K42,Ruimtegroepen[],2,FALSE)</f>
        <v>Sanitair</v>
      </c>
      <c r="M42" s="23" t="s">
        <v>113</v>
      </c>
      <c r="N42" s="23" t="s">
        <v>661</v>
      </c>
      <c r="O42" s="86">
        <v>14</v>
      </c>
      <c r="P42" s="86"/>
      <c r="Q42" s="95" t="str">
        <f>LEFT(VLOOKUP(Ruimtestaat[[#This Row],[Ruimte code]],Ruimtegroepen[#All],4,1),2)</f>
        <v xml:space="preserve">S </v>
      </c>
      <c r="R42" s="86"/>
      <c r="S42" s="87">
        <v>40</v>
      </c>
      <c r="T42" s="87" t="s">
        <v>2</v>
      </c>
      <c r="U42" s="88">
        <f>IF(S42&gt;0,IF(RIGHT(Ruimtestaat[[#This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2" s="88">
        <f>IF(U42&gt;0,VLOOKUP($K42,Ruimtegroepen[],3,FALSE)*VLOOKUP($M42,Vloersoorten[],3,FALSE)*VLOOKUP($T42,Frequenties[],3,FALSE)*VLOOKUP($A42,Locaties[],3,FALSE),0)</f>
        <v>0</v>
      </c>
      <c r="W42" s="89">
        <f>Ruimtestaat[[#This Row],[Uitvoeringen werkdagen]]*Ruimtestaat[[#This Row],[Oppervlak (netto)]]</f>
        <v>2800</v>
      </c>
      <c r="X42" s="90">
        <f>IF(V42&gt;0,Ruimtestaat[[#This Row],[Prest. (m2 /jaar) werkdagen]]/Ruimtestaat[[#This Row],[Norm (m2/uur) werkdagen]],0)</f>
        <v>0</v>
      </c>
      <c r="Y42" s="91">
        <f>Ruimtestaat[[#This Row],[uren / jaar werkdagen]]*Tariefsopbouw!$E$35</f>
        <v>0</v>
      </c>
      <c r="Z42" s="88"/>
      <c r="AA42" s="92">
        <f>IF(Ruimtestaat[[#This Row],[Frequentie weekend]]&gt;0,VALUE(LEFT(Z42,1))*S42,0)</f>
        <v>0</v>
      </c>
      <c r="AB42" s="88">
        <f>IF($AA42&gt;0,VLOOKUP($K42,Ruimtegroepen[],3,FALSE)*VLOOKUP($M42,Vloersoorten[],3,FALSE)*VLOOKUP($Z42,Frequenties[],3,FALSE)*VLOOKUP(#REF!,Locaties[],3,FALSE),0)</f>
        <v>0</v>
      </c>
      <c r="AC42" s="90">
        <f>Ruimtestaat[[#This Row],[Uitvoeringen weekend]]*Ruimtestaat[[#This Row],[Oppervlak (netto)]]</f>
        <v>0</v>
      </c>
      <c r="AD42" s="93">
        <f>IF(AC42&gt;0,Ruimtestaat[[#This Row],[Prest. (m2 /jaar) weekend]]/Ruimtestaat[[#This Row],[Norm (m2/uur) weekend]],0)</f>
        <v>0</v>
      </c>
      <c r="AE42" s="94">
        <f>Ruimtestaat[[#This Row],[uren / jaar weekend]]*Tariefsopbouw!$D$40</f>
        <v>0</v>
      </c>
      <c r="AF42" s="66">
        <f>Ruimtestaat[[#This Row],[Prest. (m2 /jaar) weekend]]+Ruimtestaat[[#This Row],[Prest. (m2 /jaar) werkdagen]]</f>
        <v>2800</v>
      </c>
      <c r="AG42" s="66">
        <f>Ruimtestaat[[#This Row],[uren / jaar weekend]]+Ruimtestaat[[#This Row],[uren / jaar werkdagen]]</f>
        <v>0</v>
      </c>
      <c r="AH42" s="67">
        <f>Ruimtestaat[[#This Row],[kosten / jaar weekend]]+Ruimtestaat[[#This Row],[kosten / jaar werkdagen]]</f>
        <v>0</v>
      </c>
    </row>
    <row r="43" spans="1:34" ht="15" customHeight="1">
      <c r="A43" s="112">
        <v>1</v>
      </c>
      <c r="B43" s="23" t="str">
        <f>VLOOKUP(Ruimtestaat[[#This Row],[Code]],Locaties[#All],2,FALSE)</f>
        <v>RSG Levant</v>
      </c>
      <c r="C43" s="23" t="str">
        <f>VLOOKUP(Ruimtestaat[[#This Row],[Code]],Locaties[#All],4,FALSE)</f>
        <v>Horsterweg 192</v>
      </c>
      <c r="D43" s="23" t="str">
        <f>VLOOKUP(Ruimtestaat[[#This Row],[Code]],Locaties[#All],5,FALSE)</f>
        <v>3891 EV</v>
      </c>
      <c r="E43" s="23" t="str">
        <f>VLOOKUP(Ruimtestaat[[#This Row],[Code]],Locaties[#All],6,FALSE)</f>
        <v>Zeewolde</v>
      </c>
      <c r="F43" s="23"/>
      <c r="G43" s="60"/>
      <c r="H43" s="23" t="s">
        <v>535</v>
      </c>
      <c r="I43" s="27" t="s">
        <v>506</v>
      </c>
      <c r="J43" s="3" t="s">
        <v>554</v>
      </c>
      <c r="K43" s="23">
        <v>23</v>
      </c>
      <c r="L43" s="60" t="str">
        <f>VLOOKUP(K43,Ruimtegroepen[],2,FALSE)</f>
        <v>Niet in onderhoud</v>
      </c>
      <c r="M43" s="23" t="s">
        <v>112</v>
      </c>
      <c r="N43" s="23" t="s">
        <v>137</v>
      </c>
      <c r="O43" s="86"/>
      <c r="P43" s="86">
        <v>6</v>
      </c>
      <c r="Q43" s="95" t="str">
        <f>LEFT(VLOOKUP(Ruimtestaat[[#This Row],[Ruimte code]],Ruimtegroepen[#All],4,1),2)</f>
        <v/>
      </c>
      <c r="R43" s="86"/>
      <c r="S43" s="87"/>
      <c r="T43" s="87"/>
      <c r="U43" s="88">
        <f>IF(S43&gt;0,IF(RIGHT(Ruimtestaat[[#This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43" s="88">
        <f>IF(U43&gt;0,VLOOKUP($K43,Ruimtegroepen[],3,FALSE)*VLOOKUP($M43,Vloersoorten[],3,FALSE)*VLOOKUP($T43,Frequenties[],3,FALSE)*VLOOKUP($A43,Locaties[],3,FALSE),0)</f>
        <v>0</v>
      </c>
      <c r="W43" s="89">
        <f>Ruimtestaat[[#This Row],[Uitvoeringen werkdagen]]*Ruimtestaat[[#This Row],[Oppervlak (netto)]]</f>
        <v>0</v>
      </c>
      <c r="X43" s="90">
        <f>IF(V43&gt;0,Ruimtestaat[[#This Row],[Prest. (m2 /jaar) werkdagen]]/Ruimtestaat[[#This Row],[Norm (m2/uur) werkdagen]],0)</f>
        <v>0</v>
      </c>
      <c r="Y43" s="91">
        <f>Ruimtestaat[[#This Row],[uren / jaar werkdagen]]*Tariefsopbouw!$E$35</f>
        <v>0</v>
      </c>
      <c r="Z43" s="88"/>
      <c r="AA43" s="92">
        <f>IF(Ruimtestaat[[#This Row],[Frequentie weekend]]&gt;0,VALUE(LEFT(Z43,1))*S43,0)</f>
        <v>0</v>
      </c>
      <c r="AB43" s="88">
        <f>IF($AA43&gt;0,VLOOKUP($K43,Ruimtegroepen[],3,FALSE)*VLOOKUP($M43,Vloersoorten[],3,FALSE)*VLOOKUP($Z43,Frequenties[],3,FALSE)*VLOOKUP(#REF!,Locaties[],3,FALSE),0)</f>
        <v>0</v>
      </c>
      <c r="AC43" s="90">
        <f>Ruimtestaat[[#This Row],[Uitvoeringen weekend]]*Ruimtestaat[[#This Row],[Oppervlak (netto)]]</f>
        <v>0</v>
      </c>
      <c r="AD43" s="93">
        <f>IF(AC43&gt;0,Ruimtestaat[[#This Row],[Prest. (m2 /jaar) weekend]]/Ruimtestaat[[#This Row],[Norm (m2/uur) weekend]],0)</f>
        <v>0</v>
      </c>
      <c r="AE43" s="94">
        <f>Ruimtestaat[[#This Row],[uren / jaar weekend]]*Tariefsopbouw!$D$40</f>
        <v>0</v>
      </c>
      <c r="AF43" s="66">
        <f>Ruimtestaat[[#This Row],[Prest. (m2 /jaar) weekend]]+Ruimtestaat[[#This Row],[Prest. (m2 /jaar) werkdagen]]</f>
        <v>0</v>
      </c>
      <c r="AG43" s="66">
        <f>Ruimtestaat[[#This Row],[uren / jaar weekend]]+Ruimtestaat[[#This Row],[uren / jaar werkdagen]]</f>
        <v>0</v>
      </c>
      <c r="AH43" s="67">
        <f>Ruimtestaat[[#This Row],[kosten / jaar weekend]]+Ruimtestaat[[#This Row],[kosten / jaar werkdagen]]</f>
        <v>0</v>
      </c>
    </row>
    <row r="44" spans="1:34" ht="15" customHeight="1">
      <c r="A44" s="112">
        <v>1</v>
      </c>
      <c r="B44" s="23" t="str">
        <f>VLOOKUP(Ruimtestaat[[#This Row],[Code]],Locaties[#All],2,FALSE)</f>
        <v>RSG Levant</v>
      </c>
      <c r="C44" s="23" t="str">
        <f>VLOOKUP(Ruimtestaat[[#This Row],[Code]],Locaties[#All],4,FALSE)</f>
        <v>Horsterweg 192</v>
      </c>
      <c r="D44" s="23" t="str">
        <f>VLOOKUP(Ruimtestaat[[#This Row],[Code]],Locaties[#All],5,FALSE)</f>
        <v>3891 EV</v>
      </c>
      <c r="E44" s="23" t="str">
        <f>VLOOKUP(Ruimtestaat[[#This Row],[Code]],Locaties[#All],6,FALSE)</f>
        <v>Zeewolde</v>
      </c>
      <c r="F44" s="23"/>
      <c r="G44" s="60"/>
      <c r="H44" s="23" t="s">
        <v>535</v>
      </c>
      <c r="I44" s="27" t="s">
        <v>507</v>
      </c>
      <c r="J44" s="3" t="s">
        <v>555</v>
      </c>
      <c r="K44" s="23">
        <v>1</v>
      </c>
      <c r="L44" s="60" t="str">
        <f>VLOOKUP(K44,Ruimtegroepen[],2,FALSE)</f>
        <v>Magazijnen/bergingen</v>
      </c>
      <c r="M44" s="23" t="s">
        <v>112</v>
      </c>
      <c r="N44" s="23" t="s">
        <v>137</v>
      </c>
      <c r="O44" s="86">
        <v>19</v>
      </c>
      <c r="P44" s="86"/>
      <c r="Q44" s="95" t="str">
        <f>LEFT(VLOOKUP(Ruimtestaat[[#This Row],[Ruimte code]],Ruimtegroepen[#All],4,1),2)</f>
        <v xml:space="preserve">V </v>
      </c>
      <c r="R44" s="86"/>
      <c r="S44" s="87">
        <v>40</v>
      </c>
      <c r="T44" s="87" t="s">
        <v>2</v>
      </c>
      <c r="U44" s="88">
        <f>IF(S44&gt;0,IF(RIGHT(Ruimtestaat[[#This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4" s="88">
        <f>IF(U44&gt;0,VLOOKUP($K44,Ruimtegroepen[],3,FALSE)*VLOOKUP($M44,Vloersoorten[],3,FALSE)*VLOOKUP($T44,Frequenties[],3,FALSE)*VLOOKUP($A44,Locaties[],3,FALSE),0)</f>
        <v>0</v>
      </c>
      <c r="W44" s="89">
        <f>Ruimtestaat[[#This Row],[Uitvoeringen werkdagen]]*Ruimtestaat[[#This Row],[Oppervlak (netto)]]</f>
        <v>3800</v>
      </c>
      <c r="X44" s="90">
        <f>IF(V44&gt;0,Ruimtestaat[[#This Row],[Prest. (m2 /jaar) werkdagen]]/Ruimtestaat[[#This Row],[Norm (m2/uur) werkdagen]],0)</f>
        <v>0</v>
      </c>
      <c r="Y44" s="91">
        <f>Ruimtestaat[[#This Row],[uren / jaar werkdagen]]*Tariefsopbouw!$E$35</f>
        <v>0</v>
      </c>
      <c r="Z44" s="88"/>
      <c r="AA44" s="92">
        <f>IF(Ruimtestaat[[#This Row],[Frequentie weekend]]&gt;0,VALUE(LEFT(Z44,1))*S44,0)</f>
        <v>0</v>
      </c>
      <c r="AB44" s="88">
        <f>IF($AA44&gt;0,VLOOKUP($K44,Ruimtegroepen[],3,FALSE)*VLOOKUP($M44,Vloersoorten[],3,FALSE)*VLOOKUP($Z44,Frequenties[],3,FALSE)*VLOOKUP(#REF!,Locaties[],3,FALSE),0)</f>
        <v>0</v>
      </c>
      <c r="AC44" s="90">
        <f>Ruimtestaat[[#This Row],[Uitvoeringen weekend]]*Ruimtestaat[[#This Row],[Oppervlak (netto)]]</f>
        <v>0</v>
      </c>
      <c r="AD44" s="93">
        <f>IF(AC44&gt;0,Ruimtestaat[[#This Row],[Prest. (m2 /jaar) weekend]]/Ruimtestaat[[#This Row],[Norm (m2/uur) weekend]],0)</f>
        <v>0</v>
      </c>
      <c r="AE44" s="94">
        <f>Ruimtestaat[[#This Row],[uren / jaar weekend]]*Tariefsopbouw!$D$40</f>
        <v>0</v>
      </c>
      <c r="AF44" s="66">
        <f>Ruimtestaat[[#This Row],[Prest. (m2 /jaar) weekend]]+Ruimtestaat[[#This Row],[Prest. (m2 /jaar) werkdagen]]</f>
        <v>3800</v>
      </c>
      <c r="AG44" s="66">
        <f>Ruimtestaat[[#This Row],[uren / jaar weekend]]+Ruimtestaat[[#This Row],[uren / jaar werkdagen]]</f>
        <v>0</v>
      </c>
      <c r="AH44" s="67">
        <f>Ruimtestaat[[#This Row],[kosten / jaar weekend]]+Ruimtestaat[[#This Row],[kosten / jaar werkdagen]]</f>
        <v>0</v>
      </c>
    </row>
    <row r="45" spans="1:34" ht="15" customHeight="1">
      <c r="A45" s="112">
        <v>1</v>
      </c>
      <c r="B45" s="23" t="str">
        <f>VLOOKUP(Ruimtestaat[[#This Row],[Code]],Locaties[#All],2,FALSE)</f>
        <v>RSG Levant</v>
      </c>
      <c r="C45" s="23" t="str">
        <f>VLOOKUP(Ruimtestaat[[#This Row],[Code]],Locaties[#All],4,FALSE)</f>
        <v>Horsterweg 192</v>
      </c>
      <c r="D45" s="23" t="str">
        <f>VLOOKUP(Ruimtestaat[[#This Row],[Code]],Locaties[#All],5,FALSE)</f>
        <v>3891 EV</v>
      </c>
      <c r="E45" s="23" t="str">
        <f>VLOOKUP(Ruimtestaat[[#This Row],[Code]],Locaties[#All],6,FALSE)</f>
        <v>Zeewolde</v>
      </c>
      <c r="F45" s="23"/>
      <c r="G45" s="60"/>
      <c r="H45" s="23" t="s">
        <v>535</v>
      </c>
      <c r="I45" s="27" t="s">
        <v>508</v>
      </c>
      <c r="J45" s="3" t="s">
        <v>556</v>
      </c>
      <c r="K45" s="23">
        <v>13</v>
      </c>
      <c r="L45" s="60" t="str">
        <f>VLOOKUP(K45,Ruimtegroepen[],2,FALSE)</f>
        <v>HV/Technieklokaal</v>
      </c>
      <c r="M45" s="23" t="s">
        <v>112</v>
      </c>
      <c r="N45" s="23" t="s">
        <v>137</v>
      </c>
      <c r="O45" s="86">
        <v>124</v>
      </c>
      <c r="P45" s="86"/>
      <c r="Q45" s="95" t="str">
        <f>LEFT(VLOOKUP(Ruimtestaat[[#This Row],[Ruimte code]],Ruimtegroepen[#All],4,1),2)</f>
        <v xml:space="preserve">L </v>
      </c>
      <c r="R45" s="86"/>
      <c r="S45" s="87">
        <v>40</v>
      </c>
      <c r="T45" s="87" t="s">
        <v>15</v>
      </c>
      <c r="U45" s="88">
        <f>IF(S45&gt;0,IF(RIGHT(Ruimtestaat[[#This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V45" s="88">
        <f>IF(U45&gt;0,VLOOKUP($K45,Ruimtegroepen[],3,FALSE)*VLOOKUP($M45,Vloersoorten[],3,FALSE)*VLOOKUP($T45,Frequenties[],3,FALSE)*VLOOKUP($A45,Locaties[],3,FALSE),0)</f>
        <v>0</v>
      </c>
      <c r="W45" s="89">
        <f>Ruimtestaat[[#This Row],[Uitvoeringen werkdagen]]*Ruimtestaat[[#This Row],[Oppervlak (netto)]]</f>
        <v>4960</v>
      </c>
      <c r="X45" s="90">
        <f>IF(V45&gt;0,Ruimtestaat[[#This Row],[Prest. (m2 /jaar) werkdagen]]/Ruimtestaat[[#This Row],[Norm (m2/uur) werkdagen]],0)</f>
        <v>0</v>
      </c>
      <c r="Y45" s="91">
        <f>Ruimtestaat[[#This Row],[uren / jaar werkdagen]]*Tariefsopbouw!$E$35</f>
        <v>0</v>
      </c>
      <c r="Z45" s="88"/>
      <c r="AA45" s="92">
        <f>IF(Ruimtestaat[[#This Row],[Frequentie weekend]]&gt;0,VALUE(LEFT(Z45,1))*S45,0)</f>
        <v>0</v>
      </c>
      <c r="AB45" s="88">
        <f>IF($AA45&gt;0,VLOOKUP($K45,Ruimtegroepen[],3,FALSE)*VLOOKUP($M45,Vloersoorten[],3,FALSE)*VLOOKUP($Z45,Frequenties[],3,FALSE)*VLOOKUP(#REF!,Locaties[],3,FALSE),0)</f>
        <v>0</v>
      </c>
      <c r="AC45" s="90">
        <f>Ruimtestaat[[#This Row],[Uitvoeringen weekend]]*Ruimtestaat[[#This Row],[Oppervlak (netto)]]</f>
        <v>0</v>
      </c>
      <c r="AD45" s="93">
        <f>IF(AC45&gt;0,Ruimtestaat[[#This Row],[Prest. (m2 /jaar) weekend]]/Ruimtestaat[[#This Row],[Norm (m2/uur) weekend]],0)</f>
        <v>0</v>
      </c>
      <c r="AE45" s="94">
        <f>Ruimtestaat[[#This Row],[uren / jaar weekend]]*Tariefsopbouw!$D$40</f>
        <v>0</v>
      </c>
      <c r="AF45" s="66">
        <f>Ruimtestaat[[#This Row],[Prest. (m2 /jaar) weekend]]+Ruimtestaat[[#This Row],[Prest. (m2 /jaar) werkdagen]]</f>
        <v>4960</v>
      </c>
      <c r="AG45" s="66">
        <f>Ruimtestaat[[#This Row],[uren / jaar weekend]]+Ruimtestaat[[#This Row],[uren / jaar werkdagen]]</f>
        <v>0</v>
      </c>
      <c r="AH45" s="67">
        <f>Ruimtestaat[[#This Row],[kosten / jaar weekend]]+Ruimtestaat[[#This Row],[kosten / jaar werkdagen]]</f>
        <v>0</v>
      </c>
    </row>
    <row r="46" spans="1:34" ht="15" customHeight="1">
      <c r="A46" s="112">
        <v>1</v>
      </c>
      <c r="B46" s="23" t="str">
        <f>VLOOKUP(Ruimtestaat[[#This Row],[Code]],Locaties[#All],2,FALSE)</f>
        <v>RSG Levant</v>
      </c>
      <c r="C46" s="23" t="str">
        <f>VLOOKUP(Ruimtestaat[[#This Row],[Code]],Locaties[#All],4,FALSE)</f>
        <v>Horsterweg 192</v>
      </c>
      <c r="D46" s="23" t="str">
        <f>VLOOKUP(Ruimtestaat[[#This Row],[Code]],Locaties[#All],5,FALSE)</f>
        <v>3891 EV</v>
      </c>
      <c r="E46" s="23" t="str">
        <f>VLOOKUP(Ruimtestaat[[#This Row],[Code]],Locaties[#All],6,FALSE)</f>
        <v>Zeewolde</v>
      </c>
      <c r="F46" s="23"/>
      <c r="G46" s="60"/>
      <c r="H46" s="23" t="s">
        <v>535</v>
      </c>
      <c r="I46" s="27" t="s">
        <v>509</v>
      </c>
      <c r="J46" s="3" t="s">
        <v>557</v>
      </c>
      <c r="K46" s="23">
        <v>2</v>
      </c>
      <c r="L46" s="60" t="str">
        <f>VLOOKUP(K46,Ruimtegroepen[],2,FALSE)</f>
        <v>Kantoren</v>
      </c>
      <c r="M46" s="23" t="s">
        <v>111</v>
      </c>
      <c r="N46" s="23" t="s">
        <v>39</v>
      </c>
      <c r="O46" s="86">
        <v>14</v>
      </c>
      <c r="P46" s="86"/>
      <c r="Q46" s="95" t="str">
        <f>LEFT(VLOOKUP(Ruimtestaat[[#This Row],[Ruimte code]],Ruimtegroepen[#All],4,1),2)</f>
        <v xml:space="preserve">B </v>
      </c>
      <c r="R46" s="86"/>
      <c r="S46" s="87">
        <v>40</v>
      </c>
      <c r="T46" s="87" t="s">
        <v>17</v>
      </c>
      <c r="U46" s="88">
        <f>IF(S46&gt;0,IF(RIGHT(Ruimtestaat[[#This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46" s="88">
        <f>IF(U46&gt;0,VLOOKUP($K46,Ruimtegroepen[],3,FALSE)*VLOOKUP($M46,Vloersoorten[],3,FALSE)*VLOOKUP($T46,Frequenties[],3,FALSE)*VLOOKUP($A46,Locaties[],3,FALSE),0)</f>
        <v>0</v>
      </c>
      <c r="W46" s="89">
        <f>Ruimtestaat[[#This Row],[Uitvoeringen werkdagen]]*Ruimtestaat[[#This Row],[Oppervlak (netto)]]</f>
        <v>1120</v>
      </c>
      <c r="X46" s="90">
        <f>IF(V46&gt;0,Ruimtestaat[[#This Row],[Prest. (m2 /jaar) werkdagen]]/Ruimtestaat[[#This Row],[Norm (m2/uur) werkdagen]],0)</f>
        <v>0</v>
      </c>
      <c r="Y46" s="91">
        <f>Ruimtestaat[[#This Row],[uren / jaar werkdagen]]*Tariefsopbouw!$E$35</f>
        <v>0</v>
      </c>
      <c r="Z46" s="88"/>
      <c r="AA46" s="92">
        <f>IF(Ruimtestaat[[#This Row],[Frequentie weekend]]&gt;0,VALUE(LEFT(Z46,1))*S46,0)</f>
        <v>0</v>
      </c>
      <c r="AB46" s="88">
        <f>IF($AA46&gt;0,VLOOKUP($K46,Ruimtegroepen[],3,FALSE)*VLOOKUP($M46,Vloersoorten[],3,FALSE)*VLOOKUP($Z46,Frequenties[],3,FALSE)*VLOOKUP(#REF!,Locaties[],3,FALSE),0)</f>
        <v>0</v>
      </c>
      <c r="AC46" s="90">
        <f>Ruimtestaat[[#This Row],[Uitvoeringen weekend]]*Ruimtestaat[[#This Row],[Oppervlak (netto)]]</f>
        <v>0</v>
      </c>
      <c r="AD46" s="93">
        <f>IF(AC46&gt;0,Ruimtestaat[[#This Row],[Prest. (m2 /jaar) weekend]]/Ruimtestaat[[#This Row],[Norm (m2/uur) weekend]],0)</f>
        <v>0</v>
      </c>
      <c r="AE46" s="94">
        <f>Ruimtestaat[[#This Row],[uren / jaar weekend]]*Tariefsopbouw!$D$40</f>
        <v>0</v>
      </c>
      <c r="AF46" s="66">
        <f>Ruimtestaat[[#This Row],[Prest. (m2 /jaar) weekend]]+Ruimtestaat[[#This Row],[Prest. (m2 /jaar) werkdagen]]</f>
        <v>1120</v>
      </c>
      <c r="AG46" s="66">
        <f>Ruimtestaat[[#This Row],[uren / jaar weekend]]+Ruimtestaat[[#This Row],[uren / jaar werkdagen]]</f>
        <v>0</v>
      </c>
      <c r="AH46" s="67">
        <f>Ruimtestaat[[#This Row],[kosten / jaar weekend]]+Ruimtestaat[[#This Row],[kosten / jaar werkdagen]]</f>
        <v>0</v>
      </c>
    </row>
    <row r="47" spans="1:34" ht="15" customHeight="1">
      <c r="A47" s="112">
        <v>1</v>
      </c>
      <c r="B47" s="23" t="str">
        <f>VLOOKUP(Ruimtestaat[[#This Row],[Code]],Locaties[#All],2,FALSE)</f>
        <v>RSG Levant</v>
      </c>
      <c r="C47" s="23" t="str">
        <f>VLOOKUP(Ruimtestaat[[#This Row],[Code]],Locaties[#All],4,FALSE)</f>
        <v>Horsterweg 192</v>
      </c>
      <c r="D47" s="23" t="str">
        <f>VLOOKUP(Ruimtestaat[[#This Row],[Code]],Locaties[#All],5,FALSE)</f>
        <v>3891 EV</v>
      </c>
      <c r="E47" s="23" t="str">
        <f>VLOOKUP(Ruimtestaat[[#This Row],[Code]],Locaties[#All],6,FALSE)</f>
        <v>Zeewolde</v>
      </c>
      <c r="F47" s="23"/>
      <c r="G47" s="60"/>
      <c r="H47" s="23" t="s">
        <v>535</v>
      </c>
      <c r="I47" s="27" t="s">
        <v>510</v>
      </c>
      <c r="J47" s="3" t="s">
        <v>557</v>
      </c>
      <c r="K47" s="23">
        <v>2</v>
      </c>
      <c r="L47" s="60" t="str">
        <f>VLOOKUP(K47,Ruimtegroepen[],2,FALSE)</f>
        <v>Kantoren</v>
      </c>
      <c r="M47" s="23" t="s">
        <v>112</v>
      </c>
      <c r="N47" s="23" t="s">
        <v>137</v>
      </c>
      <c r="O47" s="86">
        <v>12</v>
      </c>
      <c r="P47" s="86"/>
      <c r="Q47" s="95" t="str">
        <f>LEFT(VLOOKUP(Ruimtestaat[[#This Row],[Ruimte code]],Ruimtegroepen[#All],4,1),2)</f>
        <v xml:space="preserve">B </v>
      </c>
      <c r="R47" s="86"/>
      <c r="S47" s="87">
        <v>40</v>
      </c>
      <c r="T47" s="87" t="s">
        <v>17</v>
      </c>
      <c r="U47" s="88">
        <f>IF(S47&gt;0,IF(RIGHT(Ruimtestaat[[#This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47" s="88">
        <f>IF(U47&gt;0,VLOOKUP($K47,Ruimtegroepen[],3,FALSE)*VLOOKUP($M47,Vloersoorten[],3,FALSE)*VLOOKUP($T47,Frequenties[],3,FALSE)*VLOOKUP($A47,Locaties[],3,FALSE),0)</f>
        <v>0</v>
      </c>
      <c r="W47" s="89">
        <f>Ruimtestaat[[#This Row],[Uitvoeringen werkdagen]]*Ruimtestaat[[#This Row],[Oppervlak (netto)]]</f>
        <v>960</v>
      </c>
      <c r="X47" s="90">
        <f>IF(V47&gt;0,Ruimtestaat[[#This Row],[Prest. (m2 /jaar) werkdagen]]/Ruimtestaat[[#This Row],[Norm (m2/uur) werkdagen]],0)</f>
        <v>0</v>
      </c>
      <c r="Y47" s="91">
        <f>Ruimtestaat[[#This Row],[uren / jaar werkdagen]]*Tariefsopbouw!$E$35</f>
        <v>0</v>
      </c>
      <c r="Z47" s="88"/>
      <c r="AA47" s="92">
        <f>IF(Ruimtestaat[[#This Row],[Frequentie weekend]]&gt;0,VALUE(LEFT(Z47,1))*S47,0)</f>
        <v>0</v>
      </c>
      <c r="AB47" s="88">
        <f>IF($AA47&gt;0,VLOOKUP($K47,Ruimtegroepen[],3,FALSE)*VLOOKUP($M47,Vloersoorten[],3,FALSE)*VLOOKUP($Z47,Frequenties[],3,FALSE)*VLOOKUP(#REF!,Locaties[],3,FALSE),0)</f>
        <v>0</v>
      </c>
      <c r="AC47" s="90">
        <f>Ruimtestaat[[#This Row],[Uitvoeringen weekend]]*Ruimtestaat[[#This Row],[Oppervlak (netto)]]</f>
        <v>0</v>
      </c>
      <c r="AD47" s="93">
        <f>IF(AC47&gt;0,Ruimtestaat[[#This Row],[Prest. (m2 /jaar) weekend]]/Ruimtestaat[[#This Row],[Norm (m2/uur) weekend]],0)</f>
        <v>0</v>
      </c>
      <c r="AE47" s="94">
        <f>Ruimtestaat[[#This Row],[uren / jaar weekend]]*Tariefsopbouw!$D$40</f>
        <v>0</v>
      </c>
      <c r="AF47" s="66">
        <f>Ruimtestaat[[#This Row],[Prest. (m2 /jaar) weekend]]+Ruimtestaat[[#This Row],[Prest. (m2 /jaar) werkdagen]]</f>
        <v>960</v>
      </c>
      <c r="AG47" s="66">
        <f>Ruimtestaat[[#This Row],[uren / jaar weekend]]+Ruimtestaat[[#This Row],[uren / jaar werkdagen]]</f>
        <v>0</v>
      </c>
      <c r="AH47" s="67">
        <f>Ruimtestaat[[#This Row],[kosten / jaar weekend]]+Ruimtestaat[[#This Row],[kosten / jaar werkdagen]]</f>
        <v>0</v>
      </c>
    </row>
    <row r="48" spans="1:34" ht="15" customHeight="1">
      <c r="A48" s="112">
        <v>1</v>
      </c>
      <c r="B48" s="23" t="str">
        <f>VLOOKUP(Ruimtestaat[[#This Row],[Code]],Locaties[#All],2,FALSE)</f>
        <v>RSG Levant</v>
      </c>
      <c r="C48" s="23" t="str">
        <f>VLOOKUP(Ruimtestaat[[#This Row],[Code]],Locaties[#All],4,FALSE)</f>
        <v>Horsterweg 192</v>
      </c>
      <c r="D48" s="23" t="str">
        <f>VLOOKUP(Ruimtestaat[[#This Row],[Code]],Locaties[#All],5,FALSE)</f>
        <v>3891 EV</v>
      </c>
      <c r="E48" s="23" t="str">
        <f>VLOOKUP(Ruimtestaat[[#This Row],[Code]],Locaties[#All],6,FALSE)</f>
        <v>Zeewolde</v>
      </c>
      <c r="F48" s="23"/>
      <c r="G48" s="60"/>
      <c r="H48" s="23" t="s">
        <v>535</v>
      </c>
      <c r="I48" s="27" t="s">
        <v>511</v>
      </c>
      <c r="J48" s="3" t="s">
        <v>558</v>
      </c>
      <c r="K48" s="23">
        <v>2</v>
      </c>
      <c r="L48" s="60" t="str">
        <f>VLOOKUP(K48,Ruimtegroepen[],2,FALSE)</f>
        <v>Kantoren</v>
      </c>
      <c r="M48" s="23" t="s">
        <v>112</v>
      </c>
      <c r="N48" s="23" t="s">
        <v>137</v>
      </c>
      <c r="O48" s="86">
        <v>12</v>
      </c>
      <c r="P48" s="86"/>
      <c r="Q48" s="95" t="str">
        <f>LEFT(VLOOKUP(Ruimtestaat[[#This Row],[Ruimte code]],Ruimtegroepen[#All],4,1),2)</f>
        <v xml:space="preserve">B </v>
      </c>
      <c r="R48" s="86"/>
      <c r="S48" s="87">
        <v>40</v>
      </c>
      <c r="T48" s="87" t="s">
        <v>17</v>
      </c>
      <c r="U48" s="88">
        <f>IF(S48&gt;0,IF(RIGHT(Ruimtestaat[[#This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48" s="88">
        <f>IF(U48&gt;0,VLOOKUP($K48,Ruimtegroepen[],3,FALSE)*VLOOKUP($M48,Vloersoorten[],3,FALSE)*VLOOKUP($T48,Frequenties[],3,FALSE)*VLOOKUP($A48,Locaties[],3,FALSE),0)</f>
        <v>0</v>
      </c>
      <c r="W48" s="89">
        <f>Ruimtestaat[[#This Row],[Uitvoeringen werkdagen]]*Ruimtestaat[[#This Row],[Oppervlak (netto)]]</f>
        <v>960</v>
      </c>
      <c r="X48" s="90">
        <f>IF(V48&gt;0,Ruimtestaat[[#This Row],[Prest. (m2 /jaar) werkdagen]]/Ruimtestaat[[#This Row],[Norm (m2/uur) werkdagen]],0)</f>
        <v>0</v>
      </c>
      <c r="Y48" s="91">
        <f>Ruimtestaat[[#This Row],[uren / jaar werkdagen]]*Tariefsopbouw!$E$35</f>
        <v>0</v>
      </c>
      <c r="Z48" s="88"/>
      <c r="AA48" s="92">
        <f>IF(Ruimtestaat[[#This Row],[Frequentie weekend]]&gt;0,VALUE(LEFT(Z48,1))*S48,0)</f>
        <v>0</v>
      </c>
      <c r="AB48" s="88">
        <f>IF($AA48&gt;0,VLOOKUP($K48,Ruimtegroepen[],3,FALSE)*VLOOKUP($M48,Vloersoorten[],3,FALSE)*VLOOKUP($Z48,Frequenties[],3,FALSE)*VLOOKUP(#REF!,Locaties[],3,FALSE),0)</f>
        <v>0</v>
      </c>
      <c r="AC48" s="90">
        <f>Ruimtestaat[[#This Row],[Uitvoeringen weekend]]*Ruimtestaat[[#This Row],[Oppervlak (netto)]]</f>
        <v>0</v>
      </c>
      <c r="AD48" s="93">
        <f>IF(AC48&gt;0,Ruimtestaat[[#This Row],[Prest. (m2 /jaar) weekend]]/Ruimtestaat[[#This Row],[Norm (m2/uur) weekend]],0)</f>
        <v>0</v>
      </c>
      <c r="AE48" s="94">
        <f>Ruimtestaat[[#This Row],[uren / jaar weekend]]*Tariefsopbouw!$D$40</f>
        <v>0</v>
      </c>
      <c r="AF48" s="66">
        <f>Ruimtestaat[[#This Row],[Prest. (m2 /jaar) weekend]]+Ruimtestaat[[#This Row],[Prest. (m2 /jaar) werkdagen]]</f>
        <v>960</v>
      </c>
      <c r="AG48" s="66">
        <f>Ruimtestaat[[#This Row],[uren / jaar weekend]]+Ruimtestaat[[#This Row],[uren / jaar werkdagen]]</f>
        <v>0</v>
      </c>
      <c r="AH48" s="67">
        <f>Ruimtestaat[[#This Row],[kosten / jaar weekend]]+Ruimtestaat[[#This Row],[kosten / jaar werkdagen]]</f>
        <v>0</v>
      </c>
    </row>
    <row r="49" spans="1:34" ht="15" customHeight="1">
      <c r="A49" s="112">
        <v>1</v>
      </c>
      <c r="B49" s="23" t="str">
        <f>VLOOKUP(Ruimtestaat[[#This Row],[Code]],Locaties[#All],2,FALSE)</f>
        <v>RSG Levant</v>
      </c>
      <c r="C49" s="23" t="str">
        <f>VLOOKUP(Ruimtestaat[[#This Row],[Code]],Locaties[#All],4,FALSE)</f>
        <v>Horsterweg 192</v>
      </c>
      <c r="D49" s="23" t="str">
        <f>VLOOKUP(Ruimtestaat[[#This Row],[Code]],Locaties[#All],5,FALSE)</f>
        <v>3891 EV</v>
      </c>
      <c r="E49" s="23" t="str">
        <f>VLOOKUP(Ruimtestaat[[#This Row],[Code]],Locaties[#All],6,FALSE)</f>
        <v>Zeewolde</v>
      </c>
      <c r="F49" s="23"/>
      <c r="G49" s="60"/>
      <c r="H49" s="23" t="s">
        <v>535</v>
      </c>
      <c r="I49" s="27" t="s">
        <v>512</v>
      </c>
      <c r="J49" s="3" t="s">
        <v>559</v>
      </c>
      <c r="K49" s="23">
        <v>23</v>
      </c>
      <c r="L49" s="60" t="str">
        <f>VLOOKUP(K49,Ruimtegroepen[],2,FALSE)</f>
        <v>Niet in onderhoud</v>
      </c>
      <c r="M49" s="23" t="s">
        <v>113</v>
      </c>
      <c r="N49" s="23" t="s">
        <v>661</v>
      </c>
      <c r="O49" s="86"/>
      <c r="P49" s="86">
        <v>25</v>
      </c>
      <c r="Q49" s="95" t="str">
        <f>LEFT(VLOOKUP(Ruimtestaat[[#This Row],[Ruimte code]],Ruimtegroepen[#All],4,1),2)</f>
        <v/>
      </c>
      <c r="R49" s="86"/>
      <c r="S49" s="87"/>
      <c r="T49" s="87"/>
      <c r="U49" s="88">
        <f>IF(S49&gt;0,IF(RIGHT(Ruimtestaat[[#This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49" s="88">
        <f>IF(U49&gt;0,VLOOKUP($K49,Ruimtegroepen[],3,FALSE)*VLOOKUP($M49,Vloersoorten[],3,FALSE)*VLOOKUP($T49,Frequenties[],3,FALSE)*VLOOKUP($A49,Locaties[],3,FALSE),0)</f>
        <v>0</v>
      </c>
      <c r="W49" s="89">
        <f>Ruimtestaat[[#This Row],[Uitvoeringen werkdagen]]*Ruimtestaat[[#This Row],[Oppervlak (netto)]]</f>
        <v>0</v>
      </c>
      <c r="X49" s="90">
        <f>IF(V49&gt;0,Ruimtestaat[[#This Row],[Prest. (m2 /jaar) werkdagen]]/Ruimtestaat[[#This Row],[Norm (m2/uur) werkdagen]],0)</f>
        <v>0</v>
      </c>
      <c r="Y49" s="91">
        <f>Ruimtestaat[[#This Row],[uren / jaar werkdagen]]*Tariefsopbouw!$E$35</f>
        <v>0</v>
      </c>
      <c r="Z49" s="88"/>
      <c r="AA49" s="92">
        <f>IF(Ruimtestaat[[#This Row],[Frequentie weekend]]&gt;0,VALUE(LEFT(Z49,1))*S49,0)</f>
        <v>0</v>
      </c>
      <c r="AB49" s="88">
        <f>IF($AA49&gt;0,VLOOKUP($K49,Ruimtegroepen[],3,FALSE)*VLOOKUP($M49,Vloersoorten[],3,FALSE)*VLOOKUP($Z49,Frequenties[],3,FALSE)*VLOOKUP(#REF!,Locaties[],3,FALSE),0)</f>
        <v>0</v>
      </c>
      <c r="AC49" s="90">
        <f>Ruimtestaat[[#This Row],[Uitvoeringen weekend]]*Ruimtestaat[[#This Row],[Oppervlak (netto)]]</f>
        <v>0</v>
      </c>
      <c r="AD49" s="93">
        <f>IF(AC49&gt;0,Ruimtestaat[[#This Row],[Prest. (m2 /jaar) weekend]]/Ruimtestaat[[#This Row],[Norm (m2/uur) weekend]],0)</f>
        <v>0</v>
      </c>
      <c r="AE49" s="94">
        <f>Ruimtestaat[[#This Row],[uren / jaar weekend]]*Tariefsopbouw!$D$40</f>
        <v>0</v>
      </c>
      <c r="AF49" s="66">
        <f>Ruimtestaat[[#This Row],[Prest. (m2 /jaar) weekend]]+Ruimtestaat[[#This Row],[Prest. (m2 /jaar) werkdagen]]</f>
        <v>0</v>
      </c>
      <c r="AG49" s="66">
        <f>Ruimtestaat[[#This Row],[uren / jaar weekend]]+Ruimtestaat[[#This Row],[uren / jaar werkdagen]]</f>
        <v>0</v>
      </c>
      <c r="AH49" s="67">
        <f>Ruimtestaat[[#This Row],[kosten / jaar weekend]]+Ruimtestaat[[#This Row],[kosten / jaar werkdagen]]</f>
        <v>0</v>
      </c>
    </row>
    <row r="50" spans="1:34" ht="15" customHeight="1">
      <c r="A50" s="112">
        <v>1</v>
      </c>
      <c r="B50" s="23" t="str">
        <f>VLOOKUP(Ruimtestaat[[#This Row],[Code]],Locaties[#All],2,FALSE)</f>
        <v>RSG Levant</v>
      </c>
      <c r="C50" s="23" t="str">
        <f>VLOOKUP(Ruimtestaat[[#This Row],[Code]],Locaties[#All],4,FALSE)</f>
        <v>Horsterweg 192</v>
      </c>
      <c r="D50" s="23" t="str">
        <f>VLOOKUP(Ruimtestaat[[#This Row],[Code]],Locaties[#All],5,FALSE)</f>
        <v>3891 EV</v>
      </c>
      <c r="E50" s="23" t="str">
        <f>VLOOKUP(Ruimtestaat[[#This Row],[Code]],Locaties[#All],6,FALSE)</f>
        <v>Zeewolde</v>
      </c>
      <c r="F50" s="23"/>
      <c r="G50" s="60"/>
      <c r="H50" s="23" t="s">
        <v>535</v>
      </c>
      <c r="I50" s="27" t="s">
        <v>513</v>
      </c>
      <c r="J50" s="3" t="s">
        <v>560</v>
      </c>
      <c r="K50" s="23">
        <v>23</v>
      </c>
      <c r="L50" s="60" t="str">
        <f>VLOOKUP(K50,Ruimtegroepen[],2,FALSE)</f>
        <v>Niet in onderhoud</v>
      </c>
      <c r="M50" s="23" t="s">
        <v>113</v>
      </c>
      <c r="N50" s="23" t="s">
        <v>661</v>
      </c>
      <c r="O50" s="86"/>
      <c r="P50" s="86">
        <v>12</v>
      </c>
      <c r="Q50" s="95" t="str">
        <f>LEFT(VLOOKUP(Ruimtestaat[[#This Row],[Ruimte code]],Ruimtegroepen[#All],4,1),2)</f>
        <v/>
      </c>
      <c r="R50" s="86"/>
      <c r="S50" s="87"/>
      <c r="T50" s="87"/>
      <c r="U50" s="88">
        <f>IF(S50&gt;0,IF(RIGHT(Ruimtestaat[[#This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50" s="88">
        <f>IF(U50&gt;0,VLOOKUP($K50,Ruimtegroepen[],3,FALSE)*VLOOKUP($M50,Vloersoorten[],3,FALSE)*VLOOKUP($T50,Frequenties[],3,FALSE)*VLOOKUP($A50,Locaties[],3,FALSE),0)</f>
        <v>0</v>
      </c>
      <c r="W50" s="89">
        <f>Ruimtestaat[[#This Row],[Uitvoeringen werkdagen]]*Ruimtestaat[[#This Row],[Oppervlak (netto)]]</f>
        <v>0</v>
      </c>
      <c r="X50" s="90">
        <f>IF(V50&gt;0,Ruimtestaat[[#This Row],[Prest. (m2 /jaar) werkdagen]]/Ruimtestaat[[#This Row],[Norm (m2/uur) werkdagen]],0)</f>
        <v>0</v>
      </c>
      <c r="Y50" s="91">
        <f>Ruimtestaat[[#This Row],[uren / jaar werkdagen]]*Tariefsopbouw!$E$35</f>
        <v>0</v>
      </c>
      <c r="Z50" s="88"/>
      <c r="AA50" s="92">
        <f>IF(Ruimtestaat[[#This Row],[Frequentie weekend]]&gt;0,VALUE(LEFT(Z50,1))*S50,0)</f>
        <v>0</v>
      </c>
      <c r="AB50" s="88">
        <f>IF($AA50&gt;0,VLOOKUP($K50,Ruimtegroepen[],3,FALSE)*VLOOKUP($M50,Vloersoorten[],3,FALSE)*VLOOKUP($Z50,Frequenties[],3,FALSE)*VLOOKUP(#REF!,Locaties[],3,FALSE),0)</f>
        <v>0</v>
      </c>
      <c r="AC50" s="90">
        <f>Ruimtestaat[[#This Row],[Uitvoeringen weekend]]*Ruimtestaat[[#This Row],[Oppervlak (netto)]]</f>
        <v>0</v>
      </c>
      <c r="AD50" s="93">
        <f>IF(AC50&gt;0,Ruimtestaat[[#This Row],[Prest. (m2 /jaar) weekend]]/Ruimtestaat[[#This Row],[Norm (m2/uur) weekend]],0)</f>
        <v>0</v>
      </c>
      <c r="AE50" s="94">
        <f>Ruimtestaat[[#This Row],[uren / jaar weekend]]*Tariefsopbouw!$D$40</f>
        <v>0</v>
      </c>
      <c r="AF50" s="66">
        <f>Ruimtestaat[[#This Row],[Prest. (m2 /jaar) weekend]]+Ruimtestaat[[#This Row],[Prest. (m2 /jaar) werkdagen]]</f>
        <v>0</v>
      </c>
      <c r="AG50" s="66">
        <f>Ruimtestaat[[#This Row],[uren / jaar weekend]]+Ruimtestaat[[#This Row],[uren / jaar werkdagen]]</f>
        <v>0</v>
      </c>
      <c r="AH50" s="67">
        <f>Ruimtestaat[[#This Row],[kosten / jaar weekend]]+Ruimtestaat[[#This Row],[kosten / jaar werkdagen]]</f>
        <v>0</v>
      </c>
    </row>
    <row r="51" spans="1:34" ht="15" customHeight="1">
      <c r="A51" s="112">
        <v>1</v>
      </c>
      <c r="B51" s="23" t="str">
        <f>VLOOKUP(Ruimtestaat[[#This Row],[Code]],Locaties[#All],2,FALSE)</f>
        <v>RSG Levant</v>
      </c>
      <c r="C51" s="23" t="str">
        <f>VLOOKUP(Ruimtestaat[[#This Row],[Code]],Locaties[#All],4,FALSE)</f>
        <v>Horsterweg 192</v>
      </c>
      <c r="D51" s="23" t="str">
        <f>VLOOKUP(Ruimtestaat[[#This Row],[Code]],Locaties[#All],5,FALSE)</f>
        <v>3891 EV</v>
      </c>
      <c r="E51" s="23" t="str">
        <f>VLOOKUP(Ruimtestaat[[#This Row],[Code]],Locaties[#All],6,FALSE)</f>
        <v>Zeewolde</v>
      </c>
      <c r="F51" s="23"/>
      <c r="G51" s="60"/>
      <c r="H51" s="23" t="s">
        <v>535</v>
      </c>
      <c r="I51" s="27" t="s">
        <v>514</v>
      </c>
      <c r="J51" s="3" t="s">
        <v>561</v>
      </c>
      <c r="K51" s="23">
        <v>9</v>
      </c>
      <c r="L51" s="60" t="str">
        <f>VLOOKUP(K51,Ruimtegroepen[],2,FALSE)</f>
        <v>Garderobe</v>
      </c>
      <c r="M51" s="23" t="s">
        <v>112</v>
      </c>
      <c r="N51" s="23" t="s">
        <v>137</v>
      </c>
      <c r="O51" s="86">
        <v>18</v>
      </c>
      <c r="P51" s="86"/>
      <c r="Q51" s="95" t="str">
        <f>LEFT(VLOOKUP(Ruimtestaat[[#This Row],[Ruimte code]],Ruimtegroepen[#All],4,1),2)</f>
        <v xml:space="preserve">V </v>
      </c>
      <c r="R51" s="86"/>
      <c r="S51" s="87">
        <v>40</v>
      </c>
      <c r="T51" s="87" t="s">
        <v>2</v>
      </c>
      <c r="U51" s="88">
        <f>IF(S51&gt;0,IF(RIGHT(Ruimtestaat[[#This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1" s="88">
        <f>IF(U51&gt;0,VLOOKUP($K51,Ruimtegroepen[],3,FALSE)*VLOOKUP($M51,Vloersoorten[],3,FALSE)*VLOOKUP($T51,Frequenties[],3,FALSE)*VLOOKUP($A51,Locaties[],3,FALSE),0)</f>
        <v>0</v>
      </c>
      <c r="W51" s="89">
        <f>Ruimtestaat[[#This Row],[Uitvoeringen werkdagen]]*Ruimtestaat[[#This Row],[Oppervlak (netto)]]</f>
        <v>3600</v>
      </c>
      <c r="X51" s="90">
        <f>IF(V51&gt;0,Ruimtestaat[[#This Row],[Prest. (m2 /jaar) werkdagen]]/Ruimtestaat[[#This Row],[Norm (m2/uur) werkdagen]],0)</f>
        <v>0</v>
      </c>
      <c r="Y51" s="91">
        <f>Ruimtestaat[[#This Row],[uren / jaar werkdagen]]*Tariefsopbouw!$E$35</f>
        <v>0</v>
      </c>
      <c r="Z51" s="88"/>
      <c r="AA51" s="92">
        <f>IF(Ruimtestaat[[#This Row],[Frequentie weekend]]&gt;0,VALUE(LEFT(Z51,1))*S51,0)</f>
        <v>0</v>
      </c>
      <c r="AB51" s="88">
        <f>IF($AA51&gt;0,VLOOKUP($K51,Ruimtegroepen[],3,FALSE)*VLOOKUP($M51,Vloersoorten[],3,FALSE)*VLOOKUP($Z51,Frequenties[],3,FALSE)*VLOOKUP(#REF!,Locaties[],3,FALSE),0)</f>
        <v>0</v>
      </c>
      <c r="AC51" s="90">
        <f>Ruimtestaat[[#This Row],[Uitvoeringen weekend]]*Ruimtestaat[[#This Row],[Oppervlak (netto)]]</f>
        <v>0</v>
      </c>
      <c r="AD51" s="93">
        <f>IF(AC51&gt;0,Ruimtestaat[[#This Row],[Prest. (m2 /jaar) weekend]]/Ruimtestaat[[#This Row],[Norm (m2/uur) weekend]],0)</f>
        <v>0</v>
      </c>
      <c r="AE51" s="94">
        <f>Ruimtestaat[[#This Row],[uren / jaar weekend]]*Tariefsopbouw!$D$40</f>
        <v>0</v>
      </c>
      <c r="AF51" s="66">
        <f>Ruimtestaat[[#This Row],[Prest. (m2 /jaar) weekend]]+Ruimtestaat[[#This Row],[Prest. (m2 /jaar) werkdagen]]</f>
        <v>3600</v>
      </c>
      <c r="AG51" s="66">
        <f>Ruimtestaat[[#This Row],[uren / jaar weekend]]+Ruimtestaat[[#This Row],[uren / jaar werkdagen]]</f>
        <v>0</v>
      </c>
      <c r="AH51" s="67">
        <f>Ruimtestaat[[#This Row],[kosten / jaar weekend]]+Ruimtestaat[[#This Row],[kosten / jaar werkdagen]]</f>
        <v>0</v>
      </c>
    </row>
    <row r="52" spans="1:34" ht="15" customHeight="1">
      <c r="A52" s="112">
        <v>1</v>
      </c>
      <c r="B52" s="23" t="str">
        <f>VLOOKUP(Ruimtestaat[[#This Row],[Code]],Locaties[#All],2,FALSE)</f>
        <v>RSG Levant</v>
      </c>
      <c r="C52" s="23" t="str">
        <f>VLOOKUP(Ruimtestaat[[#This Row],[Code]],Locaties[#All],4,FALSE)</f>
        <v>Horsterweg 192</v>
      </c>
      <c r="D52" s="23" t="str">
        <f>VLOOKUP(Ruimtestaat[[#This Row],[Code]],Locaties[#All],5,FALSE)</f>
        <v>3891 EV</v>
      </c>
      <c r="E52" s="23" t="str">
        <f>VLOOKUP(Ruimtestaat[[#This Row],[Code]],Locaties[#All],6,FALSE)</f>
        <v>Zeewolde</v>
      </c>
      <c r="F52" s="23"/>
      <c r="G52" s="60"/>
      <c r="H52" s="23" t="s">
        <v>535</v>
      </c>
      <c r="I52" s="27" t="s">
        <v>515</v>
      </c>
      <c r="J52" s="3" t="s">
        <v>562</v>
      </c>
      <c r="K52" s="23">
        <v>13</v>
      </c>
      <c r="L52" s="60" t="str">
        <f>VLOOKUP(K52,Ruimtegroepen[],2,FALSE)</f>
        <v>HV/Technieklokaal</v>
      </c>
      <c r="M52" s="23" t="s">
        <v>112</v>
      </c>
      <c r="N52" s="23" t="s">
        <v>137</v>
      </c>
      <c r="O52" s="86">
        <v>52</v>
      </c>
      <c r="P52" s="86"/>
      <c r="Q52" s="95" t="str">
        <f>LEFT(VLOOKUP(Ruimtestaat[[#This Row],[Ruimte code]],Ruimtegroepen[#All],4,1),2)</f>
        <v xml:space="preserve">L </v>
      </c>
      <c r="R52" s="86"/>
      <c r="S52" s="87">
        <v>40</v>
      </c>
      <c r="T52" s="87" t="s">
        <v>2</v>
      </c>
      <c r="U52" s="88">
        <f>IF(S52&gt;0,IF(RIGHT(Ruimtestaat[[#This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2" s="88">
        <f>IF(U52&gt;0,VLOOKUP($K52,Ruimtegroepen[],3,FALSE)*VLOOKUP($M52,Vloersoorten[],3,FALSE)*VLOOKUP($T52,Frequenties[],3,FALSE)*VLOOKUP($A52,Locaties[],3,FALSE),0)</f>
        <v>0</v>
      </c>
      <c r="W52" s="89">
        <f>Ruimtestaat[[#This Row],[Uitvoeringen werkdagen]]*Ruimtestaat[[#This Row],[Oppervlak (netto)]]</f>
        <v>10400</v>
      </c>
      <c r="X52" s="90">
        <f>IF(V52&gt;0,Ruimtestaat[[#This Row],[Prest. (m2 /jaar) werkdagen]]/Ruimtestaat[[#This Row],[Norm (m2/uur) werkdagen]],0)</f>
        <v>0</v>
      </c>
      <c r="Y52" s="91">
        <f>Ruimtestaat[[#This Row],[uren / jaar werkdagen]]*Tariefsopbouw!$E$35</f>
        <v>0</v>
      </c>
      <c r="Z52" s="88"/>
      <c r="AA52" s="92">
        <f>IF(Ruimtestaat[[#This Row],[Frequentie weekend]]&gt;0,VALUE(LEFT(Z52,1))*S52,0)</f>
        <v>0</v>
      </c>
      <c r="AB52" s="88">
        <f>IF($AA52&gt;0,VLOOKUP($K52,Ruimtegroepen[],3,FALSE)*VLOOKUP($M52,Vloersoorten[],3,FALSE)*VLOOKUP($Z52,Frequenties[],3,FALSE)*VLOOKUP(#REF!,Locaties[],3,FALSE),0)</f>
        <v>0</v>
      </c>
      <c r="AC52" s="90">
        <f>Ruimtestaat[[#This Row],[Uitvoeringen weekend]]*Ruimtestaat[[#This Row],[Oppervlak (netto)]]</f>
        <v>0</v>
      </c>
      <c r="AD52" s="93">
        <f>IF(AC52&gt;0,Ruimtestaat[[#This Row],[Prest. (m2 /jaar) weekend]]/Ruimtestaat[[#This Row],[Norm (m2/uur) weekend]],0)</f>
        <v>0</v>
      </c>
      <c r="AE52" s="94">
        <f>Ruimtestaat[[#This Row],[uren / jaar weekend]]*Tariefsopbouw!$D$40</f>
        <v>0</v>
      </c>
      <c r="AF52" s="66">
        <f>Ruimtestaat[[#This Row],[Prest. (m2 /jaar) weekend]]+Ruimtestaat[[#This Row],[Prest. (m2 /jaar) werkdagen]]</f>
        <v>10400</v>
      </c>
      <c r="AG52" s="66">
        <f>Ruimtestaat[[#This Row],[uren / jaar weekend]]+Ruimtestaat[[#This Row],[uren / jaar werkdagen]]</f>
        <v>0</v>
      </c>
      <c r="AH52" s="67">
        <f>Ruimtestaat[[#This Row],[kosten / jaar weekend]]+Ruimtestaat[[#This Row],[kosten / jaar werkdagen]]</f>
        <v>0</v>
      </c>
    </row>
    <row r="53" spans="1:34" ht="15" customHeight="1">
      <c r="A53" s="112">
        <v>1</v>
      </c>
      <c r="B53" s="23" t="str">
        <f>VLOOKUP(Ruimtestaat[[#This Row],[Code]],Locaties[#All],2,FALSE)</f>
        <v>RSG Levant</v>
      </c>
      <c r="C53" s="23" t="str">
        <f>VLOOKUP(Ruimtestaat[[#This Row],[Code]],Locaties[#All],4,FALSE)</f>
        <v>Horsterweg 192</v>
      </c>
      <c r="D53" s="23" t="str">
        <f>VLOOKUP(Ruimtestaat[[#This Row],[Code]],Locaties[#All],5,FALSE)</f>
        <v>3891 EV</v>
      </c>
      <c r="E53" s="23" t="str">
        <f>VLOOKUP(Ruimtestaat[[#This Row],[Code]],Locaties[#All],6,FALSE)</f>
        <v>Zeewolde</v>
      </c>
      <c r="F53" s="23"/>
      <c r="G53" s="60"/>
      <c r="H53" s="23" t="s">
        <v>535</v>
      </c>
      <c r="I53" s="27" t="s">
        <v>516</v>
      </c>
      <c r="J53" s="3" t="s">
        <v>562</v>
      </c>
      <c r="K53" s="23">
        <v>13</v>
      </c>
      <c r="L53" s="60" t="str">
        <f>VLOOKUP(K53,Ruimtegroepen[],2,FALSE)</f>
        <v>HV/Technieklokaal</v>
      </c>
      <c r="M53" s="23" t="s">
        <v>112</v>
      </c>
      <c r="N53" s="23" t="s">
        <v>137</v>
      </c>
      <c r="O53" s="86">
        <v>27</v>
      </c>
      <c r="P53" s="86"/>
      <c r="Q53" s="95" t="str">
        <f>LEFT(VLOOKUP(Ruimtestaat[[#This Row],[Ruimte code]],Ruimtegroepen[#All],4,1),2)</f>
        <v xml:space="preserve">L </v>
      </c>
      <c r="R53" s="86"/>
      <c r="S53" s="87">
        <v>40</v>
      </c>
      <c r="T53" s="87" t="s">
        <v>2</v>
      </c>
      <c r="U53" s="88">
        <f>IF(S53&gt;0,IF(RIGHT(Ruimtestaat[[#This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3" s="88">
        <f>IF(U53&gt;0,VLOOKUP($K53,Ruimtegroepen[],3,FALSE)*VLOOKUP($M53,Vloersoorten[],3,FALSE)*VLOOKUP($T53,Frequenties[],3,FALSE)*VLOOKUP($A53,Locaties[],3,FALSE),0)</f>
        <v>0</v>
      </c>
      <c r="W53" s="89">
        <f>Ruimtestaat[[#This Row],[Uitvoeringen werkdagen]]*Ruimtestaat[[#This Row],[Oppervlak (netto)]]</f>
        <v>5400</v>
      </c>
      <c r="X53" s="90">
        <f>IF(V53&gt;0,Ruimtestaat[[#This Row],[Prest. (m2 /jaar) werkdagen]]/Ruimtestaat[[#This Row],[Norm (m2/uur) werkdagen]],0)</f>
        <v>0</v>
      </c>
      <c r="Y53" s="91">
        <f>Ruimtestaat[[#This Row],[uren / jaar werkdagen]]*Tariefsopbouw!$E$35</f>
        <v>0</v>
      </c>
      <c r="Z53" s="88"/>
      <c r="AA53" s="92">
        <f>IF(Ruimtestaat[[#This Row],[Frequentie weekend]]&gt;0,VALUE(LEFT(Z53,1))*S53,0)</f>
        <v>0</v>
      </c>
      <c r="AB53" s="88">
        <f>IF($AA53&gt;0,VLOOKUP($K53,Ruimtegroepen[],3,FALSE)*VLOOKUP($M53,Vloersoorten[],3,FALSE)*VLOOKUP($Z53,Frequenties[],3,FALSE)*VLOOKUP(#REF!,Locaties[],3,FALSE),0)</f>
        <v>0</v>
      </c>
      <c r="AC53" s="90">
        <f>Ruimtestaat[[#This Row],[Uitvoeringen weekend]]*Ruimtestaat[[#This Row],[Oppervlak (netto)]]</f>
        <v>0</v>
      </c>
      <c r="AD53" s="93">
        <f>IF(AC53&gt;0,Ruimtestaat[[#This Row],[Prest. (m2 /jaar) weekend]]/Ruimtestaat[[#This Row],[Norm (m2/uur) weekend]],0)</f>
        <v>0</v>
      </c>
      <c r="AE53" s="94">
        <f>Ruimtestaat[[#This Row],[uren / jaar weekend]]*Tariefsopbouw!$D$40</f>
        <v>0</v>
      </c>
      <c r="AF53" s="66">
        <f>Ruimtestaat[[#This Row],[Prest. (m2 /jaar) weekend]]+Ruimtestaat[[#This Row],[Prest. (m2 /jaar) werkdagen]]</f>
        <v>5400</v>
      </c>
      <c r="AG53" s="66">
        <f>Ruimtestaat[[#This Row],[uren / jaar weekend]]+Ruimtestaat[[#This Row],[uren / jaar werkdagen]]</f>
        <v>0</v>
      </c>
      <c r="AH53" s="67">
        <f>Ruimtestaat[[#This Row],[kosten / jaar weekend]]+Ruimtestaat[[#This Row],[kosten / jaar werkdagen]]</f>
        <v>0</v>
      </c>
    </row>
    <row r="54" spans="1:34" ht="15" customHeight="1">
      <c r="A54" s="112">
        <v>1</v>
      </c>
      <c r="B54" s="23" t="str">
        <f>VLOOKUP(Ruimtestaat[[#This Row],[Code]],Locaties[#All],2,FALSE)</f>
        <v>RSG Levant</v>
      </c>
      <c r="C54" s="23" t="str">
        <f>VLOOKUP(Ruimtestaat[[#This Row],[Code]],Locaties[#All],4,FALSE)</f>
        <v>Horsterweg 192</v>
      </c>
      <c r="D54" s="23" t="str">
        <f>VLOOKUP(Ruimtestaat[[#This Row],[Code]],Locaties[#All],5,FALSE)</f>
        <v>3891 EV</v>
      </c>
      <c r="E54" s="23" t="str">
        <f>VLOOKUP(Ruimtestaat[[#This Row],[Code]],Locaties[#All],6,FALSE)</f>
        <v>Zeewolde</v>
      </c>
      <c r="F54" s="23"/>
      <c r="G54" s="60"/>
      <c r="H54" s="23" t="s">
        <v>535</v>
      </c>
      <c r="I54" s="27" t="s">
        <v>517</v>
      </c>
      <c r="J54" s="3" t="s">
        <v>563</v>
      </c>
      <c r="K54" s="23">
        <v>13</v>
      </c>
      <c r="L54" s="60" t="str">
        <f>VLOOKUP(K54,Ruimtegroepen[],2,FALSE)</f>
        <v>HV/Technieklokaal</v>
      </c>
      <c r="M54" s="23" t="s">
        <v>112</v>
      </c>
      <c r="N54" s="23" t="s">
        <v>137</v>
      </c>
      <c r="O54" s="86">
        <v>72</v>
      </c>
      <c r="P54" s="86"/>
      <c r="Q54" s="95" t="str">
        <f>LEFT(VLOOKUP(Ruimtestaat[[#This Row],[Ruimte code]],Ruimtegroepen[#All],4,1),2)</f>
        <v xml:space="preserve">L </v>
      </c>
      <c r="R54" s="86"/>
      <c r="S54" s="87">
        <v>40</v>
      </c>
      <c r="T54" s="87" t="s">
        <v>2</v>
      </c>
      <c r="U54" s="88">
        <f>IF(S54&gt;0,IF(RIGHT(Ruimtestaat[[#This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4" s="88">
        <f>IF(U54&gt;0,VLOOKUP($K54,Ruimtegroepen[],3,FALSE)*VLOOKUP($M54,Vloersoorten[],3,FALSE)*VLOOKUP($T54,Frequenties[],3,FALSE)*VLOOKUP($A54,Locaties[],3,FALSE),0)</f>
        <v>0</v>
      </c>
      <c r="W54" s="89">
        <f>Ruimtestaat[[#This Row],[Uitvoeringen werkdagen]]*Ruimtestaat[[#This Row],[Oppervlak (netto)]]</f>
        <v>14400</v>
      </c>
      <c r="X54" s="90">
        <f>IF(V54&gt;0,Ruimtestaat[[#This Row],[Prest. (m2 /jaar) werkdagen]]/Ruimtestaat[[#This Row],[Norm (m2/uur) werkdagen]],0)</f>
        <v>0</v>
      </c>
      <c r="Y54" s="91">
        <f>Ruimtestaat[[#This Row],[uren / jaar werkdagen]]*Tariefsopbouw!$E$35</f>
        <v>0</v>
      </c>
      <c r="Z54" s="88"/>
      <c r="AA54" s="92">
        <f>IF(Ruimtestaat[[#This Row],[Frequentie weekend]]&gt;0,VALUE(LEFT(Z54,1))*S54,0)</f>
        <v>0</v>
      </c>
      <c r="AB54" s="88">
        <f>IF($AA54&gt;0,VLOOKUP($K54,Ruimtegroepen[],3,FALSE)*VLOOKUP($M54,Vloersoorten[],3,FALSE)*VLOOKUP($Z54,Frequenties[],3,FALSE)*VLOOKUP(#REF!,Locaties[],3,FALSE),0)</f>
        <v>0</v>
      </c>
      <c r="AC54" s="90">
        <f>Ruimtestaat[[#This Row],[Uitvoeringen weekend]]*Ruimtestaat[[#This Row],[Oppervlak (netto)]]</f>
        <v>0</v>
      </c>
      <c r="AD54" s="93">
        <f>IF(AC54&gt;0,Ruimtestaat[[#This Row],[Prest. (m2 /jaar) weekend]]/Ruimtestaat[[#This Row],[Norm (m2/uur) weekend]],0)</f>
        <v>0</v>
      </c>
      <c r="AE54" s="94">
        <f>Ruimtestaat[[#This Row],[uren / jaar weekend]]*Tariefsopbouw!$D$40</f>
        <v>0</v>
      </c>
      <c r="AF54" s="66">
        <f>Ruimtestaat[[#This Row],[Prest. (m2 /jaar) weekend]]+Ruimtestaat[[#This Row],[Prest. (m2 /jaar) werkdagen]]</f>
        <v>14400</v>
      </c>
      <c r="AG54" s="66">
        <f>Ruimtestaat[[#This Row],[uren / jaar weekend]]+Ruimtestaat[[#This Row],[uren / jaar werkdagen]]</f>
        <v>0</v>
      </c>
      <c r="AH54" s="67">
        <f>Ruimtestaat[[#This Row],[kosten / jaar weekend]]+Ruimtestaat[[#This Row],[kosten / jaar werkdagen]]</f>
        <v>0</v>
      </c>
    </row>
    <row r="55" spans="1:34" ht="15" customHeight="1">
      <c r="A55" s="112">
        <v>1</v>
      </c>
      <c r="B55" s="23" t="str">
        <f>VLOOKUP(Ruimtestaat[[#This Row],[Code]],Locaties[#All],2,FALSE)</f>
        <v>RSG Levant</v>
      </c>
      <c r="C55" s="23" t="str">
        <f>VLOOKUP(Ruimtestaat[[#This Row],[Code]],Locaties[#All],4,FALSE)</f>
        <v>Horsterweg 192</v>
      </c>
      <c r="D55" s="23" t="str">
        <f>VLOOKUP(Ruimtestaat[[#This Row],[Code]],Locaties[#All],5,FALSE)</f>
        <v>3891 EV</v>
      </c>
      <c r="E55" s="23" t="str">
        <f>VLOOKUP(Ruimtestaat[[#This Row],[Code]],Locaties[#All],6,FALSE)</f>
        <v>Zeewolde</v>
      </c>
      <c r="F55" s="23"/>
      <c r="G55" s="60"/>
      <c r="H55" s="23" t="s">
        <v>535</v>
      </c>
      <c r="I55" s="27" t="s">
        <v>518</v>
      </c>
      <c r="J55" s="3" t="s">
        <v>564</v>
      </c>
      <c r="K55" s="23">
        <v>16</v>
      </c>
      <c r="L55" s="60" t="str">
        <f>VLOOKUP(K55,Ruimtegroepen[],2,FALSE)</f>
        <v>Leslokalen theorie</v>
      </c>
      <c r="M55" s="23" t="s">
        <v>112</v>
      </c>
      <c r="N55" s="23" t="s">
        <v>137</v>
      </c>
      <c r="O55" s="86">
        <v>55</v>
      </c>
      <c r="P55" s="86"/>
      <c r="Q55" s="95" t="str">
        <f>LEFT(VLOOKUP(Ruimtestaat[[#This Row],[Ruimte code]],Ruimtegroepen[#All],4,1),2)</f>
        <v xml:space="preserve">L </v>
      </c>
      <c r="R55" s="86"/>
      <c r="S55" s="87">
        <v>40</v>
      </c>
      <c r="T55" s="87" t="s">
        <v>2</v>
      </c>
      <c r="U55" s="88">
        <f>IF(S55&gt;0,IF(RIGHT(Ruimtestaat[[#This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5" s="88">
        <f>IF(U55&gt;0,VLOOKUP($K55,Ruimtegroepen[],3,FALSE)*VLOOKUP($M55,Vloersoorten[],3,FALSE)*VLOOKUP($T55,Frequenties[],3,FALSE)*VLOOKUP($A55,Locaties[],3,FALSE),0)</f>
        <v>0</v>
      </c>
      <c r="W55" s="89">
        <f>Ruimtestaat[[#This Row],[Uitvoeringen werkdagen]]*Ruimtestaat[[#This Row],[Oppervlak (netto)]]</f>
        <v>11000</v>
      </c>
      <c r="X55" s="90">
        <f>IF(V55&gt;0,Ruimtestaat[[#This Row],[Prest. (m2 /jaar) werkdagen]]/Ruimtestaat[[#This Row],[Norm (m2/uur) werkdagen]],0)</f>
        <v>0</v>
      </c>
      <c r="Y55" s="91">
        <f>Ruimtestaat[[#This Row],[uren / jaar werkdagen]]*Tariefsopbouw!$E$35</f>
        <v>0</v>
      </c>
      <c r="Z55" s="88"/>
      <c r="AA55" s="92">
        <f>IF(Ruimtestaat[[#This Row],[Frequentie weekend]]&gt;0,VALUE(LEFT(Z55,1))*S55,0)</f>
        <v>0</v>
      </c>
      <c r="AB55" s="88">
        <f>IF($AA55&gt;0,VLOOKUP($K55,Ruimtegroepen[],3,FALSE)*VLOOKUP($M55,Vloersoorten[],3,FALSE)*VLOOKUP($Z55,Frequenties[],3,FALSE)*VLOOKUP(#REF!,Locaties[],3,FALSE),0)</f>
        <v>0</v>
      </c>
      <c r="AC55" s="90">
        <f>Ruimtestaat[[#This Row],[Uitvoeringen weekend]]*Ruimtestaat[[#This Row],[Oppervlak (netto)]]</f>
        <v>0</v>
      </c>
      <c r="AD55" s="93">
        <f>IF(AC55&gt;0,Ruimtestaat[[#This Row],[Prest. (m2 /jaar) weekend]]/Ruimtestaat[[#This Row],[Norm (m2/uur) weekend]],0)</f>
        <v>0</v>
      </c>
      <c r="AE55" s="94">
        <f>Ruimtestaat[[#This Row],[uren / jaar weekend]]*Tariefsopbouw!$D$40</f>
        <v>0</v>
      </c>
      <c r="AF55" s="66">
        <f>Ruimtestaat[[#This Row],[Prest. (m2 /jaar) weekend]]+Ruimtestaat[[#This Row],[Prest. (m2 /jaar) werkdagen]]</f>
        <v>11000</v>
      </c>
      <c r="AG55" s="66">
        <f>Ruimtestaat[[#This Row],[uren / jaar weekend]]+Ruimtestaat[[#This Row],[uren / jaar werkdagen]]</f>
        <v>0</v>
      </c>
      <c r="AH55" s="67">
        <f>Ruimtestaat[[#This Row],[kosten / jaar weekend]]+Ruimtestaat[[#This Row],[kosten / jaar werkdagen]]</f>
        <v>0</v>
      </c>
    </row>
    <row r="56" spans="1:34" ht="15" customHeight="1">
      <c r="A56" s="112">
        <v>1</v>
      </c>
      <c r="B56" s="23" t="str">
        <f>VLOOKUP(Ruimtestaat[[#This Row],[Code]],Locaties[#All],2,FALSE)</f>
        <v>RSG Levant</v>
      </c>
      <c r="C56" s="23" t="str">
        <f>VLOOKUP(Ruimtestaat[[#This Row],[Code]],Locaties[#All],4,FALSE)</f>
        <v>Horsterweg 192</v>
      </c>
      <c r="D56" s="23" t="str">
        <f>VLOOKUP(Ruimtestaat[[#This Row],[Code]],Locaties[#All],5,FALSE)</f>
        <v>3891 EV</v>
      </c>
      <c r="E56" s="23" t="str">
        <f>VLOOKUP(Ruimtestaat[[#This Row],[Code]],Locaties[#All],6,FALSE)</f>
        <v>Zeewolde</v>
      </c>
      <c r="F56" s="23"/>
      <c r="G56" s="60"/>
      <c r="H56" s="23" t="s">
        <v>535</v>
      </c>
      <c r="I56" s="27" t="s">
        <v>519</v>
      </c>
      <c r="J56" s="3" t="s">
        <v>564</v>
      </c>
      <c r="K56" s="23">
        <v>16</v>
      </c>
      <c r="L56" s="60" t="str">
        <f>VLOOKUP(K56,Ruimtegroepen[],2,FALSE)</f>
        <v>Leslokalen theorie</v>
      </c>
      <c r="M56" s="23" t="s">
        <v>112</v>
      </c>
      <c r="N56" s="23" t="s">
        <v>137</v>
      </c>
      <c r="O56" s="86">
        <v>10</v>
      </c>
      <c r="P56" s="86"/>
      <c r="Q56" s="95" t="str">
        <f>LEFT(VLOOKUP(Ruimtestaat[[#This Row],[Ruimte code]],Ruimtegroepen[#All],4,1),2)</f>
        <v xml:space="preserve">L </v>
      </c>
      <c r="R56" s="86"/>
      <c r="S56" s="87">
        <v>40</v>
      </c>
      <c r="T56" s="87" t="s">
        <v>2</v>
      </c>
      <c r="U56" s="88">
        <f>IF(S56&gt;0,IF(RIGHT(Ruimtestaat[[#This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6" s="88">
        <f>IF(U56&gt;0,VLOOKUP($K56,Ruimtegroepen[],3,FALSE)*VLOOKUP($M56,Vloersoorten[],3,FALSE)*VLOOKUP($T56,Frequenties[],3,FALSE)*VLOOKUP($A56,Locaties[],3,FALSE),0)</f>
        <v>0</v>
      </c>
      <c r="W56" s="89">
        <f>Ruimtestaat[[#This Row],[Uitvoeringen werkdagen]]*Ruimtestaat[[#This Row],[Oppervlak (netto)]]</f>
        <v>2000</v>
      </c>
      <c r="X56" s="90">
        <f>IF(V56&gt;0,Ruimtestaat[[#This Row],[Prest. (m2 /jaar) werkdagen]]/Ruimtestaat[[#This Row],[Norm (m2/uur) werkdagen]],0)</f>
        <v>0</v>
      </c>
      <c r="Y56" s="91">
        <f>Ruimtestaat[[#This Row],[uren / jaar werkdagen]]*Tariefsopbouw!$E$35</f>
        <v>0</v>
      </c>
      <c r="Z56" s="88"/>
      <c r="AA56" s="92">
        <f>IF(Ruimtestaat[[#This Row],[Frequentie weekend]]&gt;0,VALUE(LEFT(Z56,1))*S56,0)</f>
        <v>0</v>
      </c>
      <c r="AB56" s="88">
        <f>IF($AA56&gt;0,VLOOKUP($K56,Ruimtegroepen[],3,FALSE)*VLOOKUP($M56,Vloersoorten[],3,FALSE)*VLOOKUP($Z56,Frequenties[],3,FALSE)*VLOOKUP(#REF!,Locaties[],3,FALSE),0)</f>
        <v>0</v>
      </c>
      <c r="AC56" s="90">
        <f>Ruimtestaat[[#This Row],[Uitvoeringen weekend]]*Ruimtestaat[[#This Row],[Oppervlak (netto)]]</f>
        <v>0</v>
      </c>
      <c r="AD56" s="93">
        <f>IF(AC56&gt;0,Ruimtestaat[[#This Row],[Prest. (m2 /jaar) weekend]]/Ruimtestaat[[#This Row],[Norm (m2/uur) weekend]],0)</f>
        <v>0</v>
      </c>
      <c r="AE56" s="94">
        <f>Ruimtestaat[[#This Row],[uren / jaar weekend]]*Tariefsopbouw!$D$40</f>
        <v>0</v>
      </c>
      <c r="AF56" s="66">
        <f>Ruimtestaat[[#This Row],[Prest. (m2 /jaar) weekend]]+Ruimtestaat[[#This Row],[Prest. (m2 /jaar) werkdagen]]</f>
        <v>2000</v>
      </c>
      <c r="AG56" s="66">
        <f>Ruimtestaat[[#This Row],[uren / jaar weekend]]+Ruimtestaat[[#This Row],[uren / jaar werkdagen]]</f>
        <v>0</v>
      </c>
      <c r="AH56" s="67">
        <f>Ruimtestaat[[#This Row],[kosten / jaar weekend]]+Ruimtestaat[[#This Row],[kosten / jaar werkdagen]]</f>
        <v>0</v>
      </c>
    </row>
    <row r="57" spans="1:34" ht="15" customHeight="1">
      <c r="A57" s="112">
        <v>1</v>
      </c>
      <c r="B57" s="23" t="str">
        <f>VLOOKUP(Ruimtestaat[[#This Row],[Code]],Locaties[#All],2,FALSE)</f>
        <v>RSG Levant</v>
      </c>
      <c r="C57" s="23" t="str">
        <f>VLOOKUP(Ruimtestaat[[#This Row],[Code]],Locaties[#All],4,FALSE)</f>
        <v>Horsterweg 192</v>
      </c>
      <c r="D57" s="23" t="str">
        <f>VLOOKUP(Ruimtestaat[[#This Row],[Code]],Locaties[#All],5,FALSE)</f>
        <v>3891 EV</v>
      </c>
      <c r="E57" s="23" t="str">
        <f>VLOOKUP(Ruimtestaat[[#This Row],[Code]],Locaties[#All],6,FALSE)</f>
        <v>Zeewolde</v>
      </c>
      <c r="F57" s="23"/>
      <c r="G57" s="60"/>
      <c r="H57" s="23" t="s">
        <v>535</v>
      </c>
      <c r="I57" s="27" t="s">
        <v>520</v>
      </c>
      <c r="J57" s="3" t="s">
        <v>564</v>
      </c>
      <c r="K57" s="23">
        <v>16</v>
      </c>
      <c r="L57" s="60" t="str">
        <f>VLOOKUP(K57,Ruimtegroepen[],2,FALSE)</f>
        <v>Leslokalen theorie</v>
      </c>
      <c r="M57" s="23" t="s">
        <v>112</v>
      </c>
      <c r="N57" s="23" t="s">
        <v>137</v>
      </c>
      <c r="O57" s="86">
        <v>9</v>
      </c>
      <c r="P57" s="86"/>
      <c r="Q57" s="95" t="str">
        <f>LEFT(VLOOKUP(Ruimtestaat[[#This Row],[Ruimte code]],Ruimtegroepen[#All],4,1),2)</f>
        <v xml:space="preserve">L </v>
      </c>
      <c r="R57" s="86"/>
      <c r="S57" s="87">
        <v>40</v>
      </c>
      <c r="T57" s="87" t="s">
        <v>2</v>
      </c>
      <c r="U57" s="88">
        <f>IF(S57&gt;0,IF(RIGHT(Ruimtestaat[[#This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7" s="88">
        <f>IF(U57&gt;0,VLOOKUP($K57,Ruimtegroepen[],3,FALSE)*VLOOKUP($M57,Vloersoorten[],3,FALSE)*VLOOKUP($T57,Frequenties[],3,FALSE)*VLOOKUP($A57,Locaties[],3,FALSE),0)</f>
        <v>0</v>
      </c>
      <c r="W57" s="89">
        <f>Ruimtestaat[[#This Row],[Uitvoeringen werkdagen]]*Ruimtestaat[[#This Row],[Oppervlak (netto)]]</f>
        <v>1800</v>
      </c>
      <c r="X57" s="90">
        <f>IF(V57&gt;0,Ruimtestaat[[#This Row],[Prest. (m2 /jaar) werkdagen]]/Ruimtestaat[[#This Row],[Norm (m2/uur) werkdagen]],0)</f>
        <v>0</v>
      </c>
      <c r="Y57" s="91">
        <f>Ruimtestaat[[#This Row],[uren / jaar werkdagen]]*Tariefsopbouw!$E$35</f>
        <v>0</v>
      </c>
      <c r="Z57" s="88"/>
      <c r="AA57" s="92">
        <f>IF(Ruimtestaat[[#This Row],[Frequentie weekend]]&gt;0,VALUE(LEFT(Z57,1))*S57,0)</f>
        <v>0</v>
      </c>
      <c r="AB57" s="88">
        <f>IF($AA57&gt;0,VLOOKUP($K57,Ruimtegroepen[],3,FALSE)*VLOOKUP($M57,Vloersoorten[],3,FALSE)*VLOOKUP($Z57,Frequenties[],3,FALSE)*VLOOKUP(#REF!,Locaties[],3,FALSE),0)</f>
        <v>0</v>
      </c>
      <c r="AC57" s="90">
        <f>Ruimtestaat[[#This Row],[Uitvoeringen weekend]]*Ruimtestaat[[#This Row],[Oppervlak (netto)]]</f>
        <v>0</v>
      </c>
      <c r="AD57" s="93">
        <f>IF(AC57&gt;0,Ruimtestaat[[#This Row],[Prest. (m2 /jaar) weekend]]/Ruimtestaat[[#This Row],[Norm (m2/uur) weekend]],0)</f>
        <v>0</v>
      </c>
      <c r="AE57" s="94">
        <f>Ruimtestaat[[#This Row],[uren / jaar weekend]]*Tariefsopbouw!$D$40</f>
        <v>0</v>
      </c>
      <c r="AF57" s="66">
        <f>Ruimtestaat[[#This Row],[Prest. (m2 /jaar) weekend]]+Ruimtestaat[[#This Row],[Prest. (m2 /jaar) werkdagen]]</f>
        <v>1800</v>
      </c>
      <c r="AG57" s="66">
        <f>Ruimtestaat[[#This Row],[uren / jaar weekend]]+Ruimtestaat[[#This Row],[uren / jaar werkdagen]]</f>
        <v>0</v>
      </c>
      <c r="AH57" s="67">
        <f>Ruimtestaat[[#This Row],[kosten / jaar weekend]]+Ruimtestaat[[#This Row],[kosten / jaar werkdagen]]</f>
        <v>0</v>
      </c>
    </row>
    <row r="58" spans="1:34" ht="15" customHeight="1">
      <c r="A58" s="112">
        <v>1</v>
      </c>
      <c r="B58" s="23" t="str">
        <f>VLOOKUP(Ruimtestaat[[#This Row],[Code]],Locaties[#All],2,FALSE)</f>
        <v>RSG Levant</v>
      </c>
      <c r="C58" s="23" t="str">
        <f>VLOOKUP(Ruimtestaat[[#This Row],[Code]],Locaties[#All],4,FALSE)</f>
        <v>Horsterweg 192</v>
      </c>
      <c r="D58" s="23" t="str">
        <f>VLOOKUP(Ruimtestaat[[#This Row],[Code]],Locaties[#All],5,FALSE)</f>
        <v>3891 EV</v>
      </c>
      <c r="E58" s="23" t="str">
        <f>VLOOKUP(Ruimtestaat[[#This Row],[Code]],Locaties[#All],6,FALSE)</f>
        <v>Zeewolde</v>
      </c>
      <c r="F58" s="23"/>
      <c r="G58" s="60"/>
      <c r="H58" s="23" t="s">
        <v>535</v>
      </c>
      <c r="I58" s="27" t="s">
        <v>521</v>
      </c>
      <c r="J58" s="3" t="s">
        <v>382</v>
      </c>
      <c r="K58" s="23">
        <v>6</v>
      </c>
      <c r="L58" s="60" t="str">
        <f>VLOOKUP(K58,Ruimtegroepen[],2,FALSE)</f>
        <v>Gangen/hallen</v>
      </c>
      <c r="M58" s="23" t="s">
        <v>112</v>
      </c>
      <c r="N58" s="23" t="s">
        <v>137</v>
      </c>
      <c r="O58" s="86">
        <v>12</v>
      </c>
      <c r="P58" s="86"/>
      <c r="Q58" s="95" t="str">
        <f>LEFT(VLOOKUP(Ruimtestaat[[#This Row],[Ruimte code]],Ruimtegroepen[#All],4,1),2)</f>
        <v xml:space="preserve">V </v>
      </c>
      <c r="R58" s="86"/>
      <c r="S58" s="87">
        <v>40</v>
      </c>
      <c r="T58" s="87" t="s">
        <v>2</v>
      </c>
      <c r="U58" s="88">
        <f>IF(S58&gt;0,IF(RIGHT(Ruimtestaat[[#This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8" s="88">
        <f>IF(U58&gt;0,VLOOKUP($K58,Ruimtegroepen[],3,FALSE)*VLOOKUP($M58,Vloersoorten[],3,FALSE)*VLOOKUP($T58,Frequenties[],3,FALSE)*VLOOKUP($A58,Locaties[],3,FALSE),0)</f>
        <v>0</v>
      </c>
      <c r="W58" s="89">
        <f>Ruimtestaat[[#This Row],[Uitvoeringen werkdagen]]*Ruimtestaat[[#This Row],[Oppervlak (netto)]]</f>
        <v>2400</v>
      </c>
      <c r="X58" s="90">
        <f>IF(V58&gt;0,Ruimtestaat[[#This Row],[Prest. (m2 /jaar) werkdagen]]/Ruimtestaat[[#This Row],[Norm (m2/uur) werkdagen]],0)</f>
        <v>0</v>
      </c>
      <c r="Y58" s="91">
        <f>Ruimtestaat[[#This Row],[uren / jaar werkdagen]]*Tariefsopbouw!$E$35</f>
        <v>0</v>
      </c>
      <c r="Z58" s="88"/>
      <c r="AA58" s="92">
        <f>IF(Ruimtestaat[[#This Row],[Frequentie weekend]]&gt;0,VALUE(LEFT(Z58,1))*S58,0)</f>
        <v>0</v>
      </c>
      <c r="AB58" s="88">
        <f>IF($AA58&gt;0,VLOOKUP($K58,Ruimtegroepen[],3,FALSE)*VLOOKUP($M58,Vloersoorten[],3,FALSE)*VLOOKUP($Z58,Frequenties[],3,FALSE)*VLOOKUP(#REF!,Locaties[],3,FALSE),0)</f>
        <v>0</v>
      </c>
      <c r="AC58" s="90">
        <f>Ruimtestaat[[#This Row],[Uitvoeringen weekend]]*Ruimtestaat[[#This Row],[Oppervlak (netto)]]</f>
        <v>0</v>
      </c>
      <c r="AD58" s="93">
        <f>IF(AC58&gt;0,Ruimtestaat[[#This Row],[Prest. (m2 /jaar) weekend]]/Ruimtestaat[[#This Row],[Norm (m2/uur) weekend]],0)</f>
        <v>0</v>
      </c>
      <c r="AE58" s="94">
        <f>Ruimtestaat[[#This Row],[uren / jaar weekend]]*Tariefsopbouw!$D$40</f>
        <v>0</v>
      </c>
      <c r="AF58" s="66">
        <f>Ruimtestaat[[#This Row],[Prest. (m2 /jaar) weekend]]+Ruimtestaat[[#This Row],[Prest. (m2 /jaar) werkdagen]]</f>
        <v>2400</v>
      </c>
      <c r="AG58" s="66">
        <f>Ruimtestaat[[#This Row],[uren / jaar weekend]]+Ruimtestaat[[#This Row],[uren / jaar werkdagen]]</f>
        <v>0</v>
      </c>
      <c r="AH58" s="67">
        <f>Ruimtestaat[[#This Row],[kosten / jaar weekend]]+Ruimtestaat[[#This Row],[kosten / jaar werkdagen]]</f>
        <v>0</v>
      </c>
    </row>
    <row r="59" spans="1:34" ht="15" customHeight="1">
      <c r="A59" s="112">
        <v>1</v>
      </c>
      <c r="B59" s="23" t="str">
        <f>VLOOKUP(Ruimtestaat[[#This Row],[Code]],Locaties[#All],2,FALSE)</f>
        <v>RSG Levant</v>
      </c>
      <c r="C59" s="23" t="str">
        <f>VLOOKUP(Ruimtestaat[[#This Row],[Code]],Locaties[#All],4,FALSE)</f>
        <v>Horsterweg 192</v>
      </c>
      <c r="D59" s="23" t="str">
        <f>VLOOKUP(Ruimtestaat[[#This Row],[Code]],Locaties[#All],5,FALSE)</f>
        <v>3891 EV</v>
      </c>
      <c r="E59" s="23" t="str">
        <f>VLOOKUP(Ruimtestaat[[#This Row],[Code]],Locaties[#All],6,FALSE)</f>
        <v>Zeewolde</v>
      </c>
      <c r="F59" s="23"/>
      <c r="G59" s="60"/>
      <c r="H59" s="23" t="s">
        <v>535</v>
      </c>
      <c r="I59" s="27" t="s">
        <v>522</v>
      </c>
      <c r="J59" s="3" t="s">
        <v>537</v>
      </c>
      <c r="K59" s="23">
        <v>10</v>
      </c>
      <c r="L59" s="60" t="str">
        <f>VLOOKUP(K59,Ruimtegroepen[],2,FALSE)</f>
        <v>Trappenhuizen/lift</v>
      </c>
      <c r="M59" s="23" t="s">
        <v>112</v>
      </c>
      <c r="N59" s="23" t="s">
        <v>137</v>
      </c>
      <c r="O59" s="86">
        <v>24</v>
      </c>
      <c r="P59" s="86"/>
      <c r="Q59" s="95" t="str">
        <f>LEFT(VLOOKUP(Ruimtestaat[[#This Row],[Ruimte code]],Ruimtegroepen[#All],4,1),2)</f>
        <v xml:space="preserve">V </v>
      </c>
      <c r="R59" s="86"/>
      <c r="S59" s="87">
        <v>40</v>
      </c>
      <c r="T59" s="87" t="s">
        <v>2</v>
      </c>
      <c r="U59" s="88">
        <f>IF(S59&gt;0,IF(RIGHT(Ruimtestaat[[#This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9" s="88">
        <f>IF(U59&gt;0,VLOOKUP($K59,Ruimtegroepen[],3,FALSE)*VLOOKUP($M59,Vloersoorten[],3,FALSE)*VLOOKUP($T59,Frequenties[],3,FALSE)*VLOOKUP($A59,Locaties[],3,FALSE),0)</f>
        <v>0</v>
      </c>
      <c r="W59" s="89">
        <f>Ruimtestaat[[#This Row],[Uitvoeringen werkdagen]]*Ruimtestaat[[#This Row],[Oppervlak (netto)]]</f>
        <v>4800</v>
      </c>
      <c r="X59" s="90">
        <f>IF(V59&gt;0,Ruimtestaat[[#This Row],[Prest. (m2 /jaar) werkdagen]]/Ruimtestaat[[#This Row],[Norm (m2/uur) werkdagen]],0)</f>
        <v>0</v>
      </c>
      <c r="Y59" s="91">
        <f>Ruimtestaat[[#This Row],[uren / jaar werkdagen]]*Tariefsopbouw!$E$35</f>
        <v>0</v>
      </c>
      <c r="Z59" s="88"/>
      <c r="AA59" s="92">
        <f>IF(Ruimtestaat[[#This Row],[Frequentie weekend]]&gt;0,VALUE(LEFT(Z59,1))*S59,0)</f>
        <v>0</v>
      </c>
      <c r="AB59" s="88">
        <f>IF($AA59&gt;0,VLOOKUP($K59,Ruimtegroepen[],3,FALSE)*VLOOKUP($M59,Vloersoorten[],3,FALSE)*VLOOKUP($Z59,Frequenties[],3,FALSE)*VLOOKUP(#REF!,Locaties[],3,FALSE),0)</f>
        <v>0</v>
      </c>
      <c r="AC59" s="90">
        <f>Ruimtestaat[[#This Row],[Uitvoeringen weekend]]*Ruimtestaat[[#This Row],[Oppervlak (netto)]]</f>
        <v>0</v>
      </c>
      <c r="AD59" s="93">
        <f>IF(AC59&gt;0,Ruimtestaat[[#This Row],[Prest. (m2 /jaar) weekend]]/Ruimtestaat[[#This Row],[Norm (m2/uur) weekend]],0)</f>
        <v>0</v>
      </c>
      <c r="AE59" s="94">
        <f>Ruimtestaat[[#This Row],[uren / jaar weekend]]*Tariefsopbouw!$D$40</f>
        <v>0</v>
      </c>
      <c r="AF59" s="66">
        <f>Ruimtestaat[[#This Row],[Prest. (m2 /jaar) weekend]]+Ruimtestaat[[#This Row],[Prest. (m2 /jaar) werkdagen]]</f>
        <v>4800</v>
      </c>
      <c r="AG59" s="66">
        <f>Ruimtestaat[[#This Row],[uren / jaar weekend]]+Ruimtestaat[[#This Row],[uren / jaar werkdagen]]</f>
        <v>0</v>
      </c>
      <c r="AH59" s="67">
        <f>Ruimtestaat[[#This Row],[kosten / jaar weekend]]+Ruimtestaat[[#This Row],[kosten / jaar werkdagen]]</f>
        <v>0</v>
      </c>
    </row>
    <row r="60" spans="1:34" ht="15" customHeight="1">
      <c r="A60" s="112">
        <v>1</v>
      </c>
      <c r="B60" s="23" t="str">
        <f>VLOOKUP(Ruimtestaat[[#This Row],[Code]],Locaties[#All],2,FALSE)</f>
        <v>RSG Levant</v>
      </c>
      <c r="C60" s="23" t="str">
        <f>VLOOKUP(Ruimtestaat[[#This Row],[Code]],Locaties[#All],4,FALSE)</f>
        <v>Horsterweg 192</v>
      </c>
      <c r="D60" s="23" t="str">
        <f>VLOOKUP(Ruimtestaat[[#This Row],[Code]],Locaties[#All],5,FALSE)</f>
        <v>3891 EV</v>
      </c>
      <c r="E60" s="23" t="str">
        <f>VLOOKUP(Ruimtestaat[[#This Row],[Code]],Locaties[#All],6,FALSE)</f>
        <v>Zeewolde</v>
      </c>
      <c r="F60" s="23"/>
      <c r="G60" s="60"/>
      <c r="H60" s="23" t="s">
        <v>535</v>
      </c>
      <c r="I60" s="27" t="s">
        <v>523</v>
      </c>
      <c r="J60" s="3" t="s">
        <v>537</v>
      </c>
      <c r="K60" s="23">
        <v>10</v>
      </c>
      <c r="L60" s="60" t="str">
        <f>VLOOKUP(K60,Ruimtegroepen[],2,FALSE)</f>
        <v>Trappenhuizen/lift</v>
      </c>
      <c r="M60" s="23" t="s">
        <v>112</v>
      </c>
      <c r="N60" s="23" t="s">
        <v>137</v>
      </c>
      <c r="O60" s="86">
        <v>24</v>
      </c>
      <c r="P60" s="86"/>
      <c r="Q60" s="95" t="str">
        <f>LEFT(VLOOKUP(Ruimtestaat[[#This Row],[Ruimte code]],Ruimtegroepen[#All],4,1),2)</f>
        <v xml:space="preserve">V </v>
      </c>
      <c r="R60" s="86"/>
      <c r="S60" s="87">
        <v>40</v>
      </c>
      <c r="T60" s="87" t="s">
        <v>2</v>
      </c>
      <c r="U60" s="88">
        <f>IF(S60&gt;0,IF(RIGHT(Ruimtestaat[[#This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60" s="88">
        <f>IF(U60&gt;0,VLOOKUP($K60,Ruimtegroepen[],3,FALSE)*VLOOKUP($M60,Vloersoorten[],3,FALSE)*VLOOKUP($T60,Frequenties[],3,FALSE)*VLOOKUP($A60,Locaties[],3,FALSE),0)</f>
        <v>0</v>
      </c>
      <c r="W60" s="89">
        <f>Ruimtestaat[[#This Row],[Uitvoeringen werkdagen]]*Ruimtestaat[[#This Row],[Oppervlak (netto)]]</f>
        <v>4800</v>
      </c>
      <c r="X60" s="90">
        <f>IF(V60&gt;0,Ruimtestaat[[#This Row],[Prest. (m2 /jaar) werkdagen]]/Ruimtestaat[[#This Row],[Norm (m2/uur) werkdagen]],0)</f>
        <v>0</v>
      </c>
      <c r="Y60" s="91">
        <f>Ruimtestaat[[#This Row],[uren / jaar werkdagen]]*Tariefsopbouw!$E$35</f>
        <v>0</v>
      </c>
      <c r="Z60" s="88"/>
      <c r="AA60" s="92">
        <f>IF(Ruimtestaat[[#This Row],[Frequentie weekend]]&gt;0,VALUE(LEFT(Z60,1))*S60,0)</f>
        <v>0</v>
      </c>
      <c r="AB60" s="88">
        <f>IF($AA60&gt;0,VLOOKUP($K60,Ruimtegroepen[],3,FALSE)*VLOOKUP($M60,Vloersoorten[],3,FALSE)*VLOOKUP($Z60,Frequenties[],3,FALSE)*VLOOKUP(#REF!,Locaties[],3,FALSE),0)</f>
        <v>0</v>
      </c>
      <c r="AC60" s="90">
        <f>Ruimtestaat[[#This Row],[Uitvoeringen weekend]]*Ruimtestaat[[#This Row],[Oppervlak (netto)]]</f>
        <v>0</v>
      </c>
      <c r="AD60" s="93">
        <f>IF(AC60&gt;0,Ruimtestaat[[#This Row],[Prest. (m2 /jaar) weekend]]/Ruimtestaat[[#This Row],[Norm (m2/uur) weekend]],0)</f>
        <v>0</v>
      </c>
      <c r="AE60" s="94">
        <f>Ruimtestaat[[#This Row],[uren / jaar weekend]]*Tariefsopbouw!$D$40</f>
        <v>0</v>
      </c>
      <c r="AF60" s="66">
        <f>Ruimtestaat[[#This Row],[Prest. (m2 /jaar) weekend]]+Ruimtestaat[[#This Row],[Prest. (m2 /jaar) werkdagen]]</f>
        <v>4800</v>
      </c>
      <c r="AG60" s="66">
        <f>Ruimtestaat[[#This Row],[uren / jaar weekend]]+Ruimtestaat[[#This Row],[uren / jaar werkdagen]]</f>
        <v>0</v>
      </c>
      <c r="AH60" s="67">
        <f>Ruimtestaat[[#This Row],[kosten / jaar weekend]]+Ruimtestaat[[#This Row],[kosten / jaar werkdagen]]</f>
        <v>0</v>
      </c>
    </row>
    <row r="61" spans="1:34" ht="15" customHeight="1">
      <c r="A61" s="112">
        <v>1</v>
      </c>
      <c r="B61" s="23" t="str">
        <f>VLOOKUP(Ruimtestaat[[#This Row],[Code]],Locaties[#All],2,FALSE)</f>
        <v>RSG Levant</v>
      </c>
      <c r="C61" s="23" t="str">
        <f>VLOOKUP(Ruimtestaat[[#This Row],[Code]],Locaties[#All],4,FALSE)</f>
        <v>Horsterweg 192</v>
      </c>
      <c r="D61" s="23" t="str">
        <f>VLOOKUP(Ruimtestaat[[#This Row],[Code]],Locaties[#All],5,FALSE)</f>
        <v>3891 EV</v>
      </c>
      <c r="E61" s="23" t="str">
        <f>VLOOKUP(Ruimtestaat[[#This Row],[Code]],Locaties[#All],6,FALSE)</f>
        <v>Zeewolde</v>
      </c>
      <c r="F61" s="23"/>
      <c r="G61" s="60"/>
      <c r="H61" s="23" t="s">
        <v>535</v>
      </c>
      <c r="I61" s="27" t="s">
        <v>524</v>
      </c>
      <c r="J61" s="3" t="s">
        <v>382</v>
      </c>
      <c r="K61" s="23">
        <v>6</v>
      </c>
      <c r="L61" s="60" t="str">
        <f>VLOOKUP(K61,Ruimtegroepen[],2,FALSE)</f>
        <v>Gangen/hallen</v>
      </c>
      <c r="M61" s="23" t="s">
        <v>112</v>
      </c>
      <c r="N61" s="23" t="s">
        <v>137</v>
      </c>
      <c r="O61" s="86">
        <v>23</v>
      </c>
      <c r="P61" s="86"/>
      <c r="Q61" s="95" t="str">
        <f>LEFT(VLOOKUP(Ruimtestaat[[#This Row],[Ruimte code]],Ruimtegroepen[#All],4,1),2)</f>
        <v xml:space="preserve">V </v>
      </c>
      <c r="R61" s="86"/>
      <c r="S61" s="87">
        <v>40</v>
      </c>
      <c r="T61" s="87" t="s">
        <v>2</v>
      </c>
      <c r="U61" s="88">
        <f>IF(S61&gt;0,IF(RIGHT(Ruimtestaat[[#This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61" s="88">
        <f>IF(U61&gt;0,VLOOKUP($K61,Ruimtegroepen[],3,FALSE)*VLOOKUP($M61,Vloersoorten[],3,FALSE)*VLOOKUP($T61,Frequenties[],3,FALSE)*VLOOKUP($A61,Locaties[],3,FALSE),0)</f>
        <v>0</v>
      </c>
      <c r="W61" s="89">
        <f>Ruimtestaat[[#This Row],[Uitvoeringen werkdagen]]*Ruimtestaat[[#This Row],[Oppervlak (netto)]]</f>
        <v>4600</v>
      </c>
      <c r="X61" s="90">
        <f>IF(V61&gt;0,Ruimtestaat[[#This Row],[Prest. (m2 /jaar) werkdagen]]/Ruimtestaat[[#This Row],[Norm (m2/uur) werkdagen]],0)</f>
        <v>0</v>
      </c>
      <c r="Y61" s="91">
        <f>Ruimtestaat[[#This Row],[uren / jaar werkdagen]]*Tariefsopbouw!$E$35</f>
        <v>0</v>
      </c>
      <c r="Z61" s="88"/>
      <c r="AA61" s="92">
        <f>IF(Ruimtestaat[[#This Row],[Frequentie weekend]]&gt;0,VALUE(LEFT(Z61,1))*S61,0)</f>
        <v>0</v>
      </c>
      <c r="AB61" s="88">
        <f>IF($AA61&gt;0,VLOOKUP($K61,Ruimtegroepen[],3,FALSE)*VLOOKUP($M61,Vloersoorten[],3,FALSE)*VLOOKUP($Z61,Frequenties[],3,FALSE)*VLOOKUP(#REF!,Locaties[],3,FALSE),0)</f>
        <v>0</v>
      </c>
      <c r="AC61" s="90">
        <f>Ruimtestaat[[#This Row],[Uitvoeringen weekend]]*Ruimtestaat[[#This Row],[Oppervlak (netto)]]</f>
        <v>0</v>
      </c>
      <c r="AD61" s="93">
        <f>IF(AC61&gt;0,Ruimtestaat[[#This Row],[Prest. (m2 /jaar) weekend]]/Ruimtestaat[[#This Row],[Norm (m2/uur) weekend]],0)</f>
        <v>0</v>
      </c>
      <c r="AE61" s="94">
        <f>Ruimtestaat[[#This Row],[uren / jaar weekend]]*Tariefsopbouw!$D$40</f>
        <v>0</v>
      </c>
      <c r="AF61" s="66">
        <f>Ruimtestaat[[#This Row],[Prest. (m2 /jaar) weekend]]+Ruimtestaat[[#This Row],[Prest. (m2 /jaar) werkdagen]]</f>
        <v>4600</v>
      </c>
      <c r="AG61" s="66">
        <f>Ruimtestaat[[#This Row],[uren / jaar weekend]]+Ruimtestaat[[#This Row],[uren / jaar werkdagen]]</f>
        <v>0</v>
      </c>
      <c r="AH61" s="67">
        <f>Ruimtestaat[[#This Row],[kosten / jaar weekend]]+Ruimtestaat[[#This Row],[kosten / jaar werkdagen]]</f>
        <v>0</v>
      </c>
    </row>
    <row r="62" spans="1:34" ht="15" customHeight="1">
      <c r="A62" s="112">
        <v>1</v>
      </c>
      <c r="B62" s="23" t="str">
        <f>VLOOKUP(Ruimtestaat[[#This Row],[Code]],Locaties[#All],2,FALSE)</f>
        <v>RSG Levant</v>
      </c>
      <c r="C62" s="23" t="str">
        <f>VLOOKUP(Ruimtestaat[[#This Row],[Code]],Locaties[#All],4,FALSE)</f>
        <v>Horsterweg 192</v>
      </c>
      <c r="D62" s="23" t="str">
        <f>VLOOKUP(Ruimtestaat[[#This Row],[Code]],Locaties[#All],5,FALSE)</f>
        <v>3891 EV</v>
      </c>
      <c r="E62" s="23" t="str">
        <f>VLOOKUP(Ruimtestaat[[#This Row],[Code]],Locaties[#All],6,FALSE)</f>
        <v>Zeewolde</v>
      </c>
      <c r="F62" s="23"/>
      <c r="G62" s="60"/>
      <c r="H62" s="23" t="s">
        <v>535</v>
      </c>
      <c r="I62" s="27" t="s">
        <v>525</v>
      </c>
      <c r="J62" s="3" t="s">
        <v>565</v>
      </c>
      <c r="K62" s="23">
        <v>14</v>
      </c>
      <c r="L62" s="60" t="str">
        <f>VLOOKUP(K62,Ruimtegroepen[],2,FALSE)</f>
        <v>Praktijklokalen binas/zorg</v>
      </c>
      <c r="M62" s="23" t="s">
        <v>112</v>
      </c>
      <c r="N62" s="23" t="s">
        <v>137</v>
      </c>
      <c r="O62" s="86">
        <v>75</v>
      </c>
      <c r="P62" s="86"/>
      <c r="Q62" s="95" t="str">
        <f>LEFT(VLOOKUP(Ruimtestaat[[#This Row],[Ruimte code]],Ruimtegroepen[#All],4,1),2)</f>
        <v xml:space="preserve">L </v>
      </c>
      <c r="R62" s="86"/>
      <c r="S62" s="87">
        <v>40</v>
      </c>
      <c r="T62" s="87" t="s">
        <v>2</v>
      </c>
      <c r="U62" s="88">
        <f>IF(S62&gt;0,IF(RIGHT(Ruimtestaat[[#This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62" s="88">
        <f>IF(U62&gt;0,VLOOKUP($K62,Ruimtegroepen[],3,FALSE)*VLOOKUP($M62,Vloersoorten[],3,FALSE)*VLOOKUP($T62,Frequenties[],3,FALSE)*VLOOKUP($A62,Locaties[],3,FALSE),0)</f>
        <v>0</v>
      </c>
      <c r="W62" s="89">
        <f>Ruimtestaat[[#This Row],[Uitvoeringen werkdagen]]*Ruimtestaat[[#This Row],[Oppervlak (netto)]]</f>
        <v>15000</v>
      </c>
      <c r="X62" s="90">
        <f>IF(V62&gt;0,Ruimtestaat[[#This Row],[Prest. (m2 /jaar) werkdagen]]/Ruimtestaat[[#This Row],[Norm (m2/uur) werkdagen]],0)</f>
        <v>0</v>
      </c>
      <c r="Y62" s="91">
        <f>Ruimtestaat[[#This Row],[uren / jaar werkdagen]]*Tariefsopbouw!$E$35</f>
        <v>0</v>
      </c>
      <c r="Z62" s="88"/>
      <c r="AA62" s="92">
        <f>IF(Ruimtestaat[[#This Row],[Frequentie weekend]]&gt;0,VALUE(LEFT(Z62,1))*S62,0)</f>
        <v>0</v>
      </c>
      <c r="AB62" s="88">
        <f>IF($AA62&gt;0,VLOOKUP($K62,Ruimtegroepen[],3,FALSE)*VLOOKUP($M62,Vloersoorten[],3,FALSE)*VLOOKUP($Z62,Frequenties[],3,FALSE)*VLOOKUP(#REF!,Locaties[],3,FALSE),0)</f>
        <v>0</v>
      </c>
      <c r="AC62" s="90">
        <f>Ruimtestaat[[#This Row],[Uitvoeringen weekend]]*Ruimtestaat[[#This Row],[Oppervlak (netto)]]</f>
        <v>0</v>
      </c>
      <c r="AD62" s="93">
        <f>IF(AC62&gt;0,Ruimtestaat[[#This Row],[Prest. (m2 /jaar) weekend]]/Ruimtestaat[[#This Row],[Norm (m2/uur) weekend]],0)</f>
        <v>0</v>
      </c>
      <c r="AE62" s="94">
        <f>Ruimtestaat[[#This Row],[uren / jaar weekend]]*Tariefsopbouw!$D$40</f>
        <v>0</v>
      </c>
      <c r="AF62" s="66">
        <f>Ruimtestaat[[#This Row],[Prest. (m2 /jaar) weekend]]+Ruimtestaat[[#This Row],[Prest. (m2 /jaar) werkdagen]]</f>
        <v>15000</v>
      </c>
      <c r="AG62" s="66">
        <f>Ruimtestaat[[#This Row],[uren / jaar weekend]]+Ruimtestaat[[#This Row],[uren / jaar werkdagen]]</f>
        <v>0</v>
      </c>
      <c r="AH62" s="67">
        <f>Ruimtestaat[[#This Row],[kosten / jaar weekend]]+Ruimtestaat[[#This Row],[kosten / jaar werkdagen]]</f>
        <v>0</v>
      </c>
    </row>
    <row r="63" spans="1:34" ht="15" customHeight="1">
      <c r="A63" s="112">
        <v>1</v>
      </c>
      <c r="B63" s="23" t="str">
        <f>VLOOKUP(Ruimtestaat[[#This Row],[Code]],Locaties[#All],2,FALSE)</f>
        <v>RSG Levant</v>
      </c>
      <c r="C63" s="23" t="str">
        <f>VLOOKUP(Ruimtestaat[[#This Row],[Code]],Locaties[#All],4,FALSE)</f>
        <v>Horsterweg 192</v>
      </c>
      <c r="D63" s="23" t="str">
        <f>VLOOKUP(Ruimtestaat[[#This Row],[Code]],Locaties[#All],5,FALSE)</f>
        <v>3891 EV</v>
      </c>
      <c r="E63" s="23" t="str">
        <f>VLOOKUP(Ruimtestaat[[#This Row],[Code]],Locaties[#All],6,FALSE)</f>
        <v>Zeewolde</v>
      </c>
      <c r="F63" s="23"/>
      <c r="G63" s="60"/>
      <c r="H63" s="23" t="s">
        <v>535</v>
      </c>
      <c r="I63" s="27" t="s">
        <v>526</v>
      </c>
      <c r="J63" s="3" t="s">
        <v>566</v>
      </c>
      <c r="K63" s="23">
        <v>4</v>
      </c>
      <c r="L63" s="60" t="str">
        <f>VLOOKUP(K63,Ruimtegroepen[],2,FALSE)</f>
        <v>Kabinet Binas</v>
      </c>
      <c r="M63" s="23" t="s">
        <v>112</v>
      </c>
      <c r="N63" s="23" t="s">
        <v>137</v>
      </c>
      <c r="O63" s="86">
        <v>25</v>
      </c>
      <c r="P63" s="86"/>
      <c r="Q63" s="95" t="str">
        <f>LEFT(VLOOKUP(Ruimtestaat[[#This Row],[Ruimte code]],Ruimtegroepen[#All],4,1),2)</f>
        <v xml:space="preserve">V </v>
      </c>
      <c r="R63" s="86"/>
      <c r="S63" s="87">
        <v>40</v>
      </c>
      <c r="T63" s="87" t="s">
        <v>2</v>
      </c>
      <c r="U63" s="88">
        <f>IF(S63&gt;0,IF(RIGHT(Ruimtestaat[[#This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63" s="88">
        <f>IF(U63&gt;0,VLOOKUP($K63,Ruimtegroepen[],3,FALSE)*VLOOKUP($M63,Vloersoorten[],3,FALSE)*VLOOKUP($T63,Frequenties[],3,FALSE)*VLOOKUP($A63,Locaties[],3,FALSE),0)</f>
        <v>0</v>
      </c>
      <c r="W63" s="89">
        <f>Ruimtestaat[[#This Row],[Uitvoeringen werkdagen]]*Ruimtestaat[[#This Row],[Oppervlak (netto)]]</f>
        <v>5000</v>
      </c>
      <c r="X63" s="90">
        <f>IF(V63&gt;0,Ruimtestaat[[#This Row],[Prest. (m2 /jaar) werkdagen]]/Ruimtestaat[[#This Row],[Norm (m2/uur) werkdagen]],0)</f>
        <v>0</v>
      </c>
      <c r="Y63" s="91">
        <f>Ruimtestaat[[#This Row],[uren / jaar werkdagen]]*Tariefsopbouw!$E$35</f>
        <v>0</v>
      </c>
      <c r="Z63" s="88"/>
      <c r="AA63" s="92">
        <f>IF(Ruimtestaat[[#This Row],[Frequentie weekend]]&gt;0,VALUE(LEFT(Z63,1))*S63,0)</f>
        <v>0</v>
      </c>
      <c r="AB63" s="88">
        <f>IF($AA63&gt;0,VLOOKUP($K63,Ruimtegroepen[],3,FALSE)*VLOOKUP($M63,Vloersoorten[],3,FALSE)*VLOOKUP($Z63,Frequenties[],3,FALSE)*VLOOKUP(#REF!,Locaties[],3,FALSE),0)</f>
        <v>0</v>
      </c>
      <c r="AC63" s="90">
        <f>Ruimtestaat[[#This Row],[Uitvoeringen weekend]]*Ruimtestaat[[#This Row],[Oppervlak (netto)]]</f>
        <v>0</v>
      </c>
      <c r="AD63" s="93">
        <f>IF(AC63&gt;0,Ruimtestaat[[#This Row],[Prest. (m2 /jaar) weekend]]/Ruimtestaat[[#This Row],[Norm (m2/uur) weekend]],0)</f>
        <v>0</v>
      </c>
      <c r="AE63" s="94">
        <f>Ruimtestaat[[#This Row],[uren / jaar weekend]]*Tariefsopbouw!$D$40</f>
        <v>0</v>
      </c>
      <c r="AF63" s="66">
        <f>Ruimtestaat[[#This Row],[Prest. (m2 /jaar) weekend]]+Ruimtestaat[[#This Row],[Prest. (m2 /jaar) werkdagen]]</f>
        <v>5000</v>
      </c>
      <c r="AG63" s="66">
        <f>Ruimtestaat[[#This Row],[uren / jaar weekend]]+Ruimtestaat[[#This Row],[uren / jaar werkdagen]]</f>
        <v>0</v>
      </c>
      <c r="AH63" s="67">
        <f>Ruimtestaat[[#This Row],[kosten / jaar weekend]]+Ruimtestaat[[#This Row],[kosten / jaar werkdagen]]</f>
        <v>0</v>
      </c>
    </row>
    <row r="64" spans="1:34" ht="15" customHeight="1">
      <c r="A64" s="112">
        <v>1</v>
      </c>
      <c r="B64" s="23" t="str">
        <f>VLOOKUP(Ruimtestaat[[#This Row],[Code]],Locaties[#All],2,FALSE)</f>
        <v>RSG Levant</v>
      </c>
      <c r="C64" s="23" t="str">
        <f>VLOOKUP(Ruimtestaat[[#This Row],[Code]],Locaties[#All],4,FALSE)</f>
        <v>Horsterweg 192</v>
      </c>
      <c r="D64" s="23" t="str">
        <f>VLOOKUP(Ruimtestaat[[#This Row],[Code]],Locaties[#All],5,FALSE)</f>
        <v>3891 EV</v>
      </c>
      <c r="E64" s="23" t="str">
        <f>VLOOKUP(Ruimtestaat[[#This Row],[Code]],Locaties[#All],6,FALSE)</f>
        <v>Zeewolde</v>
      </c>
      <c r="F64" s="23"/>
      <c r="G64" s="60"/>
      <c r="H64" s="23" t="s">
        <v>535</v>
      </c>
      <c r="I64" s="27" t="s">
        <v>527</v>
      </c>
      <c r="J64" s="3" t="s">
        <v>567</v>
      </c>
      <c r="K64" s="23">
        <v>14</v>
      </c>
      <c r="L64" s="60" t="str">
        <f>VLOOKUP(K64,Ruimtegroepen[],2,FALSE)</f>
        <v>Praktijklokalen binas/zorg</v>
      </c>
      <c r="M64" s="23" t="s">
        <v>112</v>
      </c>
      <c r="N64" s="23" t="s">
        <v>137</v>
      </c>
      <c r="O64" s="86">
        <v>73</v>
      </c>
      <c r="P64" s="86"/>
      <c r="Q64" s="95" t="str">
        <f>LEFT(VLOOKUP(Ruimtestaat[[#This Row],[Ruimte code]],Ruimtegroepen[#All],4,1),2)</f>
        <v xml:space="preserve">L </v>
      </c>
      <c r="R64" s="86"/>
      <c r="S64" s="87">
        <v>40</v>
      </c>
      <c r="T64" s="87" t="s">
        <v>2</v>
      </c>
      <c r="U64" s="88">
        <f>IF(S64&gt;0,IF(RIGHT(Ruimtestaat[[#This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64" s="88">
        <f>IF(U64&gt;0,VLOOKUP($K64,Ruimtegroepen[],3,FALSE)*VLOOKUP($M64,Vloersoorten[],3,FALSE)*VLOOKUP($T64,Frequenties[],3,FALSE)*VLOOKUP($A64,Locaties[],3,FALSE),0)</f>
        <v>0</v>
      </c>
      <c r="W64" s="89">
        <f>Ruimtestaat[[#This Row],[Uitvoeringen werkdagen]]*Ruimtestaat[[#This Row],[Oppervlak (netto)]]</f>
        <v>14600</v>
      </c>
      <c r="X64" s="90">
        <f>IF(V64&gt;0,Ruimtestaat[[#This Row],[Prest. (m2 /jaar) werkdagen]]/Ruimtestaat[[#This Row],[Norm (m2/uur) werkdagen]],0)</f>
        <v>0</v>
      </c>
      <c r="Y64" s="91">
        <f>Ruimtestaat[[#This Row],[uren / jaar werkdagen]]*Tariefsopbouw!$E$35</f>
        <v>0</v>
      </c>
      <c r="Z64" s="88"/>
      <c r="AA64" s="92">
        <f>IF(Ruimtestaat[[#This Row],[Frequentie weekend]]&gt;0,VALUE(LEFT(Z64,1))*S64,0)</f>
        <v>0</v>
      </c>
      <c r="AB64" s="88">
        <f>IF($AA64&gt;0,VLOOKUP($K64,Ruimtegroepen[],3,FALSE)*VLOOKUP($M64,Vloersoorten[],3,FALSE)*VLOOKUP($Z64,Frequenties[],3,FALSE)*VLOOKUP(#REF!,Locaties[],3,FALSE),0)</f>
        <v>0</v>
      </c>
      <c r="AC64" s="90">
        <f>Ruimtestaat[[#This Row],[Uitvoeringen weekend]]*Ruimtestaat[[#This Row],[Oppervlak (netto)]]</f>
        <v>0</v>
      </c>
      <c r="AD64" s="93">
        <f>IF(AC64&gt;0,Ruimtestaat[[#This Row],[Prest. (m2 /jaar) weekend]]/Ruimtestaat[[#This Row],[Norm (m2/uur) weekend]],0)</f>
        <v>0</v>
      </c>
      <c r="AE64" s="94">
        <f>Ruimtestaat[[#This Row],[uren / jaar weekend]]*Tariefsopbouw!$D$40</f>
        <v>0</v>
      </c>
      <c r="AF64" s="66">
        <f>Ruimtestaat[[#This Row],[Prest. (m2 /jaar) weekend]]+Ruimtestaat[[#This Row],[Prest. (m2 /jaar) werkdagen]]</f>
        <v>14600</v>
      </c>
      <c r="AG64" s="66">
        <f>Ruimtestaat[[#This Row],[uren / jaar weekend]]+Ruimtestaat[[#This Row],[uren / jaar werkdagen]]</f>
        <v>0</v>
      </c>
      <c r="AH64" s="67">
        <f>Ruimtestaat[[#This Row],[kosten / jaar weekend]]+Ruimtestaat[[#This Row],[kosten / jaar werkdagen]]</f>
        <v>0</v>
      </c>
    </row>
    <row r="65" spans="1:34" ht="15" customHeight="1">
      <c r="A65" s="112">
        <v>1</v>
      </c>
      <c r="B65" s="23" t="str">
        <f>VLOOKUP(Ruimtestaat[[#This Row],[Code]],Locaties[#All],2,FALSE)</f>
        <v>RSG Levant</v>
      </c>
      <c r="C65" s="23" t="str">
        <f>VLOOKUP(Ruimtestaat[[#This Row],[Code]],Locaties[#All],4,FALSE)</f>
        <v>Horsterweg 192</v>
      </c>
      <c r="D65" s="23" t="str">
        <f>VLOOKUP(Ruimtestaat[[#This Row],[Code]],Locaties[#All],5,FALSE)</f>
        <v>3891 EV</v>
      </c>
      <c r="E65" s="23" t="str">
        <f>VLOOKUP(Ruimtestaat[[#This Row],[Code]],Locaties[#All],6,FALSE)</f>
        <v>Zeewolde</v>
      </c>
      <c r="F65" s="23"/>
      <c r="G65" s="60"/>
      <c r="H65" s="23" t="s">
        <v>535</v>
      </c>
      <c r="I65" s="27" t="s">
        <v>528</v>
      </c>
      <c r="J65" s="3" t="s">
        <v>568</v>
      </c>
      <c r="K65" s="23">
        <v>14</v>
      </c>
      <c r="L65" s="60" t="str">
        <f>VLOOKUP(K65,Ruimtegroepen[],2,FALSE)</f>
        <v>Praktijklokalen binas/zorg</v>
      </c>
      <c r="M65" s="23" t="s">
        <v>112</v>
      </c>
      <c r="N65" s="23" t="s">
        <v>137</v>
      </c>
      <c r="O65" s="86">
        <v>74</v>
      </c>
      <c r="P65" s="86"/>
      <c r="Q65" s="95" t="str">
        <f>LEFT(VLOOKUP(Ruimtestaat[[#This Row],[Ruimte code]],Ruimtegroepen[#All],4,1),2)</f>
        <v xml:space="preserve">L </v>
      </c>
      <c r="R65" s="86"/>
      <c r="S65" s="87">
        <v>40</v>
      </c>
      <c r="T65" s="87" t="s">
        <v>2</v>
      </c>
      <c r="U65" s="88">
        <f>IF(S65&gt;0,IF(RIGHT(Ruimtestaat[[#This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65" s="88">
        <f>IF(U65&gt;0,VLOOKUP($K65,Ruimtegroepen[],3,FALSE)*VLOOKUP($M65,Vloersoorten[],3,FALSE)*VLOOKUP($T65,Frequenties[],3,FALSE)*VLOOKUP($A65,Locaties[],3,FALSE),0)</f>
        <v>0</v>
      </c>
      <c r="W65" s="89">
        <f>Ruimtestaat[[#This Row],[Uitvoeringen werkdagen]]*Ruimtestaat[[#This Row],[Oppervlak (netto)]]</f>
        <v>14800</v>
      </c>
      <c r="X65" s="90">
        <f>IF(V65&gt;0,Ruimtestaat[[#This Row],[Prest. (m2 /jaar) werkdagen]]/Ruimtestaat[[#This Row],[Norm (m2/uur) werkdagen]],0)</f>
        <v>0</v>
      </c>
      <c r="Y65" s="91">
        <f>Ruimtestaat[[#This Row],[uren / jaar werkdagen]]*Tariefsopbouw!$E$35</f>
        <v>0</v>
      </c>
      <c r="Z65" s="88"/>
      <c r="AA65" s="92">
        <f>IF(Ruimtestaat[[#This Row],[Frequentie weekend]]&gt;0,VALUE(LEFT(Z65,1))*S65,0)</f>
        <v>0</v>
      </c>
      <c r="AB65" s="88">
        <f>IF($AA65&gt;0,VLOOKUP($K65,Ruimtegroepen[],3,FALSE)*VLOOKUP($M65,Vloersoorten[],3,FALSE)*VLOOKUP($Z65,Frequenties[],3,FALSE)*VLOOKUP(#REF!,Locaties[],3,FALSE),0)</f>
        <v>0</v>
      </c>
      <c r="AC65" s="90">
        <f>Ruimtestaat[[#This Row],[Uitvoeringen weekend]]*Ruimtestaat[[#This Row],[Oppervlak (netto)]]</f>
        <v>0</v>
      </c>
      <c r="AD65" s="93">
        <f>IF(AC65&gt;0,Ruimtestaat[[#This Row],[Prest. (m2 /jaar) weekend]]/Ruimtestaat[[#This Row],[Norm (m2/uur) weekend]],0)</f>
        <v>0</v>
      </c>
      <c r="AE65" s="94">
        <f>Ruimtestaat[[#This Row],[uren / jaar weekend]]*Tariefsopbouw!$D$40</f>
        <v>0</v>
      </c>
      <c r="AF65" s="66">
        <f>Ruimtestaat[[#This Row],[Prest. (m2 /jaar) weekend]]+Ruimtestaat[[#This Row],[Prest. (m2 /jaar) werkdagen]]</f>
        <v>14800</v>
      </c>
      <c r="AG65" s="66">
        <f>Ruimtestaat[[#This Row],[uren / jaar weekend]]+Ruimtestaat[[#This Row],[uren / jaar werkdagen]]</f>
        <v>0</v>
      </c>
      <c r="AH65" s="67">
        <f>Ruimtestaat[[#This Row],[kosten / jaar weekend]]+Ruimtestaat[[#This Row],[kosten / jaar werkdagen]]</f>
        <v>0</v>
      </c>
    </row>
    <row r="66" spans="1:34" ht="15" customHeight="1">
      <c r="A66" s="112">
        <v>1</v>
      </c>
      <c r="B66" s="23" t="str">
        <f>VLOOKUP(Ruimtestaat[[#This Row],[Code]],Locaties[#All],2,FALSE)</f>
        <v>RSG Levant</v>
      </c>
      <c r="C66" s="23" t="str">
        <f>VLOOKUP(Ruimtestaat[[#This Row],[Code]],Locaties[#All],4,FALSE)</f>
        <v>Horsterweg 192</v>
      </c>
      <c r="D66" s="23" t="str">
        <f>VLOOKUP(Ruimtestaat[[#This Row],[Code]],Locaties[#All],5,FALSE)</f>
        <v>3891 EV</v>
      </c>
      <c r="E66" s="23" t="str">
        <f>VLOOKUP(Ruimtestaat[[#This Row],[Code]],Locaties[#All],6,FALSE)</f>
        <v>Zeewolde</v>
      </c>
      <c r="F66" s="23"/>
      <c r="G66" s="60"/>
      <c r="H66" s="23" t="s">
        <v>535</v>
      </c>
      <c r="I66" s="27" t="s">
        <v>529</v>
      </c>
      <c r="J66" s="3" t="s">
        <v>566</v>
      </c>
      <c r="K66" s="23">
        <v>4</v>
      </c>
      <c r="L66" s="60" t="str">
        <f>VLOOKUP(K66,Ruimtegroepen[],2,FALSE)</f>
        <v>Kabinet Binas</v>
      </c>
      <c r="M66" s="23" t="s">
        <v>112</v>
      </c>
      <c r="N66" s="23" t="s">
        <v>137</v>
      </c>
      <c r="O66" s="86">
        <v>34</v>
      </c>
      <c r="P66" s="86"/>
      <c r="Q66" s="95" t="str">
        <f>LEFT(VLOOKUP(Ruimtestaat[[#This Row],[Ruimte code]],Ruimtegroepen[#All],4,1),2)</f>
        <v xml:space="preserve">V </v>
      </c>
      <c r="R66" s="86"/>
      <c r="S66" s="87">
        <v>40</v>
      </c>
      <c r="T66" s="87" t="s">
        <v>2</v>
      </c>
      <c r="U66" s="88">
        <f>IF(S66&gt;0,IF(RIGHT(Ruimtestaat[[#This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66" s="88">
        <f>IF(U66&gt;0,VLOOKUP($K66,Ruimtegroepen[],3,FALSE)*VLOOKUP($M66,Vloersoorten[],3,FALSE)*VLOOKUP($T66,Frequenties[],3,FALSE)*VLOOKUP($A66,Locaties[],3,FALSE),0)</f>
        <v>0</v>
      </c>
      <c r="W66" s="89">
        <f>Ruimtestaat[[#This Row],[Uitvoeringen werkdagen]]*Ruimtestaat[[#This Row],[Oppervlak (netto)]]</f>
        <v>6800</v>
      </c>
      <c r="X66" s="90">
        <f>IF(V66&gt;0,Ruimtestaat[[#This Row],[Prest. (m2 /jaar) werkdagen]]/Ruimtestaat[[#This Row],[Norm (m2/uur) werkdagen]],0)</f>
        <v>0</v>
      </c>
      <c r="Y66" s="91">
        <f>Ruimtestaat[[#This Row],[uren / jaar werkdagen]]*Tariefsopbouw!$E$35</f>
        <v>0</v>
      </c>
      <c r="Z66" s="88"/>
      <c r="AA66" s="92">
        <f>IF(Ruimtestaat[[#This Row],[Frequentie weekend]]&gt;0,VALUE(LEFT(Z66,1))*S66,0)</f>
        <v>0</v>
      </c>
      <c r="AB66" s="88">
        <f>IF($AA66&gt;0,VLOOKUP($K66,Ruimtegroepen[],3,FALSE)*VLOOKUP($M66,Vloersoorten[],3,FALSE)*VLOOKUP($Z66,Frequenties[],3,FALSE)*VLOOKUP(#REF!,Locaties[],3,FALSE),0)</f>
        <v>0</v>
      </c>
      <c r="AC66" s="90">
        <f>Ruimtestaat[[#This Row],[Uitvoeringen weekend]]*Ruimtestaat[[#This Row],[Oppervlak (netto)]]</f>
        <v>0</v>
      </c>
      <c r="AD66" s="93">
        <f>IF(AC66&gt;0,Ruimtestaat[[#This Row],[Prest. (m2 /jaar) weekend]]/Ruimtestaat[[#This Row],[Norm (m2/uur) weekend]],0)</f>
        <v>0</v>
      </c>
      <c r="AE66" s="94">
        <f>Ruimtestaat[[#This Row],[uren / jaar weekend]]*Tariefsopbouw!$D$40</f>
        <v>0</v>
      </c>
      <c r="AF66" s="66">
        <f>Ruimtestaat[[#This Row],[Prest. (m2 /jaar) weekend]]+Ruimtestaat[[#This Row],[Prest. (m2 /jaar) werkdagen]]</f>
        <v>6800</v>
      </c>
      <c r="AG66" s="66">
        <f>Ruimtestaat[[#This Row],[uren / jaar weekend]]+Ruimtestaat[[#This Row],[uren / jaar werkdagen]]</f>
        <v>0</v>
      </c>
      <c r="AH66" s="67">
        <f>Ruimtestaat[[#This Row],[kosten / jaar weekend]]+Ruimtestaat[[#This Row],[kosten / jaar werkdagen]]</f>
        <v>0</v>
      </c>
    </row>
    <row r="67" spans="1:34" ht="15" customHeight="1">
      <c r="A67" s="112">
        <v>1</v>
      </c>
      <c r="B67" s="23" t="str">
        <f>VLOOKUP(Ruimtestaat[[#This Row],[Code]],Locaties[#All],2,FALSE)</f>
        <v>RSG Levant</v>
      </c>
      <c r="C67" s="23" t="str">
        <f>VLOOKUP(Ruimtestaat[[#This Row],[Code]],Locaties[#All],4,FALSE)</f>
        <v>Horsterweg 192</v>
      </c>
      <c r="D67" s="23" t="str">
        <f>VLOOKUP(Ruimtestaat[[#This Row],[Code]],Locaties[#All],5,FALSE)</f>
        <v>3891 EV</v>
      </c>
      <c r="E67" s="23" t="str">
        <f>VLOOKUP(Ruimtestaat[[#This Row],[Code]],Locaties[#All],6,FALSE)</f>
        <v>Zeewolde</v>
      </c>
      <c r="F67" s="23"/>
      <c r="G67" s="60"/>
      <c r="H67" s="23" t="s">
        <v>535</v>
      </c>
      <c r="I67" s="27" t="s">
        <v>530</v>
      </c>
      <c r="J67" s="3" t="s">
        <v>569</v>
      </c>
      <c r="K67" s="23">
        <v>14</v>
      </c>
      <c r="L67" s="60" t="str">
        <f>VLOOKUP(K67,Ruimtegroepen[],2,FALSE)</f>
        <v>Praktijklokalen binas/zorg</v>
      </c>
      <c r="M67" s="23" t="s">
        <v>112</v>
      </c>
      <c r="N67" s="23" t="s">
        <v>137</v>
      </c>
      <c r="O67" s="86">
        <v>78</v>
      </c>
      <c r="P67" s="86"/>
      <c r="Q67" s="95" t="str">
        <f>LEFT(VLOOKUP(Ruimtestaat[[#This Row],[Ruimte code]],Ruimtegroepen[#All],4,1),2)</f>
        <v xml:space="preserve">L </v>
      </c>
      <c r="R67" s="86"/>
      <c r="S67" s="87">
        <v>40</v>
      </c>
      <c r="T67" s="87" t="s">
        <v>2</v>
      </c>
      <c r="U67" s="88">
        <f>IF(S67&gt;0,IF(RIGHT(Ruimtestaat[[#This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67" s="88">
        <f>IF(U67&gt;0,VLOOKUP($K67,Ruimtegroepen[],3,FALSE)*VLOOKUP($M67,Vloersoorten[],3,FALSE)*VLOOKUP($T67,Frequenties[],3,FALSE)*VLOOKUP($A67,Locaties[],3,FALSE),0)</f>
        <v>0</v>
      </c>
      <c r="W67" s="89">
        <f>Ruimtestaat[[#This Row],[Uitvoeringen werkdagen]]*Ruimtestaat[[#This Row],[Oppervlak (netto)]]</f>
        <v>15600</v>
      </c>
      <c r="X67" s="90">
        <f>IF(V67&gt;0,Ruimtestaat[[#This Row],[Prest. (m2 /jaar) werkdagen]]/Ruimtestaat[[#This Row],[Norm (m2/uur) werkdagen]],0)</f>
        <v>0</v>
      </c>
      <c r="Y67" s="91">
        <f>Ruimtestaat[[#This Row],[uren / jaar werkdagen]]*Tariefsopbouw!$E$35</f>
        <v>0</v>
      </c>
      <c r="Z67" s="88"/>
      <c r="AA67" s="92">
        <f>IF(Ruimtestaat[[#This Row],[Frequentie weekend]]&gt;0,VALUE(LEFT(Z67,1))*S67,0)</f>
        <v>0</v>
      </c>
      <c r="AB67" s="88">
        <f>IF($AA67&gt;0,VLOOKUP($K67,Ruimtegroepen[],3,FALSE)*VLOOKUP($M67,Vloersoorten[],3,FALSE)*VLOOKUP($Z67,Frequenties[],3,FALSE)*VLOOKUP(#REF!,Locaties[],3,FALSE),0)</f>
        <v>0</v>
      </c>
      <c r="AC67" s="90">
        <f>Ruimtestaat[[#This Row],[Uitvoeringen weekend]]*Ruimtestaat[[#This Row],[Oppervlak (netto)]]</f>
        <v>0</v>
      </c>
      <c r="AD67" s="93">
        <f>IF(AC67&gt;0,Ruimtestaat[[#This Row],[Prest. (m2 /jaar) weekend]]/Ruimtestaat[[#This Row],[Norm (m2/uur) weekend]],0)</f>
        <v>0</v>
      </c>
      <c r="AE67" s="94">
        <f>Ruimtestaat[[#This Row],[uren / jaar weekend]]*Tariefsopbouw!$D$40</f>
        <v>0</v>
      </c>
      <c r="AF67" s="66">
        <f>Ruimtestaat[[#This Row],[Prest. (m2 /jaar) weekend]]+Ruimtestaat[[#This Row],[Prest. (m2 /jaar) werkdagen]]</f>
        <v>15600</v>
      </c>
      <c r="AG67" s="66">
        <f>Ruimtestaat[[#This Row],[uren / jaar weekend]]+Ruimtestaat[[#This Row],[uren / jaar werkdagen]]</f>
        <v>0</v>
      </c>
      <c r="AH67" s="67">
        <f>Ruimtestaat[[#This Row],[kosten / jaar weekend]]+Ruimtestaat[[#This Row],[kosten / jaar werkdagen]]</f>
        <v>0</v>
      </c>
    </row>
    <row r="68" spans="1:34" ht="15" customHeight="1">
      <c r="A68" s="112">
        <v>1</v>
      </c>
      <c r="B68" s="23" t="str">
        <f>VLOOKUP(Ruimtestaat[[#This Row],[Code]],Locaties[#All],2,FALSE)</f>
        <v>RSG Levant</v>
      </c>
      <c r="C68" s="23" t="str">
        <f>VLOOKUP(Ruimtestaat[[#This Row],[Code]],Locaties[#All],4,FALSE)</f>
        <v>Horsterweg 192</v>
      </c>
      <c r="D68" s="23" t="str">
        <f>VLOOKUP(Ruimtestaat[[#This Row],[Code]],Locaties[#All],5,FALSE)</f>
        <v>3891 EV</v>
      </c>
      <c r="E68" s="23" t="str">
        <f>VLOOKUP(Ruimtestaat[[#This Row],[Code]],Locaties[#All],6,FALSE)</f>
        <v>Zeewolde</v>
      </c>
      <c r="F68" s="23"/>
      <c r="G68" s="60"/>
      <c r="H68" s="23" t="s">
        <v>535</v>
      </c>
      <c r="I68" s="27" t="s">
        <v>531</v>
      </c>
      <c r="J68" s="3" t="s">
        <v>570</v>
      </c>
      <c r="K68" s="23">
        <v>13</v>
      </c>
      <c r="L68" s="60" t="str">
        <f>VLOOKUP(K68,Ruimtegroepen[],2,FALSE)</f>
        <v>HV/Technieklokaal</v>
      </c>
      <c r="M68" s="23" t="s">
        <v>112</v>
      </c>
      <c r="N68" s="23" t="s">
        <v>137</v>
      </c>
      <c r="O68" s="86">
        <v>77</v>
      </c>
      <c r="P68" s="86"/>
      <c r="Q68" s="95" t="str">
        <f>LEFT(VLOOKUP(Ruimtestaat[[#This Row],[Ruimte code]],Ruimtegroepen[#All],4,1),2)</f>
        <v xml:space="preserve">L </v>
      </c>
      <c r="R68" s="86"/>
      <c r="S68" s="87">
        <v>40</v>
      </c>
      <c r="T68" s="87" t="s">
        <v>2</v>
      </c>
      <c r="U68" s="88">
        <f>IF(S68&gt;0,IF(RIGHT(Ruimtestaat[[#This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68" s="88">
        <f>IF(U68&gt;0,VLOOKUP($K68,Ruimtegroepen[],3,FALSE)*VLOOKUP($M68,Vloersoorten[],3,FALSE)*VLOOKUP($T68,Frequenties[],3,FALSE)*VLOOKUP($A68,Locaties[],3,FALSE),0)</f>
        <v>0</v>
      </c>
      <c r="W68" s="89">
        <f>Ruimtestaat[[#This Row],[Uitvoeringen werkdagen]]*Ruimtestaat[[#This Row],[Oppervlak (netto)]]</f>
        <v>15400</v>
      </c>
      <c r="X68" s="90">
        <f>IF(V68&gt;0,Ruimtestaat[[#This Row],[Prest. (m2 /jaar) werkdagen]]/Ruimtestaat[[#This Row],[Norm (m2/uur) werkdagen]],0)</f>
        <v>0</v>
      </c>
      <c r="Y68" s="91">
        <f>Ruimtestaat[[#This Row],[uren / jaar werkdagen]]*Tariefsopbouw!$E$35</f>
        <v>0</v>
      </c>
      <c r="Z68" s="88"/>
      <c r="AA68" s="92">
        <f>IF(Ruimtestaat[[#This Row],[Frequentie weekend]]&gt;0,VALUE(LEFT(Z68,1))*S68,0)</f>
        <v>0</v>
      </c>
      <c r="AB68" s="88">
        <f>IF($AA68&gt;0,VLOOKUP($K68,Ruimtegroepen[],3,FALSE)*VLOOKUP($M68,Vloersoorten[],3,FALSE)*VLOOKUP($Z68,Frequenties[],3,FALSE)*VLOOKUP(#REF!,Locaties[],3,FALSE),0)</f>
        <v>0</v>
      </c>
      <c r="AC68" s="90">
        <f>Ruimtestaat[[#This Row],[Uitvoeringen weekend]]*Ruimtestaat[[#This Row],[Oppervlak (netto)]]</f>
        <v>0</v>
      </c>
      <c r="AD68" s="93">
        <f>IF(AC68&gt;0,Ruimtestaat[[#This Row],[Prest. (m2 /jaar) weekend]]/Ruimtestaat[[#This Row],[Norm (m2/uur) weekend]],0)</f>
        <v>0</v>
      </c>
      <c r="AE68" s="94">
        <f>Ruimtestaat[[#This Row],[uren / jaar weekend]]*Tariefsopbouw!$D$40</f>
        <v>0</v>
      </c>
      <c r="AF68" s="66">
        <f>Ruimtestaat[[#This Row],[Prest. (m2 /jaar) weekend]]+Ruimtestaat[[#This Row],[Prest. (m2 /jaar) werkdagen]]</f>
        <v>15400</v>
      </c>
      <c r="AG68" s="66">
        <f>Ruimtestaat[[#This Row],[uren / jaar weekend]]+Ruimtestaat[[#This Row],[uren / jaar werkdagen]]</f>
        <v>0</v>
      </c>
      <c r="AH68" s="67">
        <f>Ruimtestaat[[#This Row],[kosten / jaar weekend]]+Ruimtestaat[[#This Row],[kosten / jaar werkdagen]]</f>
        <v>0</v>
      </c>
    </row>
    <row r="69" spans="1:34" ht="15" customHeight="1">
      <c r="A69" s="112">
        <v>1</v>
      </c>
      <c r="B69" s="23" t="str">
        <f>VLOOKUP(Ruimtestaat[[#This Row],[Code]],Locaties[#All],2,FALSE)</f>
        <v>RSG Levant</v>
      </c>
      <c r="C69" s="23" t="str">
        <f>VLOOKUP(Ruimtestaat[[#This Row],[Code]],Locaties[#All],4,FALSE)</f>
        <v>Horsterweg 192</v>
      </c>
      <c r="D69" s="23" t="str">
        <f>VLOOKUP(Ruimtestaat[[#This Row],[Code]],Locaties[#All],5,FALSE)</f>
        <v>3891 EV</v>
      </c>
      <c r="E69" s="23" t="str">
        <f>VLOOKUP(Ruimtestaat[[#This Row],[Code]],Locaties[#All],6,FALSE)</f>
        <v>Zeewolde</v>
      </c>
      <c r="F69" s="23"/>
      <c r="G69" s="60"/>
      <c r="H69" s="23" t="s">
        <v>535</v>
      </c>
      <c r="I69" s="27" t="s">
        <v>532</v>
      </c>
      <c r="J69" s="3" t="s">
        <v>570</v>
      </c>
      <c r="K69" s="23">
        <v>13</v>
      </c>
      <c r="L69" s="60" t="str">
        <f>VLOOKUP(K69,Ruimtegroepen[],2,FALSE)</f>
        <v>HV/Technieklokaal</v>
      </c>
      <c r="M69" s="23" t="s">
        <v>112</v>
      </c>
      <c r="N69" s="23" t="s">
        <v>137</v>
      </c>
      <c r="O69" s="86">
        <v>49</v>
      </c>
      <c r="P69" s="86"/>
      <c r="Q69" s="95" t="str">
        <f>LEFT(VLOOKUP(Ruimtestaat[[#This Row],[Ruimte code]],Ruimtegroepen[#All],4,1),2)</f>
        <v xml:space="preserve">L </v>
      </c>
      <c r="R69" s="86"/>
      <c r="S69" s="87">
        <v>40</v>
      </c>
      <c r="T69" s="87" t="s">
        <v>2</v>
      </c>
      <c r="U69" s="88">
        <f>IF(S69&gt;0,IF(RIGHT(Ruimtestaat[[#This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69" s="88">
        <f>IF(U69&gt;0,VLOOKUP($K69,Ruimtegroepen[],3,FALSE)*VLOOKUP($M69,Vloersoorten[],3,FALSE)*VLOOKUP($T69,Frequenties[],3,FALSE)*VLOOKUP($A69,Locaties[],3,FALSE),0)</f>
        <v>0</v>
      </c>
      <c r="W69" s="89">
        <f>Ruimtestaat[[#This Row],[Uitvoeringen werkdagen]]*Ruimtestaat[[#This Row],[Oppervlak (netto)]]</f>
        <v>9800</v>
      </c>
      <c r="X69" s="90">
        <f>IF(V69&gt;0,Ruimtestaat[[#This Row],[Prest. (m2 /jaar) werkdagen]]/Ruimtestaat[[#This Row],[Norm (m2/uur) werkdagen]],0)</f>
        <v>0</v>
      </c>
      <c r="Y69" s="91">
        <f>Ruimtestaat[[#This Row],[uren / jaar werkdagen]]*Tariefsopbouw!$E$35</f>
        <v>0</v>
      </c>
      <c r="Z69" s="88"/>
      <c r="AA69" s="92">
        <f>IF(Ruimtestaat[[#This Row],[Frequentie weekend]]&gt;0,VALUE(LEFT(Z69,1))*S69,0)</f>
        <v>0</v>
      </c>
      <c r="AB69" s="88">
        <f>IF($AA69&gt;0,VLOOKUP($K69,Ruimtegroepen[],3,FALSE)*VLOOKUP($M69,Vloersoorten[],3,FALSE)*VLOOKUP($Z69,Frequenties[],3,FALSE)*VLOOKUP(#REF!,Locaties[],3,FALSE),0)</f>
        <v>0</v>
      </c>
      <c r="AC69" s="90">
        <f>Ruimtestaat[[#This Row],[Uitvoeringen weekend]]*Ruimtestaat[[#This Row],[Oppervlak (netto)]]</f>
        <v>0</v>
      </c>
      <c r="AD69" s="93">
        <f>IF(AC69&gt;0,Ruimtestaat[[#This Row],[Prest. (m2 /jaar) weekend]]/Ruimtestaat[[#This Row],[Norm (m2/uur) weekend]],0)</f>
        <v>0</v>
      </c>
      <c r="AE69" s="94">
        <f>Ruimtestaat[[#This Row],[uren / jaar weekend]]*Tariefsopbouw!$D$40</f>
        <v>0</v>
      </c>
      <c r="AF69" s="66">
        <f>Ruimtestaat[[#This Row],[Prest. (m2 /jaar) weekend]]+Ruimtestaat[[#This Row],[Prest. (m2 /jaar) werkdagen]]</f>
        <v>9800</v>
      </c>
      <c r="AG69" s="66">
        <f>Ruimtestaat[[#This Row],[uren / jaar weekend]]+Ruimtestaat[[#This Row],[uren / jaar werkdagen]]</f>
        <v>0</v>
      </c>
      <c r="AH69" s="67">
        <f>Ruimtestaat[[#This Row],[kosten / jaar weekend]]+Ruimtestaat[[#This Row],[kosten / jaar werkdagen]]</f>
        <v>0</v>
      </c>
    </row>
    <row r="70" spans="1:34" ht="15" customHeight="1">
      <c r="A70" s="112">
        <v>1</v>
      </c>
      <c r="B70" s="23" t="str">
        <f>VLOOKUP(Ruimtestaat[[#This Row],[Code]],Locaties[#All],2,FALSE)</f>
        <v>RSG Levant</v>
      </c>
      <c r="C70" s="23" t="str">
        <f>VLOOKUP(Ruimtestaat[[#This Row],[Code]],Locaties[#All],4,FALSE)</f>
        <v>Horsterweg 192</v>
      </c>
      <c r="D70" s="23" t="str">
        <f>VLOOKUP(Ruimtestaat[[#This Row],[Code]],Locaties[#All],5,FALSE)</f>
        <v>3891 EV</v>
      </c>
      <c r="E70" s="23" t="str">
        <f>VLOOKUP(Ruimtestaat[[#This Row],[Code]],Locaties[#All],6,FALSE)</f>
        <v>Zeewolde</v>
      </c>
      <c r="F70" s="23"/>
      <c r="G70" s="60"/>
      <c r="H70" s="23" t="s">
        <v>535</v>
      </c>
      <c r="I70" s="27" t="s">
        <v>533</v>
      </c>
      <c r="J70" s="3" t="s">
        <v>571</v>
      </c>
      <c r="K70" s="23">
        <v>1</v>
      </c>
      <c r="L70" s="60" t="str">
        <f>VLOOKUP(K70,Ruimtegroepen[],2,FALSE)</f>
        <v>Magazijnen/bergingen</v>
      </c>
      <c r="M70" s="23" t="s">
        <v>112</v>
      </c>
      <c r="N70" s="23" t="s">
        <v>137</v>
      </c>
      <c r="O70" s="86">
        <v>23</v>
      </c>
      <c r="P70" s="86"/>
      <c r="Q70" s="95" t="str">
        <f>LEFT(VLOOKUP(Ruimtestaat[[#This Row],[Ruimte code]],Ruimtegroepen[#All],4,1),2)</f>
        <v xml:space="preserve">V </v>
      </c>
      <c r="R70" s="86"/>
      <c r="S70" s="87">
        <v>40</v>
      </c>
      <c r="T70" s="87" t="s">
        <v>15</v>
      </c>
      <c r="U70" s="88">
        <f>IF(S70&gt;0,IF(RIGHT(Ruimtestaat[[#This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V70" s="88">
        <f>IF(U70&gt;0,VLOOKUP($K70,Ruimtegroepen[],3,FALSE)*VLOOKUP($M70,Vloersoorten[],3,FALSE)*VLOOKUP($T70,Frequenties[],3,FALSE)*VLOOKUP($A70,Locaties[],3,FALSE),0)</f>
        <v>0</v>
      </c>
      <c r="W70" s="89">
        <f>Ruimtestaat[[#This Row],[Uitvoeringen werkdagen]]*Ruimtestaat[[#This Row],[Oppervlak (netto)]]</f>
        <v>920</v>
      </c>
      <c r="X70" s="90">
        <f>IF(V70&gt;0,Ruimtestaat[[#This Row],[Prest. (m2 /jaar) werkdagen]]/Ruimtestaat[[#This Row],[Norm (m2/uur) werkdagen]],0)</f>
        <v>0</v>
      </c>
      <c r="Y70" s="91">
        <f>Ruimtestaat[[#This Row],[uren / jaar werkdagen]]*Tariefsopbouw!$E$35</f>
        <v>0</v>
      </c>
      <c r="Z70" s="88"/>
      <c r="AA70" s="92">
        <f>IF(Ruimtestaat[[#This Row],[Frequentie weekend]]&gt;0,VALUE(LEFT(Z70,1))*S70,0)</f>
        <v>0</v>
      </c>
      <c r="AB70" s="88">
        <f>IF($AA70&gt;0,VLOOKUP($K70,Ruimtegroepen[],3,FALSE)*VLOOKUP($M70,Vloersoorten[],3,FALSE)*VLOOKUP($Z70,Frequenties[],3,FALSE)*VLOOKUP(#REF!,Locaties[],3,FALSE),0)</f>
        <v>0</v>
      </c>
      <c r="AC70" s="90">
        <f>Ruimtestaat[[#This Row],[Uitvoeringen weekend]]*Ruimtestaat[[#This Row],[Oppervlak (netto)]]</f>
        <v>0</v>
      </c>
      <c r="AD70" s="93">
        <f>IF(AC70&gt;0,Ruimtestaat[[#This Row],[Prest. (m2 /jaar) weekend]]/Ruimtestaat[[#This Row],[Norm (m2/uur) weekend]],0)</f>
        <v>0</v>
      </c>
      <c r="AE70" s="94">
        <f>Ruimtestaat[[#This Row],[uren / jaar weekend]]*Tariefsopbouw!$D$40</f>
        <v>0</v>
      </c>
      <c r="AF70" s="66">
        <f>Ruimtestaat[[#This Row],[Prest. (m2 /jaar) weekend]]+Ruimtestaat[[#This Row],[Prest. (m2 /jaar) werkdagen]]</f>
        <v>920</v>
      </c>
      <c r="AG70" s="66">
        <f>Ruimtestaat[[#This Row],[uren / jaar weekend]]+Ruimtestaat[[#This Row],[uren / jaar werkdagen]]</f>
        <v>0</v>
      </c>
      <c r="AH70" s="67">
        <f>Ruimtestaat[[#This Row],[kosten / jaar weekend]]+Ruimtestaat[[#This Row],[kosten / jaar werkdagen]]</f>
        <v>0</v>
      </c>
    </row>
    <row r="71" spans="1:34" ht="15" customHeight="1">
      <c r="A71" s="112">
        <v>1</v>
      </c>
      <c r="B71" s="23" t="str">
        <f>VLOOKUP(Ruimtestaat[[#This Row],[Code]],Locaties[#All],2,FALSE)</f>
        <v>RSG Levant</v>
      </c>
      <c r="C71" s="23" t="str">
        <f>VLOOKUP(Ruimtestaat[[#This Row],[Code]],Locaties[#All],4,FALSE)</f>
        <v>Horsterweg 192</v>
      </c>
      <c r="D71" s="23" t="str">
        <f>VLOOKUP(Ruimtestaat[[#This Row],[Code]],Locaties[#All],5,FALSE)</f>
        <v>3891 EV</v>
      </c>
      <c r="E71" s="23" t="str">
        <f>VLOOKUP(Ruimtestaat[[#This Row],[Code]],Locaties[#All],6,FALSE)</f>
        <v>Zeewolde</v>
      </c>
      <c r="F71" s="23"/>
      <c r="G71" s="60"/>
      <c r="H71" s="23" t="s">
        <v>535</v>
      </c>
      <c r="I71" s="27" t="s">
        <v>534</v>
      </c>
      <c r="J71" s="3" t="s">
        <v>572</v>
      </c>
      <c r="K71" s="23">
        <v>23</v>
      </c>
      <c r="L71" s="60" t="str">
        <f>VLOOKUP(K71,Ruimtegroepen[],2,FALSE)</f>
        <v>Niet in onderhoud</v>
      </c>
      <c r="M71" s="23" t="s">
        <v>112</v>
      </c>
      <c r="N71" s="23" t="s">
        <v>137</v>
      </c>
      <c r="O71" s="86"/>
      <c r="P71" s="86">
        <v>6</v>
      </c>
      <c r="Q71" s="95" t="str">
        <f>LEFT(VLOOKUP(Ruimtestaat[[#This Row],[Ruimte code]],Ruimtegroepen[#All],4,1),2)</f>
        <v/>
      </c>
      <c r="R71" s="86"/>
      <c r="S71" s="87"/>
      <c r="T71" s="87"/>
      <c r="U71" s="88">
        <f>IF(S71&gt;0,IF(RIGHT(Ruimtestaat[[#This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71" s="88">
        <f>IF(U71&gt;0,VLOOKUP($K71,Ruimtegroepen[],3,FALSE)*VLOOKUP($M71,Vloersoorten[],3,FALSE)*VLOOKUP($T71,Frequenties[],3,FALSE)*VLOOKUP($A71,Locaties[],3,FALSE),0)</f>
        <v>0</v>
      </c>
      <c r="W71" s="89">
        <f>Ruimtestaat[[#This Row],[Uitvoeringen werkdagen]]*Ruimtestaat[[#This Row],[Oppervlak (netto)]]</f>
        <v>0</v>
      </c>
      <c r="X71" s="90">
        <f>IF(V71&gt;0,Ruimtestaat[[#This Row],[Prest. (m2 /jaar) werkdagen]]/Ruimtestaat[[#This Row],[Norm (m2/uur) werkdagen]],0)</f>
        <v>0</v>
      </c>
      <c r="Y71" s="91">
        <f>Ruimtestaat[[#This Row],[uren / jaar werkdagen]]*Tariefsopbouw!$E$35</f>
        <v>0</v>
      </c>
      <c r="Z71" s="88"/>
      <c r="AA71" s="92">
        <f>IF(Ruimtestaat[[#This Row],[Frequentie weekend]]&gt;0,VALUE(LEFT(Z71,1))*S71,0)</f>
        <v>0</v>
      </c>
      <c r="AB71" s="88">
        <f>IF($AA71&gt;0,VLOOKUP($K71,Ruimtegroepen[],3,FALSE)*VLOOKUP($M71,Vloersoorten[],3,FALSE)*VLOOKUP($Z71,Frequenties[],3,FALSE)*VLOOKUP(#REF!,Locaties[],3,FALSE),0)</f>
        <v>0</v>
      </c>
      <c r="AC71" s="90">
        <f>Ruimtestaat[[#This Row],[Uitvoeringen weekend]]*Ruimtestaat[[#This Row],[Oppervlak (netto)]]</f>
        <v>0</v>
      </c>
      <c r="AD71" s="93">
        <f>IF(AC71&gt;0,Ruimtestaat[[#This Row],[Prest. (m2 /jaar) weekend]]/Ruimtestaat[[#This Row],[Norm (m2/uur) weekend]],0)</f>
        <v>0</v>
      </c>
      <c r="AE71" s="94">
        <f>Ruimtestaat[[#This Row],[uren / jaar weekend]]*Tariefsopbouw!$D$40</f>
        <v>0</v>
      </c>
      <c r="AF71" s="66">
        <f>Ruimtestaat[[#This Row],[Prest. (m2 /jaar) weekend]]+Ruimtestaat[[#This Row],[Prest. (m2 /jaar) werkdagen]]</f>
        <v>0</v>
      </c>
      <c r="AG71" s="66">
        <f>Ruimtestaat[[#This Row],[uren / jaar weekend]]+Ruimtestaat[[#This Row],[uren / jaar werkdagen]]</f>
        <v>0</v>
      </c>
      <c r="AH71" s="67">
        <f>Ruimtestaat[[#This Row],[kosten / jaar weekend]]+Ruimtestaat[[#This Row],[kosten / jaar werkdagen]]</f>
        <v>0</v>
      </c>
    </row>
    <row r="72" spans="1:34" ht="15" customHeight="1">
      <c r="A72" s="112">
        <v>1</v>
      </c>
      <c r="B72" s="23" t="str">
        <f>VLOOKUP(Ruimtestaat[[#This Row],[Code]],Locaties[#All],2,FALSE)</f>
        <v>RSG Levant</v>
      </c>
      <c r="C72" s="23" t="str">
        <f>VLOOKUP(Ruimtestaat[[#This Row],[Code]],Locaties[#All],4,FALSE)</f>
        <v>Horsterweg 192</v>
      </c>
      <c r="D72" s="23" t="str">
        <f>VLOOKUP(Ruimtestaat[[#This Row],[Code]],Locaties[#All],5,FALSE)</f>
        <v>3891 EV</v>
      </c>
      <c r="E72" s="23" t="str">
        <f>VLOOKUP(Ruimtestaat[[#This Row],[Code]],Locaties[#All],6,FALSE)</f>
        <v>Zeewolde</v>
      </c>
      <c r="F72" s="23"/>
      <c r="G72" s="60"/>
      <c r="H72" s="23" t="s">
        <v>573</v>
      </c>
      <c r="I72" s="27" t="s">
        <v>534</v>
      </c>
      <c r="J72" s="3" t="s">
        <v>572</v>
      </c>
      <c r="K72" s="23">
        <v>23</v>
      </c>
      <c r="L72" s="60" t="str">
        <f>VLOOKUP(K72,Ruimtegroepen[],2,FALSE)</f>
        <v>Niet in onderhoud</v>
      </c>
      <c r="M72" s="23" t="s">
        <v>112</v>
      </c>
      <c r="N72" s="23" t="s">
        <v>137</v>
      </c>
      <c r="O72" s="86"/>
      <c r="P72" s="86">
        <v>1</v>
      </c>
      <c r="Q72" s="95" t="str">
        <f>LEFT(VLOOKUP(Ruimtestaat[[#This Row],[Ruimte code]],Ruimtegroepen[#All],4,1),2)</f>
        <v/>
      </c>
      <c r="R72" s="86"/>
      <c r="S72" s="87"/>
      <c r="T72" s="87"/>
      <c r="U72" s="88">
        <f>IF(S72&gt;0,IF(RIGHT(Ruimtestaat[[#This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72" s="88">
        <f>IF(U72&gt;0,VLOOKUP($K72,Ruimtegroepen[],3,FALSE)*VLOOKUP($M72,Vloersoorten[],3,FALSE)*VLOOKUP($T72,Frequenties[],3,FALSE)*VLOOKUP($A72,Locaties[],3,FALSE),0)</f>
        <v>0</v>
      </c>
      <c r="W72" s="89">
        <f>Ruimtestaat[[#This Row],[Uitvoeringen werkdagen]]*Ruimtestaat[[#This Row],[Oppervlak (netto)]]</f>
        <v>0</v>
      </c>
      <c r="X72" s="90">
        <f>IF(V72&gt;0,Ruimtestaat[[#This Row],[Prest. (m2 /jaar) werkdagen]]/Ruimtestaat[[#This Row],[Norm (m2/uur) werkdagen]],0)</f>
        <v>0</v>
      </c>
      <c r="Y72" s="91">
        <f>Ruimtestaat[[#This Row],[uren / jaar werkdagen]]*Tariefsopbouw!$E$35</f>
        <v>0</v>
      </c>
      <c r="Z72" s="88"/>
      <c r="AA72" s="92">
        <f>IF(Ruimtestaat[[#This Row],[Frequentie weekend]]&gt;0,VALUE(LEFT(Z72,1))*S72,0)</f>
        <v>0</v>
      </c>
      <c r="AB72" s="88">
        <f>IF($AA72&gt;0,VLOOKUP($K72,Ruimtegroepen[],3,FALSE)*VLOOKUP($M72,Vloersoorten[],3,FALSE)*VLOOKUP($Z72,Frequenties[],3,FALSE)*VLOOKUP(#REF!,Locaties[],3,FALSE),0)</f>
        <v>0</v>
      </c>
      <c r="AC72" s="90">
        <f>Ruimtestaat[[#This Row],[Uitvoeringen weekend]]*Ruimtestaat[[#This Row],[Oppervlak (netto)]]</f>
        <v>0</v>
      </c>
      <c r="AD72" s="93">
        <f>IF(AC72&gt;0,Ruimtestaat[[#This Row],[Prest. (m2 /jaar) weekend]]/Ruimtestaat[[#This Row],[Norm (m2/uur) weekend]],0)</f>
        <v>0</v>
      </c>
      <c r="AE72" s="94">
        <f>Ruimtestaat[[#This Row],[uren / jaar weekend]]*Tariefsopbouw!$D$40</f>
        <v>0</v>
      </c>
      <c r="AF72" s="66">
        <f>Ruimtestaat[[#This Row],[Prest. (m2 /jaar) weekend]]+Ruimtestaat[[#This Row],[Prest. (m2 /jaar) werkdagen]]</f>
        <v>0</v>
      </c>
      <c r="AG72" s="66">
        <f>Ruimtestaat[[#This Row],[uren / jaar weekend]]+Ruimtestaat[[#This Row],[uren / jaar werkdagen]]</f>
        <v>0</v>
      </c>
      <c r="AH72" s="67">
        <f>Ruimtestaat[[#This Row],[kosten / jaar weekend]]+Ruimtestaat[[#This Row],[kosten / jaar werkdagen]]</f>
        <v>0</v>
      </c>
    </row>
    <row r="73" spans="1:34" ht="15" customHeight="1">
      <c r="A73" s="112">
        <v>1</v>
      </c>
      <c r="B73" s="23" t="str">
        <f>VLOOKUP(Ruimtestaat[[#This Row],[Code]],Locaties[#All],2,FALSE)</f>
        <v>RSG Levant</v>
      </c>
      <c r="C73" s="23" t="str">
        <f>VLOOKUP(Ruimtestaat[[#This Row],[Code]],Locaties[#All],4,FALSE)</f>
        <v>Horsterweg 192</v>
      </c>
      <c r="D73" s="23" t="str">
        <f>VLOOKUP(Ruimtestaat[[#This Row],[Code]],Locaties[#All],5,FALSE)</f>
        <v>3891 EV</v>
      </c>
      <c r="E73" s="23" t="str">
        <f>VLOOKUP(Ruimtestaat[[#This Row],[Code]],Locaties[#All],6,FALSE)</f>
        <v>Zeewolde</v>
      </c>
      <c r="F73" s="23"/>
      <c r="G73" s="60"/>
      <c r="H73" s="23" t="s">
        <v>573</v>
      </c>
      <c r="I73" s="27"/>
      <c r="J73" s="3" t="s">
        <v>640</v>
      </c>
      <c r="K73" s="23">
        <v>12</v>
      </c>
      <c r="L73" s="60" t="str">
        <f>VLOOKUP(K73,Ruimtegroepen[],2,FALSE)</f>
        <v>Kantine</v>
      </c>
      <c r="M73" s="23" t="s">
        <v>112</v>
      </c>
      <c r="N73" s="23" t="s">
        <v>137</v>
      </c>
      <c r="O73" s="86">
        <v>114</v>
      </c>
      <c r="P73" s="86"/>
      <c r="Q73" s="95" t="str">
        <f>LEFT(VLOOKUP(Ruimtestaat[[#This Row],[Ruimte code]],Ruimtegroepen[#All],4,1),2)</f>
        <v xml:space="preserve">V </v>
      </c>
      <c r="R73" s="86"/>
      <c r="S73" s="87"/>
      <c r="T73" s="87"/>
      <c r="U73" s="88">
        <f>IF(S73&gt;0,IF(RIGHT(Ruimtestaat[[#This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73" s="88">
        <f>IF(U73&gt;0,VLOOKUP($K73,Ruimtegroepen[],3,FALSE)*VLOOKUP($M73,Vloersoorten[],3,FALSE)*VLOOKUP($T73,Frequenties[],3,FALSE)*VLOOKUP($A73,Locaties[],3,FALSE),0)</f>
        <v>0</v>
      </c>
      <c r="W73" s="89">
        <f>Ruimtestaat[[#This Row],[Uitvoeringen werkdagen]]*Ruimtestaat[[#This Row],[Oppervlak (netto)]]</f>
        <v>0</v>
      </c>
      <c r="X73" s="90">
        <f>IF(V73&gt;0,Ruimtestaat[[#This Row],[Prest. (m2 /jaar) werkdagen]]/Ruimtestaat[[#This Row],[Norm (m2/uur) werkdagen]],0)</f>
        <v>0</v>
      </c>
      <c r="Y73" s="91">
        <f>Ruimtestaat[[#This Row],[uren / jaar werkdagen]]*Tariefsopbouw!$E$35</f>
        <v>0</v>
      </c>
      <c r="Z73" s="88"/>
      <c r="AA73" s="92">
        <f>IF(Ruimtestaat[[#This Row],[Frequentie weekend]]&gt;0,VALUE(LEFT(Z73,1))*S73,0)</f>
        <v>0</v>
      </c>
      <c r="AB73" s="88">
        <f>IF($AA73&gt;0,VLOOKUP($K73,Ruimtegroepen[],3,FALSE)*VLOOKUP($M73,Vloersoorten[],3,FALSE)*VLOOKUP($Z73,Frequenties[],3,FALSE)*VLOOKUP(#REF!,Locaties[],3,FALSE),0)</f>
        <v>0</v>
      </c>
      <c r="AC73" s="90">
        <f>Ruimtestaat[[#This Row],[Uitvoeringen weekend]]*Ruimtestaat[[#This Row],[Oppervlak (netto)]]</f>
        <v>0</v>
      </c>
      <c r="AD73" s="93">
        <f>IF(AC73&gt;0,Ruimtestaat[[#This Row],[Prest. (m2 /jaar) weekend]]/Ruimtestaat[[#This Row],[Norm (m2/uur) weekend]],0)</f>
        <v>0</v>
      </c>
      <c r="AE73" s="94">
        <f>Ruimtestaat[[#This Row],[uren / jaar weekend]]*Tariefsopbouw!$D$40</f>
        <v>0</v>
      </c>
      <c r="AF73" s="66">
        <f>Ruimtestaat[[#This Row],[Prest. (m2 /jaar) weekend]]+Ruimtestaat[[#This Row],[Prest. (m2 /jaar) werkdagen]]</f>
        <v>0</v>
      </c>
      <c r="AG73" s="66">
        <f>Ruimtestaat[[#This Row],[uren / jaar weekend]]+Ruimtestaat[[#This Row],[uren / jaar werkdagen]]</f>
        <v>0</v>
      </c>
      <c r="AH73" s="67">
        <f>Ruimtestaat[[#This Row],[kosten / jaar weekend]]+Ruimtestaat[[#This Row],[kosten / jaar werkdagen]]</f>
        <v>0</v>
      </c>
    </row>
    <row r="74" spans="1:34" ht="15" customHeight="1">
      <c r="A74" s="112">
        <v>1</v>
      </c>
      <c r="B74" s="23" t="str">
        <f>VLOOKUP(Ruimtestaat[[#This Row],[Code]],Locaties[#All],2,FALSE)</f>
        <v>RSG Levant</v>
      </c>
      <c r="C74" s="23" t="str">
        <f>VLOOKUP(Ruimtestaat[[#This Row],[Code]],Locaties[#All],4,FALSE)</f>
        <v>Horsterweg 192</v>
      </c>
      <c r="D74" s="23" t="str">
        <f>VLOOKUP(Ruimtestaat[[#This Row],[Code]],Locaties[#All],5,FALSE)</f>
        <v>3891 EV</v>
      </c>
      <c r="E74" s="23" t="str">
        <f>VLOOKUP(Ruimtestaat[[#This Row],[Code]],Locaties[#All],6,FALSE)</f>
        <v>Zeewolde</v>
      </c>
      <c r="F74" s="23"/>
      <c r="G74" s="60"/>
      <c r="H74" s="23" t="s">
        <v>573</v>
      </c>
      <c r="I74" s="27"/>
      <c r="J74" s="3" t="s">
        <v>640</v>
      </c>
      <c r="K74" s="23">
        <v>12</v>
      </c>
      <c r="L74" s="60" t="str">
        <f>VLOOKUP(K74,Ruimtegroepen[],2,FALSE)</f>
        <v>Kantine</v>
      </c>
      <c r="M74" s="23" t="s">
        <v>112</v>
      </c>
      <c r="N74" s="23" t="s">
        <v>137</v>
      </c>
      <c r="O74" s="86">
        <v>129</v>
      </c>
      <c r="P74" s="86"/>
      <c r="Q74" s="95" t="str">
        <f>LEFT(VLOOKUP(Ruimtestaat[[#This Row],[Ruimte code]],Ruimtegroepen[#All],4,1),2)</f>
        <v xml:space="preserve">V </v>
      </c>
      <c r="R74" s="86"/>
      <c r="S74" s="87"/>
      <c r="T74" s="87"/>
      <c r="U74" s="88">
        <f>IF(S74&gt;0,IF(RIGHT(Ruimtestaat[[#This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74" s="88">
        <f>IF(U74&gt;0,VLOOKUP($K74,Ruimtegroepen[],3,FALSE)*VLOOKUP($M74,Vloersoorten[],3,FALSE)*VLOOKUP($T74,Frequenties[],3,FALSE)*VLOOKUP($A74,Locaties[],3,FALSE),0)</f>
        <v>0</v>
      </c>
      <c r="W74" s="89">
        <f>Ruimtestaat[[#This Row],[Uitvoeringen werkdagen]]*Ruimtestaat[[#This Row],[Oppervlak (netto)]]</f>
        <v>0</v>
      </c>
      <c r="X74" s="90">
        <f>IF(V74&gt;0,Ruimtestaat[[#This Row],[Prest. (m2 /jaar) werkdagen]]/Ruimtestaat[[#This Row],[Norm (m2/uur) werkdagen]],0)</f>
        <v>0</v>
      </c>
      <c r="Y74" s="91">
        <f>Ruimtestaat[[#This Row],[uren / jaar werkdagen]]*Tariefsopbouw!$E$35</f>
        <v>0</v>
      </c>
      <c r="Z74" s="88"/>
      <c r="AA74" s="92">
        <f>IF(Ruimtestaat[[#This Row],[Frequentie weekend]]&gt;0,VALUE(LEFT(Z74,1))*S74,0)</f>
        <v>0</v>
      </c>
      <c r="AB74" s="88">
        <f>IF($AA74&gt;0,VLOOKUP($K74,Ruimtegroepen[],3,FALSE)*VLOOKUP($M74,Vloersoorten[],3,FALSE)*VLOOKUP($Z74,Frequenties[],3,FALSE)*VLOOKUP(#REF!,Locaties[],3,FALSE),0)</f>
        <v>0</v>
      </c>
      <c r="AC74" s="90">
        <f>Ruimtestaat[[#This Row],[Uitvoeringen weekend]]*Ruimtestaat[[#This Row],[Oppervlak (netto)]]</f>
        <v>0</v>
      </c>
      <c r="AD74" s="93">
        <f>IF(AC74&gt;0,Ruimtestaat[[#This Row],[Prest. (m2 /jaar) weekend]]/Ruimtestaat[[#This Row],[Norm (m2/uur) weekend]],0)</f>
        <v>0</v>
      </c>
      <c r="AE74" s="94">
        <f>Ruimtestaat[[#This Row],[uren / jaar weekend]]*Tariefsopbouw!$D$40</f>
        <v>0</v>
      </c>
      <c r="AF74" s="66">
        <f>Ruimtestaat[[#This Row],[Prest. (m2 /jaar) weekend]]+Ruimtestaat[[#This Row],[Prest. (m2 /jaar) werkdagen]]</f>
        <v>0</v>
      </c>
      <c r="AG74" s="66">
        <f>Ruimtestaat[[#This Row],[uren / jaar weekend]]+Ruimtestaat[[#This Row],[uren / jaar werkdagen]]</f>
        <v>0</v>
      </c>
      <c r="AH74" s="67">
        <f>Ruimtestaat[[#This Row],[kosten / jaar weekend]]+Ruimtestaat[[#This Row],[kosten / jaar werkdagen]]</f>
        <v>0</v>
      </c>
    </row>
    <row r="75" spans="1:34" ht="15" customHeight="1">
      <c r="A75" s="112">
        <v>1</v>
      </c>
      <c r="B75" s="23" t="str">
        <f>VLOOKUP(Ruimtestaat[[#This Row],[Code]],Locaties[#All],2,FALSE)</f>
        <v>RSG Levant</v>
      </c>
      <c r="C75" s="23" t="str">
        <f>VLOOKUP(Ruimtestaat[[#This Row],[Code]],Locaties[#All],4,FALSE)</f>
        <v>Horsterweg 192</v>
      </c>
      <c r="D75" s="23" t="str">
        <f>VLOOKUP(Ruimtestaat[[#This Row],[Code]],Locaties[#All],5,FALSE)</f>
        <v>3891 EV</v>
      </c>
      <c r="E75" s="23" t="str">
        <f>VLOOKUP(Ruimtestaat[[#This Row],[Code]],Locaties[#All],6,FALSE)</f>
        <v>Zeewolde</v>
      </c>
      <c r="F75" s="23"/>
      <c r="G75" s="60"/>
      <c r="H75" s="23" t="s">
        <v>573</v>
      </c>
      <c r="I75" s="27"/>
      <c r="J75" s="3" t="s">
        <v>640</v>
      </c>
      <c r="K75" s="23">
        <v>12</v>
      </c>
      <c r="L75" s="60" t="str">
        <f>VLOOKUP(K75,Ruimtegroepen[],2,FALSE)</f>
        <v>Kantine</v>
      </c>
      <c r="M75" s="23" t="s">
        <v>112</v>
      </c>
      <c r="N75" s="23" t="s">
        <v>137</v>
      </c>
      <c r="O75" s="86">
        <v>356</v>
      </c>
      <c r="P75" s="86"/>
      <c r="Q75" s="95" t="str">
        <f>LEFT(VLOOKUP(Ruimtestaat[[#This Row],[Ruimte code]],Ruimtegroepen[#All],4,1),2)</f>
        <v xml:space="preserve">V </v>
      </c>
      <c r="R75" s="86"/>
      <c r="S75" s="87"/>
      <c r="T75" s="87"/>
      <c r="U75" s="88">
        <f>IF(S75&gt;0,IF(RIGHT(Ruimtestaat[[#This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75" s="88">
        <f>IF(U75&gt;0,VLOOKUP($K75,Ruimtegroepen[],3,FALSE)*VLOOKUP($M75,Vloersoorten[],3,FALSE)*VLOOKUP($T75,Frequenties[],3,FALSE)*VLOOKUP($A75,Locaties[],3,FALSE),0)</f>
        <v>0</v>
      </c>
      <c r="W75" s="89">
        <f>Ruimtestaat[[#This Row],[Uitvoeringen werkdagen]]*Ruimtestaat[[#This Row],[Oppervlak (netto)]]</f>
        <v>0</v>
      </c>
      <c r="X75" s="90">
        <f>IF(V75&gt;0,Ruimtestaat[[#This Row],[Prest. (m2 /jaar) werkdagen]]/Ruimtestaat[[#This Row],[Norm (m2/uur) werkdagen]],0)</f>
        <v>0</v>
      </c>
      <c r="Y75" s="91">
        <f>Ruimtestaat[[#This Row],[uren / jaar werkdagen]]*Tariefsopbouw!$E$35</f>
        <v>0</v>
      </c>
      <c r="Z75" s="88"/>
      <c r="AA75" s="92">
        <f>IF(Ruimtestaat[[#This Row],[Frequentie weekend]]&gt;0,VALUE(LEFT(Z75,1))*S75,0)</f>
        <v>0</v>
      </c>
      <c r="AB75" s="88">
        <f>IF($AA75&gt;0,VLOOKUP($K75,Ruimtegroepen[],3,FALSE)*VLOOKUP($M75,Vloersoorten[],3,FALSE)*VLOOKUP($Z75,Frequenties[],3,FALSE)*VLOOKUP(#REF!,Locaties[],3,FALSE),0)</f>
        <v>0</v>
      </c>
      <c r="AC75" s="90">
        <f>Ruimtestaat[[#This Row],[Uitvoeringen weekend]]*Ruimtestaat[[#This Row],[Oppervlak (netto)]]</f>
        <v>0</v>
      </c>
      <c r="AD75" s="93">
        <f>IF(AC75&gt;0,Ruimtestaat[[#This Row],[Prest. (m2 /jaar) weekend]]/Ruimtestaat[[#This Row],[Norm (m2/uur) weekend]],0)</f>
        <v>0</v>
      </c>
      <c r="AE75" s="94">
        <f>Ruimtestaat[[#This Row],[uren / jaar weekend]]*Tariefsopbouw!$D$40</f>
        <v>0</v>
      </c>
      <c r="AF75" s="66">
        <f>Ruimtestaat[[#This Row],[Prest. (m2 /jaar) weekend]]+Ruimtestaat[[#This Row],[Prest. (m2 /jaar) werkdagen]]</f>
        <v>0</v>
      </c>
      <c r="AG75" s="66">
        <f>Ruimtestaat[[#This Row],[uren / jaar weekend]]+Ruimtestaat[[#This Row],[uren / jaar werkdagen]]</f>
        <v>0</v>
      </c>
      <c r="AH75" s="67">
        <f>Ruimtestaat[[#This Row],[kosten / jaar weekend]]+Ruimtestaat[[#This Row],[kosten / jaar werkdagen]]</f>
        <v>0</v>
      </c>
    </row>
    <row r="76" spans="1:34" ht="15" customHeight="1">
      <c r="A76" s="112">
        <v>1</v>
      </c>
      <c r="B76" s="23" t="str">
        <f>VLOOKUP(Ruimtestaat[[#This Row],[Code]],Locaties[#All],2,FALSE)</f>
        <v>RSG Levant</v>
      </c>
      <c r="C76" s="23" t="str">
        <f>VLOOKUP(Ruimtestaat[[#This Row],[Code]],Locaties[#All],4,FALSE)</f>
        <v>Horsterweg 192</v>
      </c>
      <c r="D76" s="23" t="str">
        <f>VLOOKUP(Ruimtestaat[[#This Row],[Code]],Locaties[#All],5,FALSE)</f>
        <v>3891 EV</v>
      </c>
      <c r="E76" s="23" t="str">
        <f>VLOOKUP(Ruimtestaat[[#This Row],[Code]],Locaties[#All],6,FALSE)</f>
        <v>Zeewolde</v>
      </c>
      <c r="F76" s="23"/>
      <c r="G76" s="60"/>
      <c r="H76" s="23" t="s">
        <v>573</v>
      </c>
      <c r="I76" s="27" t="s">
        <v>574</v>
      </c>
      <c r="J76" s="3" t="s">
        <v>641</v>
      </c>
      <c r="K76" s="23">
        <v>1</v>
      </c>
      <c r="L76" s="60" t="str">
        <f>VLOOKUP(K76,Ruimtegroepen[],2,FALSE)</f>
        <v>Magazijnen/bergingen</v>
      </c>
      <c r="M76" s="23" t="s">
        <v>112</v>
      </c>
      <c r="N76" s="23" t="s">
        <v>137</v>
      </c>
      <c r="O76" s="86">
        <v>8</v>
      </c>
      <c r="P76" s="86"/>
      <c r="Q76" s="95" t="str">
        <f>LEFT(VLOOKUP(Ruimtestaat[[#This Row],[Ruimte code]],Ruimtegroepen[#All],4,1),2)</f>
        <v xml:space="preserve">V </v>
      </c>
      <c r="R76" s="86"/>
      <c r="S76" s="87">
        <v>40</v>
      </c>
      <c r="T76" s="87" t="s">
        <v>15</v>
      </c>
      <c r="U76" s="88">
        <f>IF(S76&gt;0,IF(RIGHT(Ruimtestaat[[#This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V76" s="88">
        <f>IF(U76&gt;0,VLOOKUP($K76,Ruimtegroepen[],3,FALSE)*VLOOKUP($M76,Vloersoorten[],3,FALSE)*VLOOKUP($T76,Frequenties[],3,FALSE)*VLOOKUP($A76,Locaties[],3,FALSE),0)</f>
        <v>0</v>
      </c>
      <c r="W76" s="89">
        <f>Ruimtestaat[[#This Row],[Uitvoeringen werkdagen]]*Ruimtestaat[[#This Row],[Oppervlak (netto)]]</f>
        <v>320</v>
      </c>
      <c r="X76" s="90">
        <f>IF(V76&gt;0,Ruimtestaat[[#This Row],[Prest. (m2 /jaar) werkdagen]]/Ruimtestaat[[#This Row],[Norm (m2/uur) werkdagen]],0)</f>
        <v>0</v>
      </c>
      <c r="Y76" s="91">
        <f>Ruimtestaat[[#This Row],[uren / jaar werkdagen]]*Tariefsopbouw!$E$35</f>
        <v>0</v>
      </c>
      <c r="Z76" s="88"/>
      <c r="AA76" s="92">
        <f>IF(Ruimtestaat[[#This Row],[Frequentie weekend]]&gt;0,VALUE(LEFT(Z76,1))*S76,0)</f>
        <v>0</v>
      </c>
      <c r="AB76" s="88">
        <f>IF($AA76&gt;0,VLOOKUP($K76,Ruimtegroepen[],3,FALSE)*VLOOKUP($M76,Vloersoorten[],3,FALSE)*VLOOKUP($Z76,Frequenties[],3,FALSE)*VLOOKUP(#REF!,Locaties[],3,FALSE),0)</f>
        <v>0</v>
      </c>
      <c r="AC76" s="90">
        <f>Ruimtestaat[[#This Row],[Uitvoeringen weekend]]*Ruimtestaat[[#This Row],[Oppervlak (netto)]]</f>
        <v>0</v>
      </c>
      <c r="AD76" s="93">
        <f>IF(AC76&gt;0,Ruimtestaat[[#This Row],[Prest. (m2 /jaar) weekend]]/Ruimtestaat[[#This Row],[Norm (m2/uur) weekend]],0)</f>
        <v>0</v>
      </c>
      <c r="AE76" s="94">
        <f>Ruimtestaat[[#This Row],[uren / jaar weekend]]*Tariefsopbouw!$D$40</f>
        <v>0</v>
      </c>
      <c r="AF76" s="66">
        <f>Ruimtestaat[[#This Row],[Prest. (m2 /jaar) weekend]]+Ruimtestaat[[#This Row],[Prest. (m2 /jaar) werkdagen]]</f>
        <v>320</v>
      </c>
      <c r="AG76" s="66">
        <f>Ruimtestaat[[#This Row],[uren / jaar weekend]]+Ruimtestaat[[#This Row],[uren / jaar werkdagen]]</f>
        <v>0</v>
      </c>
      <c r="AH76" s="67">
        <f>Ruimtestaat[[#This Row],[kosten / jaar weekend]]+Ruimtestaat[[#This Row],[kosten / jaar werkdagen]]</f>
        <v>0</v>
      </c>
    </row>
    <row r="77" spans="1:34" ht="15" customHeight="1">
      <c r="A77" s="112">
        <v>1</v>
      </c>
      <c r="B77" s="23" t="str">
        <f>VLOOKUP(Ruimtestaat[[#This Row],[Code]],Locaties[#All],2,FALSE)</f>
        <v>RSG Levant</v>
      </c>
      <c r="C77" s="23" t="str">
        <f>VLOOKUP(Ruimtestaat[[#This Row],[Code]],Locaties[#All],4,FALSE)</f>
        <v>Horsterweg 192</v>
      </c>
      <c r="D77" s="23" t="str">
        <f>VLOOKUP(Ruimtestaat[[#This Row],[Code]],Locaties[#All],5,FALSE)</f>
        <v>3891 EV</v>
      </c>
      <c r="E77" s="23" t="str">
        <f>VLOOKUP(Ruimtestaat[[#This Row],[Code]],Locaties[#All],6,FALSE)</f>
        <v>Zeewolde</v>
      </c>
      <c r="F77" s="23"/>
      <c r="G77" s="60"/>
      <c r="H77" s="23" t="s">
        <v>573</v>
      </c>
      <c r="I77" s="27" t="s">
        <v>575</v>
      </c>
      <c r="J77" s="3" t="s">
        <v>543</v>
      </c>
      <c r="K77" s="23">
        <v>8</v>
      </c>
      <c r="L77" s="60" t="str">
        <f>VLOOKUP(K77,Ruimtegroepen[],2,FALSE)</f>
        <v>Mediatheek / OLC</v>
      </c>
      <c r="M77" s="23" t="s">
        <v>112</v>
      </c>
      <c r="N77" s="23" t="s">
        <v>137</v>
      </c>
      <c r="O77" s="86">
        <v>17</v>
      </c>
      <c r="P77" s="86"/>
      <c r="Q77" s="95" t="str">
        <f>LEFT(VLOOKUP(Ruimtestaat[[#This Row],[Ruimte code]],Ruimtegroepen[#All],4,1),2)</f>
        <v xml:space="preserve">L </v>
      </c>
      <c r="R77" s="86"/>
      <c r="S77" s="87">
        <v>40</v>
      </c>
      <c r="T77" s="87" t="s">
        <v>2</v>
      </c>
      <c r="U77" s="88">
        <f>IF(S77&gt;0,IF(RIGHT(Ruimtestaat[[#This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77" s="88">
        <f>IF(U77&gt;0,VLOOKUP($K77,Ruimtegroepen[],3,FALSE)*VLOOKUP($M77,Vloersoorten[],3,FALSE)*VLOOKUP($T77,Frequenties[],3,FALSE)*VLOOKUP($A77,Locaties[],3,FALSE),0)</f>
        <v>0</v>
      </c>
      <c r="W77" s="89">
        <f>Ruimtestaat[[#This Row],[Uitvoeringen werkdagen]]*Ruimtestaat[[#This Row],[Oppervlak (netto)]]</f>
        <v>3400</v>
      </c>
      <c r="X77" s="90">
        <f>IF(V77&gt;0,Ruimtestaat[[#This Row],[Prest. (m2 /jaar) werkdagen]]/Ruimtestaat[[#This Row],[Norm (m2/uur) werkdagen]],0)</f>
        <v>0</v>
      </c>
      <c r="Y77" s="91">
        <f>Ruimtestaat[[#This Row],[uren / jaar werkdagen]]*Tariefsopbouw!$E$35</f>
        <v>0</v>
      </c>
      <c r="Z77" s="88"/>
      <c r="AA77" s="92">
        <f>IF(Ruimtestaat[[#This Row],[Frequentie weekend]]&gt;0,VALUE(LEFT(Z77,1))*S77,0)</f>
        <v>0</v>
      </c>
      <c r="AB77" s="88">
        <f>IF($AA77&gt;0,VLOOKUP($K77,Ruimtegroepen[],3,FALSE)*VLOOKUP($M77,Vloersoorten[],3,FALSE)*VLOOKUP($Z77,Frequenties[],3,FALSE)*VLOOKUP(#REF!,Locaties[],3,FALSE),0)</f>
        <v>0</v>
      </c>
      <c r="AC77" s="90">
        <f>Ruimtestaat[[#This Row],[Uitvoeringen weekend]]*Ruimtestaat[[#This Row],[Oppervlak (netto)]]</f>
        <v>0</v>
      </c>
      <c r="AD77" s="93">
        <f>IF(AC77&gt;0,Ruimtestaat[[#This Row],[Prest. (m2 /jaar) weekend]]/Ruimtestaat[[#This Row],[Norm (m2/uur) weekend]],0)</f>
        <v>0</v>
      </c>
      <c r="AE77" s="94">
        <f>Ruimtestaat[[#This Row],[uren / jaar weekend]]*Tariefsopbouw!$D$40</f>
        <v>0</v>
      </c>
      <c r="AF77" s="66">
        <f>Ruimtestaat[[#This Row],[Prest. (m2 /jaar) weekend]]+Ruimtestaat[[#This Row],[Prest. (m2 /jaar) werkdagen]]</f>
        <v>3400</v>
      </c>
      <c r="AG77" s="66">
        <f>Ruimtestaat[[#This Row],[uren / jaar weekend]]+Ruimtestaat[[#This Row],[uren / jaar werkdagen]]</f>
        <v>0</v>
      </c>
      <c r="AH77" s="67">
        <f>Ruimtestaat[[#This Row],[kosten / jaar weekend]]+Ruimtestaat[[#This Row],[kosten / jaar werkdagen]]</f>
        <v>0</v>
      </c>
    </row>
    <row r="78" spans="1:34" ht="15" customHeight="1">
      <c r="A78" s="112">
        <v>1</v>
      </c>
      <c r="B78" s="23" t="str">
        <f>VLOOKUP(Ruimtestaat[[#This Row],[Code]],Locaties[#All],2,FALSE)</f>
        <v>RSG Levant</v>
      </c>
      <c r="C78" s="23" t="str">
        <f>VLOOKUP(Ruimtestaat[[#This Row],[Code]],Locaties[#All],4,FALSE)</f>
        <v>Horsterweg 192</v>
      </c>
      <c r="D78" s="23" t="str">
        <f>VLOOKUP(Ruimtestaat[[#This Row],[Code]],Locaties[#All],5,FALSE)</f>
        <v>3891 EV</v>
      </c>
      <c r="E78" s="23" t="str">
        <f>VLOOKUP(Ruimtestaat[[#This Row],[Code]],Locaties[#All],6,FALSE)</f>
        <v>Zeewolde</v>
      </c>
      <c r="F78" s="23"/>
      <c r="G78" s="60"/>
      <c r="H78" s="23" t="s">
        <v>573</v>
      </c>
      <c r="I78" s="27" t="s">
        <v>576</v>
      </c>
      <c r="J78" s="3" t="s">
        <v>382</v>
      </c>
      <c r="K78" s="23">
        <v>6</v>
      </c>
      <c r="L78" s="60" t="str">
        <f>VLOOKUP(K78,Ruimtegroepen[],2,FALSE)</f>
        <v>Gangen/hallen</v>
      </c>
      <c r="M78" s="23" t="s">
        <v>112</v>
      </c>
      <c r="N78" s="23" t="s">
        <v>137</v>
      </c>
      <c r="O78" s="86">
        <v>54</v>
      </c>
      <c r="P78" s="86"/>
      <c r="Q78" s="95" t="str">
        <f>LEFT(VLOOKUP(Ruimtestaat[[#This Row],[Ruimte code]],Ruimtegroepen[#All],4,1),2)</f>
        <v xml:space="preserve">V </v>
      </c>
      <c r="R78" s="86"/>
      <c r="S78" s="87">
        <v>40</v>
      </c>
      <c r="T78" s="87" t="s">
        <v>2</v>
      </c>
      <c r="U78" s="88">
        <f>IF(S78&gt;0,IF(RIGHT(Ruimtestaat[[#This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78" s="88">
        <f>IF(U78&gt;0,VLOOKUP($K78,Ruimtegroepen[],3,FALSE)*VLOOKUP($M78,Vloersoorten[],3,FALSE)*VLOOKUP($T78,Frequenties[],3,FALSE)*VLOOKUP($A78,Locaties[],3,FALSE),0)</f>
        <v>0</v>
      </c>
      <c r="W78" s="89">
        <f>Ruimtestaat[[#This Row],[Uitvoeringen werkdagen]]*Ruimtestaat[[#This Row],[Oppervlak (netto)]]</f>
        <v>10800</v>
      </c>
      <c r="X78" s="90">
        <f>IF(V78&gt;0,Ruimtestaat[[#This Row],[Prest. (m2 /jaar) werkdagen]]/Ruimtestaat[[#This Row],[Norm (m2/uur) werkdagen]],0)</f>
        <v>0</v>
      </c>
      <c r="Y78" s="91">
        <f>Ruimtestaat[[#This Row],[uren / jaar werkdagen]]*Tariefsopbouw!$E$35</f>
        <v>0</v>
      </c>
      <c r="Z78" s="88"/>
      <c r="AA78" s="92">
        <f>IF(Ruimtestaat[[#This Row],[Frequentie weekend]]&gt;0,VALUE(LEFT(Z78,1))*S78,0)</f>
        <v>0</v>
      </c>
      <c r="AB78" s="88">
        <f>IF($AA78&gt;0,VLOOKUP($K78,Ruimtegroepen[],3,FALSE)*VLOOKUP($M78,Vloersoorten[],3,FALSE)*VLOOKUP($Z78,Frequenties[],3,FALSE)*VLOOKUP(#REF!,Locaties[],3,FALSE),0)</f>
        <v>0</v>
      </c>
      <c r="AC78" s="90">
        <f>Ruimtestaat[[#This Row],[Uitvoeringen weekend]]*Ruimtestaat[[#This Row],[Oppervlak (netto)]]</f>
        <v>0</v>
      </c>
      <c r="AD78" s="93">
        <f>IF(AC78&gt;0,Ruimtestaat[[#This Row],[Prest. (m2 /jaar) weekend]]/Ruimtestaat[[#This Row],[Norm (m2/uur) weekend]],0)</f>
        <v>0</v>
      </c>
      <c r="AE78" s="94">
        <f>Ruimtestaat[[#This Row],[uren / jaar weekend]]*Tariefsopbouw!$D$40</f>
        <v>0</v>
      </c>
      <c r="AF78" s="66">
        <f>Ruimtestaat[[#This Row],[Prest. (m2 /jaar) weekend]]+Ruimtestaat[[#This Row],[Prest. (m2 /jaar) werkdagen]]</f>
        <v>10800</v>
      </c>
      <c r="AG78" s="66">
        <f>Ruimtestaat[[#This Row],[uren / jaar weekend]]+Ruimtestaat[[#This Row],[uren / jaar werkdagen]]</f>
        <v>0</v>
      </c>
      <c r="AH78" s="67">
        <f>Ruimtestaat[[#This Row],[kosten / jaar weekend]]+Ruimtestaat[[#This Row],[kosten / jaar werkdagen]]</f>
        <v>0</v>
      </c>
    </row>
    <row r="79" spans="1:34" ht="15" customHeight="1">
      <c r="A79" s="112">
        <v>1</v>
      </c>
      <c r="B79" s="23" t="str">
        <f>VLOOKUP(Ruimtestaat[[#This Row],[Code]],Locaties[#All],2,FALSE)</f>
        <v>RSG Levant</v>
      </c>
      <c r="C79" s="23" t="str">
        <f>VLOOKUP(Ruimtestaat[[#This Row],[Code]],Locaties[#All],4,FALSE)</f>
        <v>Horsterweg 192</v>
      </c>
      <c r="D79" s="23" t="str">
        <f>VLOOKUP(Ruimtestaat[[#This Row],[Code]],Locaties[#All],5,FALSE)</f>
        <v>3891 EV</v>
      </c>
      <c r="E79" s="23" t="str">
        <f>VLOOKUP(Ruimtestaat[[#This Row],[Code]],Locaties[#All],6,FALSE)</f>
        <v>Zeewolde</v>
      </c>
      <c r="F79" s="23"/>
      <c r="G79" s="60"/>
      <c r="H79" s="23" t="s">
        <v>573</v>
      </c>
      <c r="I79" s="27" t="s">
        <v>577</v>
      </c>
      <c r="J79" s="3" t="s">
        <v>382</v>
      </c>
      <c r="K79" s="23">
        <v>6</v>
      </c>
      <c r="L79" s="60" t="str">
        <f>VLOOKUP(K79,Ruimtegroepen[],2,FALSE)</f>
        <v>Gangen/hallen</v>
      </c>
      <c r="M79" s="23" t="s">
        <v>112</v>
      </c>
      <c r="N79" s="23" t="s">
        <v>137</v>
      </c>
      <c r="O79" s="86">
        <v>56</v>
      </c>
      <c r="P79" s="86"/>
      <c r="Q79" s="95" t="str">
        <f>LEFT(VLOOKUP(Ruimtestaat[[#This Row],[Ruimte code]],Ruimtegroepen[#All],4,1),2)</f>
        <v xml:space="preserve">V </v>
      </c>
      <c r="R79" s="86"/>
      <c r="S79" s="87">
        <v>40</v>
      </c>
      <c r="T79" s="87" t="s">
        <v>2</v>
      </c>
      <c r="U79" s="88">
        <f>IF(S79&gt;0,IF(RIGHT(Ruimtestaat[[#This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79" s="88">
        <f>IF(U79&gt;0,VLOOKUP($K79,Ruimtegroepen[],3,FALSE)*VLOOKUP($M79,Vloersoorten[],3,FALSE)*VLOOKUP($T79,Frequenties[],3,FALSE)*VLOOKUP($A79,Locaties[],3,FALSE),0)</f>
        <v>0</v>
      </c>
      <c r="W79" s="89">
        <f>Ruimtestaat[[#This Row],[Uitvoeringen werkdagen]]*Ruimtestaat[[#This Row],[Oppervlak (netto)]]</f>
        <v>11200</v>
      </c>
      <c r="X79" s="90">
        <f>IF(V79&gt;0,Ruimtestaat[[#This Row],[Prest. (m2 /jaar) werkdagen]]/Ruimtestaat[[#This Row],[Norm (m2/uur) werkdagen]],0)</f>
        <v>0</v>
      </c>
      <c r="Y79" s="91">
        <f>Ruimtestaat[[#This Row],[uren / jaar werkdagen]]*Tariefsopbouw!$E$35</f>
        <v>0</v>
      </c>
      <c r="Z79" s="88"/>
      <c r="AA79" s="92">
        <f>IF(Ruimtestaat[[#This Row],[Frequentie weekend]]&gt;0,VALUE(LEFT(Z79,1))*S79,0)</f>
        <v>0</v>
      </c>
      <c r="AB79" s="88">
        <f>IF($AA79&gt;0,VLOOKUP($K79,Ruimtegroepen[],3,FALSE)*VLOOKUP($M79,Vloersoorten[],3,FALSE)*VLOOKUP($Z79,Frequenties[],3,FALSE)*VLOOKUP(#REF!,Locaties[],3,FALSE),0)</f>
        <v>0</v>
      </c>
      <c r="AC79" s="90">
        <f>Ruimtestaat[[#This Row],[Uitvoeringen weekend]]*Ruimtestaat[[#This Row],[Oppervlak (netto)]]</f>
        <v>0</v>
      </c>
      <c r="AD79" s="93">
        <f>IF(AC79&gt;0,Ruimtestaat[[#This Row],[Prest. (m2 /jaar) weekend]]/Ruimtestaat[[#This Row],[Norm (m2/uur) weekend]],0)</f>
        <v>0</v>
      </c>
      <c r="AE79" s="94">
        <f>Ruimtestaat[[#This Row],[uren / jaar weekend]]*Tariefsopbouw!$D$40</f>
        <v>0</v>
      </c>
      <c r="AF79" s="66">
        <f>Ruimtestaat[[#This Row],[Prest. (m2 /jaar) weekend]]+Ruimtestaat[[#This Row],[Prest. (m2 /jaar) werkdagen]]</f>
        <v>11200</v>
      </c>
      <c r="AG79" s="66">
        <f>Ruimtestaat[[#This Row],[uren / jaar weekend]]+Ruimtestaat[[#This Row],[uren / jaar werkdagen]]</f>
        <v>0</v>
      </c>
      <c r="AH79" s="67">
        <f>Ruimtestaat[[#This Row],[kosten / jaar weekend]]+Ruimtestaat[[#This Row],[kosten / jaar werkdagen]]</f>
        <v>0</v>
      </c>
    </row>
    <row r="80" spans="1:34" ht="15" customHeight="1">
      <c r="A80" s="112">
        <v>1</v>
      </c>
      <c r="B80" s="23" t="str">
        <f>VLOOKUP(Ruimtestaat[[#This Row],[Code]],Locaties[#All],2,FALSE)</f>
        <v>RSG Levant</v>
      </c>
      <c r="C80" s="23" t="str">
        <f>VLOOKUP(Ruimtestaat[[#This Row],[Code]],Locaties[#All],4,FALSE)</f>
        <v>Horsterweg 192</v>
      </c>
      <c r="D80" s="23" t="str">
        <f>VLOOKUP(Ruimtestaat[[#This Row],[Code]],Locaties[#All],5,FALSE)</f>
        <v>3891 EV</v>
      </c>
      <c r="E80" s="23" t="str">
        <f>VLOOKUP(Ruimtestaat[[#This Row],[Code]],Locaties[#All],6,FALSE)</f>
        <v>Zeewolde</v>
      </c>
      <c r="F80" s="23"/>
      <c r="G80" s="60"/>
      <c r="H80" s="23" t="s">
        <v>573</v>
      </c>
      <c r="I80" s="27" t="s">
        <v>578</v>
      </c>
      <c r="J80" s="3" t="s">
        <v>537</v>
      </c>
      <c r="K80" s="23">
        <v>10</v>
      </c>
      <c r="L80" s="60" t="str">
        <f>VLOOKUP(K80,Ruimtegroepen[],2,FALSE)</f>
        <v>Trappenhuizen/lift</v>
      </c>
      <c r="M80" s="23" t="s">
        <v>112</v>
      </c>
      <c r="N80" s="23" t="s">
        <v>137</v>
      </c>
      <c r="O80" s="86">
        <v>22</v>
      </c>
      <c r="P80" s="86"/>
      <c r="Q80" s="95" t="str">
        <f>LEFT(VLOOKUP(Ruimtestaat[[#This Row],[Ruimte code]],Ruimtegroepen[#All],4,1),2)</f>
        <v xml:space="preserve">V </v>
      </c>
      <c r="R80" s="86"/>
      <c r="S80" s="87">
        <v>40</v>
      </c>
      <c r="T80" s="87" t="s">
        <v>2</v>
      </c>
      <c r="U80" s="88">
        <f>IF(S80&gt;0,IF(RIGHT(Ruimtestaat[[#This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80" s="88">
        <f>IF(U80&gt;0,VLOOKUP($K80,Ruimtegroepen[],3,FALSE)*VLOOKUP($M80,Vloersoorten[],3,FALSE)*VLOOKUP($T80,Frequenties[],3,FALSE)*VLOOKUP($A80,Locaties[],3,FALSE),0)</f>
        <v>0</v>
      </c>
      <c r="W80" s="89">
        <f>Ruimtestaat[[#This Row],[Uitvoeringen werkdagen]]*Ruimtestaat[[#This Row],[Oppervlak (netto)]]</f>
        <v>4400</v>
      </c>
      <c r="X80" s="90">
        <f>IF(V80&gt;0,Ruimtestaat[[#This Row],[Prest. (m2 /jaar) werkdagen]]/Ruimtestaat[[#This Row],[Norm (m2/uur) werkdagen]],0)</f>
        <v>0</v>
      </c>
      <c r="Y80" s="91">
        <f>Ruimtestaat[[#This Row],[uren / jaar werkdagen]]*Tariefsopbouw!$E$35</f>
        <v>0</v>
      </c>
      <c r="Z80" s="88"/>
      <c r="AA80" s="92">
        <f>IF(Ruimtestaat[[#This Row],[Frequentie weekend]]&gt;0,VALUE(LEFT(Z80,1))*S80,0)</f>
        <v>0</v>
      </c>
      <c r="AB80" s="88">
        <f>IF($AA80&gt;0,VLOOKUP($K80,Ruimtegroepen[],3,FALSE)*VLOOKUP($M80,Vloersoorten[],3,FALSE)*VLOOKUP($Z80,Frequenties[],3,FALSE)*VLOOKUP(#REF!,Locaties[],3,FALSE),0)</f>
        <v>0</v>
      </c>
      <c r="AC80" s="90">
        <f>Ruimtestaat[[#This Row],[Uitvoeringen weekend]]*Ruimtestaat[[#This Row],[Oppervlak (netto)]]</f>
        <v>0</v>
      </c>
      <c r="AD80" s="93">
        <f>IF(AC80&gt;0,Ruimtestaat[[#This Row],[Prest. (m2 /jaar) weekend]]/Ruimtestaat[[#This Row],[Norm (m2/uur) weekend]],0)</f>
        <v>0</v>
      </c>
      <c r="AE80" s="94">
        <f>Ruimtestaat[[#This Row],[uren / jaar weekend]]*Tariefsopbouw!$D$40</f>
        <v>0</v>
      </c>
      <c r="AF80" s="66">
        <f>Ruimtestaat[[#This Row],[Prest. (m2 /jaar) weekend]]+Ruimtestaat[[#This Row],[Prest. (m2 /jaar) werkdagen]]</f>
        <v>4400</v>
      </c>
      <c r="AG80" s="66">
        <f>Ruimtestaat[[#This Row],[uren / jaar weekend]]+Ruimtestaat[[#This Row],[uren / jaar werkdagen]]</f>
        <v>0</v>
      </c>
      <c r="AH80" s="67">
        <f>Ruimtestaat[[#This Row],[kosten / jaar weekend]]+Ruimtestaat[[#This Row],[kosten / jaar werkdagen]]</f>
        <v>0</v>
      </c>
    </row>
    <row r="81" spans="1:34" ht="15" customHeight="1">
      <c r="A81" s="112">
        <v>1</v>
      </c>
      <c r="B81" s="23" t="str">
        <f>VLOOKUP(Ruimtestaat[[#This Row],[Code]],Locaties[#All],2,FALSE)</f>
        <v>RSG Levant</v>
      </c>
      <c r="C81" s="23" t="str">
        <f>VLOOKUP(Ruimtestaat[[#This Row],[Code]],Locaties[#All],4,FALSE)</f>
        <v>Horsterweg 192</v>
      </c>
      <c r="D81" s="23" t="str">
        <f>VLOOKUP(Ruimtestaat[[#This Row],[Code]],Locaties[#All],5,FALSE)</f>
        <v>3891 EV</v>
      </c>
      <c r="E81" s="23" t="str">
        <f>VLOOKUP(Ruimtestaat[[#This Row],[Code]],Locaties[#All],6,FALSE)</f>
        <v>Zeewolde</v>
      </c>
      <c r="F81" s="23"/>
      <c r="G81" s="60"/>
      <c r="H81" s="23" t="s">
        <v>573</v>
      </c>
      <c r="I81" s="27" t="s">
        <v>579</v>
      </c>
      <c r="J81" s="3" t="s">
        <v>382</v>
      </c>
      <c r="K81" s="23">
        <v>6</v>
      </c>
      <c r="L81" s="60" t="str">
        <f>VLOOKUP(K81,Ruimtegroepen[],2,FALSE)</f>
        <v>Gangen/hallen</v>
      </c>
      <c r="M81" s="23" t="s">
        <v>112</v>
      </c>
      <c r="N81" s="23" t="s">
        <v>137</v>
      </c>
      <c r="O81" s="86">
        <v>29</v>
      </c>
      <c r="P81" s="86"/>
      <c r="Q81" s="95" t="str">
        <f>LEFT(VLOOKUP(Ruimtestaat[[#This Row],[Ruimte code]],Ruimtegroepen[#All],4,1),2)</f>
        <v xml:space="preserve">V </v>
      </c>
      <c r="R81" s="86"/>
      <c r="S81" s="87">
        <v>40</v>
      </c>
      <c r="T81" s="87" t="s">
        <v>2</v>
      </c>
      <c r="U81" s="88">
        <f>IF(S81&gt;0,IF(RIGHT(Ruimtestaat[[#This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81" s="88">
        <f>IF(U81&gt;0,VLOOKUP($K81,Ruimtegroepen[],3,FALSE)*VLOOKUP($M81,Vloersoorten[],3,FALSE)*VLOOKUP($T81,Frequenties[],3,FALSE)*VLOOKUP($A81,Locaties[],3,FALSE),0)</f>
        <v>0</v>
      </c>
      <c r="W81" s="89">
        <f>Ruimtestaat[[#This Row],[Uitvoeringen werkdagen]]*Ruimtestaat[[#This Row],[Oppervlak (netto)]]</f>
        <v>5800</v>
      </c>
      <c r="X81" s="90">
        <f>IF(V81&gt;0,Ruimtestaat[[#This Row],[Prest. (m2 /jaar) werkdagen]]/Ruimtestaat[[#This Row],[Norm (m2/uur) werkdagen]],0)</f>
        <v>0</v>
      </c>
      <c r="Y81" s="91">
        <f>Ruimtestaat[[#This Row],[uren / jaar werkdagen]]*Tariefsopbouw!$E$35</f>
        <v>0</v>
      </c>
      <c r="Z81" s="88"/>
      <c r="AA81" s="92">
        <f>IF(Ruimtestaat[[#This Row],[Frequentie weekend]]&gt;0,VALUE(LEFT(Z81,1))*S81,0)</f>
        <v>0</v>
      </c>
      <c r="AB81" s="88">
        <f>IF($AA81&gt;0,VLOOKUP($K81,Ruimtegroepen[],3,FALSE)*VLOOKUP($M81,Vloersoorten[],3,FALSE)*VLOOKUP($Z81,Frequenties[],3,FALSE)*VLOOKUP(#REF!,Locaties[],3,FALSE),0)</f>
        <v>0</v>
      </c>
      <c r="AC81" s="90">
        <f>Ruimtestaat[[#This Row],[Uitvoeringen weekend]]*Ruimtestaat[[#This Row],[Oppervlak (netto)]]</f>
        <v>0</v>
      </c>
      <c r="AD81" s="93">
        <f>IF(AC81&gt;0,Ruimtestaat[[#This Row],[Prest. (m2 /jaar) weekend]]/Ruimtestaat[[#This Row],[Norm (m2/uur) weekend]],0)</f>
        <v>0</v>
      </c>
      <c r="AE81" s="94">
        <f>Ruimtestaat[[#This Row],[uren / jaar weekend]]*Tariefsopbouw!$D$40</f>
        <v>0</v>
      </c>
      <c r="AF81" s="66">
        <f>Ruimtestaat[[#This Row],[Prest. (m2 /jaar) weekend]]+Ruimtestaat[[#This Row],[Prest. (m2 /jaar) werkdagen]]</f>
        <v>5800</v>
      </c>
      <c r="AG81" s="66">
        <f>Ruimtestaat[[#This Row],[uren / jaar weekend]]+Ruimtestaat[[#This Row],[uren / jaar werkdagen]]</f>
        <v>0</v>
      </c>
      <c r="AH81" s="67">
        <f>Ruimtestaat[[#This Row],[kosten / jaar weekend]]+Ruimtestaat[[#This Row],[kosten / jaar werkdagen]]</f>
        <v>0</v>
      </c>
    </row>
    <row r="82" spans="1:34" ht="15" customHeight="1">
      <c r="A82" s="112">
        <v>1</v>
      </c>
      <c r="B82" s="23" t="str">
        <f>VLOOKUP(Ruimtestaat[[#This Row],[Code]],Locaties[#All],2,FALSE)</f>
        <v>RSG Levant</v>
      </c>
      <c r="C82" s="23" t="str">
        <f>VLOOKUP(Ruimtestaat[[#This Row],[Code]],Locaties[#All],4,FALSE)</f>
        <v>Horsterweg 192</v>
      </c>
      <c r="D82" s="23" t="str">
        <f>VLOOKUP(Ruimtestaat[[#This Row],[Code]],Locaties[#All],5,FALSE)</f>
        <v>3891 EV</v>
      </c>
      <c r="E82" s="23" t="str">
        <f>VLOOKUP(Ruimtestaat[[#This Row],[Code]],Locaties[#All],6,FALSE)</f>
        <v>Zeewolde</v>
      </c>
      <c r="F82" s="23"/>
      <c r="G82" s="60"/>
      <c r="H82" s="23" t="s">
        <v>573</v>
      </c>
      <c r="I82" s="27" t="s">
        <v>580</v>
      </c>
      <c r="J82" s="3" t="s">
        <v>382</v>
      </c>
      <c r="K82" s="23">
        <v>6</v>
      </c>
      <c r="L82" s="60" t="str">
        <f>VLOOKUP(K82,Ruimtegroepen[],2,FALSE)</f>
        <v>Gangen/hallen</v>
      </c>
      <c r="M82" s="23" t="s">
        <v>112</v>
      </c>
      <c r="N82" s="23" t="s">
        <v>137</v>
      </c>
      <c r="O82" s="86">
        <v>35</v>
      </c>
      <c r="P82" s="86"/>
      <c r="Q82" s="95" t="str">
        <f>LEFT(VLOOKUP(Ruimtestaat[[#This Row],[Ruimte code]],Ruimtegroepen[#All],4,1),2)</f>
        <v xml:space="preserve">V </v>
      </c>
      <c r="R82" s="86"/>
      <c r="S82" s="87">
        <v>40</v>
      </c>
      <c r="T82" s="87" t="s">
        <v>2</v>
      </c>
      <c r="U82" s="88">
        <f>IF(S82&gt;0,IF(RIGHT(Ruimtestaat[[#This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82" s="88">
        <f>IF(U82&gt;0,VLOOKUP($K82,Ruimtegroepen[],3,FALSE)*VLOOKUP($M82,Vloersoorten[],3,FALSE)*VLOOKUP($T82,Frequenties[],3,FALSE)*VLOOKUP($A82,Locaties[],3,FALSE),0)</f>
        <v>0</v>
      </c>
      <c r="W82" s="89">
        <f>Ruimtestaat[[#This Row],[Uitvoeringen werkdagen]]*Ruimtestaat[[#This Row],[Oppervlak (netto)]]</f>
        <v>7000</v>
      </c>
      <c r="X82" s="90">
        <f>IF(V82&gt;0,Ruimtestaat[[#This Row],[Prest. (m2 /jaar) werkdagen]]/Ruimtestaat[[#This Row],[Norm (m2/uur) werkdagen]],0)</f>
        <v>0</v>
      </c>
      <c r="Y82" s="91">
        <f>Ruimtestaat[[#This Row],[uren / jaar werkdagen]]*Tariefsopbouw!$E$35</f>
        <v>0</v>
      </c>
      <c r="Z82" s="88"/>
      <c r="AA82" s="92">
        <f>IF(Ruimtestaat[[#This Row],[Frequentie weekend]]&gt;0,VALUE(LEFT(Z82,1))*S82,0)</f>
        <v>0</v>
      </c>
      <c r="AB82" s="88">
        <f>IF($AA82&gt;0,VLOOKUP($K82,Ruimtegroepen[],3,FALSE)*VLOOKUP($M82,Vloersoorten[],3,FALSE)*VLOOKUP($Z82,Frequenties[],3,FALSE)*VLOOKUP(#REF!,Locaties[],3,FALSE),0)</f>
        <v>0</v>
      </c>
      <c r="AC82" s="90">
        <f>Ruimtestaat[[#This Row],[Uitvoeringen weekend]]*Ruimtestaat[[#This Row],[Oppervlak (netto)]]</f>
        <v>0</v>
      </c>
      <c r="AD82" s="93">
        <f>IF(AC82&gt;0,Ruimtestaat[[#This Row],[Prest. (m2 /jaar) weekend]]/Ruimtestaat[[#This Row],[Norm (m2/uur) weekend]],0)</f>
        <v>0</v>
      </c>
      <c r="AE82" s="94">
        <f>Ruimtestaat[[#This Row],[uren / jaar weekend]]*Tariefsopbouw!$D$40</f>
        <v>0</v>
      </c>
      <c r="AF82" s="66">
        <f>Ruimtestaat[[#This Row],[Prest. (m2 /jaar) weekend]]+Ruimtestaat[[#This Row],[Prest. (m2 /jaar) werkdagen]]</f>
        <v>7000</v>
      </c>
      <c r="AG82" s="66">
        <f>Ruimtestaat[[#This Row],[uren / jaar weekend]]+Ruimtestaat[[#This Row],[uren / jaar werkdagen]]</f>
        <v>0</v>
      </c>
      <c r="AH82" s="67">
        <f>Ruimtestaat[[#This Row],[kosten / jaar weekend]]+Ruimtestaat[[#This Row],[kosten / jaar werkdagen]]</f>
        <v>0</v>
      </c>
    </row>
    <row r="83" spans="1:34" ht="15" customHeight="1">
      <c r="A83" s="112">
        <v>1</v>
      </c>
      <c r="B83" s="23" t="str">
        <f>VLOOKUP(Ruimtestaat[[#This Row],[Code]],Locaties[#All],2,FALSE)</f>
        <v>RSG Levant</v>
      </c>
      <c r="C83" s="23" t="str">
        <f>VLOOKUP(Ruimtestaat[[#This Row],[Code]],Locaties[#All],4,FALSE)</f>
        <v>Horsterweg 192</v>
      </c>
      <c r="D83" s="23" t="str">
        <f>VLOOKUP(Ruimtestaat[[#This Row],[Code]],Locaties[#All],5,FALSE)</f>
        <v>3891 EV</v>
      </c>
      <c r="E83" s="23" t="str">
        <f>VLOOKUP(Ruimtestaat[[#This Row],[Code]],Locaties[#All],6,FALSE)</f>
        <v>Zeewolde</v>
      </c>
      <c r="F83" s="23"/>
      <c r="G83" s="60"/>
      <c r="H83" s="23" t="s">
        <v>573</v>
      </c>
      <c r="I83" s="27" t="s">
        <v>581</v>
      </c>
      <c r="J83" s="3" t="s">
        <v>642</v>
      </c>
      <c r="K83" s="23">
        <v>5</v>
      </c>
      <c r="L83" s="60" t="str">
        <f>VLOOKUP(K83,Ruimtegroepen[],2,FALSE)</f>
        <v>Sanitair</v>
      </c>
      <c r="M83" s="23" t="s">
        <v>113</v>
      </c>
      <c r="N83" s="23" t="s">
        <v>661</v>
      </c>
      <c r="O83" s="86">
        <v>6</v>
      </c>
      <c r="P83" s="86"/>
      <c r="Q83" s="95" t="str">
        <f>LEFT(VLOOKUP(Ruimtestaat[[#This Row],[Ruimte code]],Ruimtegroepen[#All],4,1),2)</f>
        <v xml:space="preserve">S </v>
      </c>
      <c r="R83" s="86"/>
      <c r="S83" s="87">
        <v>40</v>
      </c>
      <c r="T83" s="87" t="s">
        <v>2</v>
      </c>
      <c r="U83" s="88">
        <f>IF(S83&gt;0,IF(RIGHT(Ruimtestaat[[#This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83" s="88">
        <f>IF(U83&gt;0,VLOOKUP($K83,Ruimtegroepen[],3,FALSE)*VLOOKUP($M83,Vloersoorten[],3,FALSE)*VLOOKUP($T83,Frequenties[],3,FALSE)*VLOOKUP($A83,Locaties[],3,FALSE),0)</f>
        <v>0</v>
      </c>
      <c r="W83" s="89">
        <f>Ruimtestaat[[#This Row],[Uitvoeringen werkdagen]]*Ruimtestaat[[#This Row],[Oppervlak (netto)]]</f>
        <v>1200</v>
      </c>
      <c r="X83" s="90">
        <f>IF(V83&gt;0,Ruimtestaat[[#This Row],[Prest. (m2 /jaar) werkdagen]]/Ruimtestaat[[#This Row],[Norm (m2/uur) werkdagen]],0)</f>
        <v>0</v>
      </c>
      <c r="Y83" s="91">
        <f>Ruimtestaat[[#This Row],[uren / jaar werkdagen]]*Tariefsopbouw!$E$35</f>
        <v>0</v>
      </c>
      <c r="Z83" s="88"/>
      <c r="AA83" s="92">
        <f>IF(Ruimtestaat[[#This Row],[Frequentie weekend]]&gt;0,VALUE(LEFT(Z83,1))*S83,0)</f>
        <v>0</v>
      </c>
      <c r="AB83" s="88">
        <f>IF($AA83&gt;0,VLOOKUP($K83,Ruimtegroepen[],3,FALSE)*VLOOKUP($M83,Vloersoorten[],3,FALSE)*VLOOKUP($Z83,Frequenties[],3,FALSE)*VLOOKUP(#REF!,Locaties[],3,FALSE),0)</f>
        <v>0</v>
      </c>
      <c r="AC83" s="90">
        <f>Ruimtestaat[[#This Row],[Uitvoeringen weekend]]*Ruimtestaat[[#This Row],[Oppervlak (netto)]]</f>
        <v>0</v>
      </c>
      <c r="AD83" s="93">
        <f>IF(AC83&gt;0,Ruimtestaat[[#This Row],[Prest. (m2 /jaar) weekend]]/Ruimtestaat[[#This Row],[Norm (m2/uur) weekend]],0)</f>
        <v>0</v>
      </c>
      <c r="AE83" s="94">
        <f>Ruimtestaat[[#This Row],[uren / jaar weekend]]*Tariefsopbouw!$D$40</f>
        <v>0</v>
      </c>
      <c r="AF83" s="66">
        <f>Ruimtestaat[[#This Row],[Prest. (m2 /jaar) weekend]]+Ruimtestaat[[#This Row],[Prest. (m2 /jaar) werkdagen]]</f>
        <v>1200</v>
      </c>
      <c r="AG83" s="66">
        <f>Ruimtestaat[[#This Row],[uren / jaar weekend]]+Ruimtestaat[[#This Row],[uren / jaar werkdagen]]</f>
        <v>0</v>
      </c>
      <c r="AH83" s="67">
        <f>Ruimtestaat[[#This Row],[kosten / jaar weekend]]+Ruimtestaat[[#This Row],[kosten / jaar werkdagen]]</f>
        <v>0</v>
      </c>
    </row>
    <row r="84" spans="1:34" ht="15" customHeight="1">
      <c r="A84" s="112">
        <v>1</v>
      </c>
      <c r="B84" s="23" t="str">
        <f>VLOOKUP(Ruimtestaat[[#This Row],[Code]],Locaties[#All],2,FALSE)</f>
        <v>RSG Levant</v>
      </c>
      <c r="C84" s="23" t="str">
        <f>VLOOKUP(Ruimtestaat[[#This Row],[Code]],Locaties[#All],4,FALSE)</f>
        <v>Horsterweg 192</v>
      </c>
      <c r="D84" s="23" t="str">
        <f>VLOOKUP(Ruimtestaat[[#This Row],[Code]],Locaties[#All],5,FALSE)</f>
        <v>3891 EV</v>
      </c>
      <c r="E84" s="23" t="str">
        <f>VLOOKUP(Ruimtestaat[[#This Row],[Code]],Locaties[#All],6,FALSE)</f>
        <v>Zeewolde</v>
      </c>
      <c r="F84" s="23"/>
      <c r="G84" s="60"/>
      <c r="H84" s="23" t="s">
        <v>573</v>
      </c>
      <c r="I84" s="27" t="s">
        <v>582</v>
      </c>
      <c r="J84" s="3" t="s">
        <v>643</v>
      </c>
      <c r="K84" s="23">
        <v>5</v>
      </c>
      <c r="L84" s="60" t="str">
        <f>VLOOKUP(K84,Ruimtegroepen[],2,FALSE)</f>
        <v>Sanitair</v>
      </c>
      <c r="M84" s="23" t="s">
        <v>113</v>
      </c>
      <c r="N84" s="23" t="s">
        <v>661</v>
      </c>
      <c r="O84" s="86">
        <v>6</v>
      </c>
      <c r="P84" s="86"/>
      <c r="Q84" s="95" t="str">
        <f>LEFT(VLOOKUP(Ruimtestaat[[#This Row],[Ruimte code]],Ruimtegroepen[#All],4,1),2)</f>
        <v xml:space="preserve">S </v>
      </c>
      <c r="R84" s="86"/>
      <c r="S84" s="87">
        <v>40</v>
      </c>
      <c r="T84" s="87" t="s">
        <v>2</v>
      </c>
      <c r="U84" s="88">
        <f>IF(S84&gt;0,IF(RIGHT(Ruimtestaat[[#This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84" s="88">
        <f>IF(U84&gt;0,VLOOKUP($K84,Ruimtegroepen[],3,FALSE)*VLOOKUP($M84,Vloersoorten[],3,FALSE)*VLOOKUP($T84,Frequenties[],3,FALSE)*VLOOKUP($A84,Locaties[],3,FALSE),0)</f>
        <v>0</v>
      </c>
      <c r="W84" s="89">
        <f>Ruimtestaat[[#This Row],[Uitvoeringen werkdagen]]*Ruimtestaat[[#This Row],[Oppervlak (netto)]]</f>
        <v>1200</v>
      </c>
      <c r="X84" s="90">
        <f>IF(V84&gt;0,Ruimtestaat[[#This Row],[Prest. (m2 /jaar) werkdagen]]/Ruimtestaat[[#This Row],[Norm (m2/uur) werkdagen]],0)</f>
        <v>0</v>
      </c>
      <c r="Y84" s="91">
        <f>Ruimtestaat[[#This Row],[uren / jaar werkdagen]]*Tariefsopbouw!$E$35</f>
        <v>0</v>
      </c>
      <c r="Z84" s="88"/>
      <c r="AA84" s="92">
        <f>IF(Ruimtestaat[[#This Row],[Frequentie weekend]]&gt;0,VALUE(LEFT(Z84,1))*S84,0)</f>
        <v>0</v>
      </c>
      <c r="AB84" s="88">
        <f>IF($AA84&gt;0,VLOOKUP($K84,Ruimtegroepen[],3,FALSE)*VLOOKUP($M84,Vloersoorten[],3,FALSE)*VLOOKUP($Z84,Frequenties[],3,FALSE)*VLOOKUP(#REF!,Locaties[],3,FALSE),0)</f>
        <v>0</v>
      </c>
      <c r="AC84" s="90">
        <f>Ruimtestaat[[#This Row],[Uitvoeringen weekend]]*Ruimtestaat[[#This Row],[Oppervlak (netto)]]</f>
        <v>0</v>
      </c>
      <c r="AD84" s="93">
        <f>IF(AC84&gt;0,Ruimtestaat[[#This Row],[Prest. (m2 /jaar) weekend]]/Ruimtestaat[[#This Row],[Norm (m2/uur) weekend]],0)</f>
        <v>0</v>
      </c>
      <c r="AE84" s="94">
        <f>Ruimtestaat[[#This Row],[uren / jaar weekend]]*Tariefsopbouw!$D$40</f>
        <v>0</v>
      </c>
      <c r="AF84" s="66">
        <f>Ruimtestaat[[#This Row],[Prest. (m2 /jaar) weekend]]+Ruimtestaat[[#This Row],[Prest. (m2 /jaar) werkdagen]]</f>
        <v>1200</v>
      </c>
      <c r="AG84" s="66">
        <f>Ruimtestaat[[#This Row],[uren / jaar weekend]]+Ruimtestaat[[#This Row],[uren / jaar werkdagen]]</f>
        <v>0</v>
      </c>
      <c r="AH84" s="67">
        <f>Ruimtestaat[[#This Row],[kosten / jaar weekend]]+Ruimtestaat[[#This Row],[kosten / jaar werkdagen]]</f>
        <v>0</v>
      </c>
    </row>
    <row r="85" spans="1:34" ht="15" customHeight="1">
      <c r="A85" s="112">
        <v>1</v>
      </c>
      <c r="B85" s="23" t="str">
        <f>VLOOKUP(Ruimtestaat[[#This Row],[Code]],Locaties[#All],2,FALSE)</f>
        <v>RSG Levant</v>
      </c>
      <c r="C85" s="23" t="str">
        <f>VLOOKUP(Ruimtestaat[[#This Row],[Code]],Locaties[#All],4,FALSE)</f>
        <v>Horsterweg 192</v>
      </c>
      <c r="D85" s="23" t="str">
        <f>VLOOKUP(Ruimtestaat[[#This Row],[Code]],Locaties[#All],5,FALSE)</f>
        <v>3891 EV</v>
      </c>
      <c r="E85" s="23" t="str">
        <f>VLOOKUP(Ruimtestaat[[#This Row],[Code]],Locaties[#All],6,FALSE)</f>
        <v>Zeewolde</v>
      </c>
      <c r="F85" s="23"/>
      <c r="G85" s="60"/>
      <c r="H85" s="23" t="s">
        <v>573</v>
      </c>
      <c r="I85" s="27" t="s">
        <v>583</v>
      </c>
      <c r="J85" s="3" t="s">
        <v>644</v>
      </c>
      <c r="K85" s="23">
        <v>5</v>
      </c>
      <c r="L85" s="60" t="str">
        <f>VLOOKUP(K85,Ruimtegroepen[],2,FALSE)</f>
        <v>Sanitair</v>
      </c>
      <c r="M85" s="23" t="s">
        <v>113</v>
      </c>
      <c r="N85" s="23" t="s">
        <v>662</v>
      </c>
      <c r="O85" s="86">
        <v>4</v>
      </c>
      <c r="P85" s="86"/>
      <c r="Q85" s="95" t="str">
        <f>LEFT(VLOOKUP(Ruimtestaat[[#This Row],[Ruimte code]],Ruimtegroepen[#All],4,1),2)</f>
        <v xml:space="preserve">S </v>
      </c>
      <c r="R85" s="86"/>
      <c r="S85" s="87">
        <v>40</v>
      </c>
      <c r="T85" s="87" t="s">
        <v>2</v>
      </c>
      <c r="U85" s="88">
        <f>IF(S85&gt;0,IF(RIGHT(Ruimtestaat[[#This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85" s="88">
        <f>IF(U85&gt;0,VLOOKUP($K85,Ruimtegroepen[],3,FALSE)*VLOOKUP($M85,Vloersoorten[],3,FALSE)*VLOOKUP($T85,Frequenties[],3,FALSE)*VLOOKUP($A85,Locaties[],3,FALSE),0)</f>
        <v>0</v>
      </c>
      <c r="W85" s="89">
        <f>Ruimtestaat[[#This Row],[Uitvoeringen werkdagen]]*Ruimtestaat[[#This Row],[Oppervlak (netto)]]</f>
        <v>800</v>
      </c>
      <c r="X85" s="90">
        <f>IF(V85&gt;0,Ruimtestaat[[#This Row],[Prest. (m2 /jaar) werkdagen]]/Ruimtestaat[[#This Row],[Norm (m2/uur) werkdagen]],0)</f>
        <v>0</v>
      </c>
      <c r="Y85" s="91">
        <f>Ruimtestaat[[#This Row],[uren / jaar werkdagen]]*Tariefsopbouw!$E$35</f>
        <v>0</v>
      </c>
      <c r="Z85" s="88"/>
      <c r="AA85" s="92">
        <f>IF(Ruimtestaat[[#This Row],[Frequentie weekend]]&gt;0,VALUE(LEFT(Z85,1))*S85,0)</f>
        <v>0</v>
      </c>
      <c r="AB85" s="88">
        <f>IF($AA85&gt;0,VLOOKUP($K85,Ruimtegroepen[],3,FALSE)*VLOOKUP($M85,Vloersoorten[],3,FALSE)*VLOOKUP($Z85,Frequenties[],3,FALSE)*VLOOKUP(#REF!,Locaties[],3,FALSE),0)</f>
        <v>0</v>
      </c>
      <c r="AC85" s="90">
        <f>Ruimtestaat[[#This Row],[Uitvoeringen weekend]]*Ruimtestaat[[#This Row],[Oppervlak (netto)]]</f>
        <v>0</v>
      </c>
      <c r="AD85" s="93">
        <f>IF(AC85&gt;0,Ruimtestaat[[#This Row],[Prest. (m2 /jaar) weekend]]/Ruimtestaat[[#This Row],[Norm (m2/uur) weekend]],0)</f>
        <v>0</v>
      </c>
      <c r="AE85" s="94">
        <f>Ruimtestaat[[#This Row],[uren / jaar weekend]]*Tariefsopbouw!$D$40</f>
        <v>0</v>
      </c>
      <c r="AF85" s="66">
        <f>Ruimtestaat[[#This Row],[Prest. (m2 /jaar) weekend]]+Ruimtestaat[[#This Row],[Prest. (m2 /jaar) werkdagen]]</f>
        <v>800</v>
      </c>
      <c r="AG85" s="66">
        <f>Ruimtestaat[[#This Row],[uren / jaar weekend]]+Ruimtestaat[[#This Row],[uren / jaar werkdagen]]</f>
        <v>0</v>
      </c>
      <c r="AH85" s="67">
        <f>Ruimtestaat[[#This Row],[kosten / jaar weekend]]+Ruimtestaat[[#This Row],[kosten / jaar werkdagen]]</f>
        <v>0</v>
      </c>
    </row>
    <row r="86" spans="1:34" ht="15" customHeight="1">
      <c r="A86" s="112">
        <v>1</v>
      </c>
      <c r="B86" s="23" t="str">
        <f>VLOOKUP(Ruimtestaat[[#This Row],[Code]],Locaties[#All],2,FALSE)</f>
        <v>RSG Levant</v>
      </c>
      <c r="C86" s="23" t="str">
        <f>VLOOKUP(Ruimtestaat[[#This Row],[Code]],Locaties[#All],4,FALSE)</f>
        <v>Horsterweg 192</v>
      </c>
      <c r="D86" s="23" t="str">
        <f>VLOOKUP(Ruimtestaat[[#This Row],[Code]],Locaties[#All],5,FALSE)</f>
        <v>3891 EV</v>
      </c>
      <c r="E86" s="23" t="str">
        <f>VLOOKUP(Ruimtestaat[[#This Row],[Code]],Locaties[#All],6,FALSE)</f>
        <v>Zeewolde</v>
      </c>
      <c r="F86" s="23"/>
      <c r="G86" s="60"/>
      <c r="H86" s="23" t="s">
        <v>573</v>
      </c>
      <c r="I86" s="27" t="s">
        <v>584</v>
      </c>
      <c r="J86" s="3" t="s">
        <v>645</v>
      </c>
      <c r="K86" s="23">
        <v>2</v>
      </c>
      <c r="L86" s="60" t="str">
        <f>VLOOKUP(K86,Ruimtegroepen[],2,FALSE)</f>
        <v>Kantoren</v>
      </c>
      <c r="M86" s="23" t="s">
        <v>112</v>
      </c>
      <c r="N86" s="23" t="s">
        <v>137</v>
      </c>
      <c r="O86" s="86">
        <v>24</v>
      </c>
      <c r="P86" s="86"/>
      <c r="Q86" s="95" t="str">
        <f>LEFT(VLOOKUP(Ruimtestaat[[#This Row],[Ruimte code]],Ruimtegroepen[#All],4,1),2)</f>
        <v xml:space="preserve">B </v>
      </c>
      <c r="R86" s="86"/>
      <c r="S86" s="87">
        <v>40</v>
      </c>
      <c r="T86" s="87" t="s">
        <v>17</v>
      </c>
      <c r="U86" s="88">
        <f>IF(S86&gt;0,IF(RIGHT(Ruimtestaat[[#This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86" s="88">
        <f>IF(U86&gt;0,VLOOKUP($K86,Ruimtegroepen[],3,FALSE)*VLOOKUP($M86,Vloersoorten[],3,FALSE)*VLOOKUP($T86,Frequenties[],3,FALSE)*VLOOKUP($A86,Locaties[],3,FALSE),0)</f>
        <v>0</v>
      </c>
      <c r="W86" s="89">
        <f>Ruimtestaat[[#This Row],[Uitvoeringen werkdagen]]*Ruimtestaat[[#This Row],[Oppervlak (netto)]]</f>
        <v>1920</v>
      </c>
      <c r="X86" s="90">
        <f>IF(V86&gt;0,Ruimtestaat[[#This Row],[Prest. (m2 /jaar) werkdagen]]/Ruimtestaat[[#This Row],[Norm (m2/uur) werkdagen]],0)</f>
        <v>0</v>
      </c>
      <c r="Y86" s="91">
        <f>Ruimtestaat[[#This Row],[uren / jaar werkdagen]]*Tariefsopbouw!$E$35</f>
        <v>0</v>
      </c>
      <c r="Z86" s="88"/>
      <c r="AA86" s="92">
        <f>IF(Ruimtestaat[[#This Row],[Frequentie weekend]]&gt;0,VALUE(LEFT(Z86,1))*S86,0)</f>
        <v>0</v>
      </c>
      <c r="AB86" s="88">
        <f>IF($AA86&gt;0,VLOOKUP($K86,Ruimtegroepen[],3,FALSE)*VLOOKUP($M86,Vloersoorten[],3,FALSE)*VLOOKUP($Z86,Frequenties[],3,FALSE)*VLOOKUP(#REF!,Locaties[],3,FALSE),0)</f>
        <v>0</v>
      </c>
      <c r="AC86" s="90">
        <f>Ruimtestaat[[#This Row],[Uitvoeringen weekend]]*Ruimtestaat[[#This Row],[Oppervlak (netto)]]</f>
        <v>0</v>
      </c>
      <c r="AD86" s="93">
        <f>IF(AC86&gt;0,Ruimtestaat[[#This Row],[Prest. (m2 /jaar) weekend]]/Ruimtestaat[[#This Row],[Norm (m2/uur) weekend]],0)</f>
        <v>0</v>
      </c>
      <c r="AE86" s="94">
        <f>Ruimtestaat[[#This Row],[uren / jaar weekend]]*Tariefsopbouw!$D$40</f>
        <v>0</v>
      </c>
      <c r="AF86" s="66">
        <f>Ruimtestaat[[#This Row],[Prest. (m2 /jaar) weekend]]+Ruimtestaat[[#This Row],[Prest. (m2 /jaar) werkdagen]]</f>
        <v>1920</v>
      </c>
      <c r="AG86" s="66">
        <f>Ruimtestaat[[#This Row],[uren / jaar weekend]]+Ruimtestaat[[#This Row],[uren / jaar werkdagen]]</f>
        <v>0</v>
      </c>
      <c r="AH86" s="67">
        <f>Ruimtestaat[[#This Row],[kosten / jaar weekend]]+Ruimtestaat[[#This Row],[kosten / jaar werkdagen]]</f>
        <v>0</v>
      </c>
    </row>
    <row r="87" spans="1:34" ht="15" customHeight="1">
      <c r="A87" s="112">
        <v>1</v>
      </c>
      <c r="B87" s="23" t="str">
        <f>VLOOKUP(Ruimtestaat[[#This Row],[Code]],Locaties[#All],2,FALSE)</f>
        <v>RSG Levant</v>
      </c>
      <c r="C87" s="23" t="str">
        <f>VLOOKUP(Ruimtestaat[[#This Row],[Code]],Locaties[#All],4,FALSE)</f>
        <v>Horsterweg 192</v>
      </c>
      <c r="D87" s="23" t="str">
        <f>VLOOKUP(Ruimtestaat[[#This Row],[Code]],Locaties[#All],5,FALSE)</f>
        <v>3891 EV</v>
      </c>
      <c r="E87" s="23" t="str">
        <f>VLOOKUP(Ruimtestaat[[#This Row],[Code]],Locaties[#All],6,FALSE)</f>
        <v>Zeewolde</v>
      </c>
      <c r="F87" s="23"/>
      <c r="G87" s="60"/>
      <c r="H87" s="23" t="s">
        <v>573</v>
      </c>
      <c r="I87" s="27" t="s">
        <v>585</v>
      </c>
      <c r="J87" s="3" t="s">
        <v>542</v>
      </c>
      <c r="K87" s="23">
        <v>16</v>
      </c>
      <c r="L87" s="60" t="str">
        <f>VLOOKUP(K87,Ruimtegroepen[],2,FALSE)</f>
        <v>Leslokalen theorie</v>
      </c>
      <c r="M87" s="23" t="s">
        <v>112</v>
      </c>
      <c r="N87" s="23" t="s">
        <v>137</v>
      </c>
      <c r="O87" s="86">
        <v>54</v>
      </c>
      <c r="P87" s="86"/>
      <c r="Q87" s="95" t="str">
        <f>LEFT(VLOOKUP(Ruimtestaat[[#This Row],[Ruimte code]],Ruimtegroepen[#All],4,1),2)</f>
        <v xml:space="preserve">L </v>
      </c>
      <c r="R87" s="95"/>
      <c r="S87" s="87">
        <v>40</v>
      </c>
      <c r="T87" s="87" t="s">
        <v>2</v>
      </c>
      <c r="U87" s="88">
        <f>IF(S87&gt;0,IF(RIGHT(Ruimtestaat[[#This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87" s="88">
        <f>IF(U87&gt;0,VLOOKUP($K87,Ruimtegroepen[],3,FALSE)*VLOOKUP($M87,Vloersoorten[],3,FALSE)*VLOOKUP($T87,Frequenties[],3,FALSE)*VLOOKUP($A87,Locaties[],3,FALSE),0)</f>
        <v>0</v>
      </c>
      <c r="W87" s="89">
        <f>Ruimtestaat[[#This Row],[Uitvoeringen werkdagen]]*Ruimtestaat[[#This Row],[Oppervlak (netto)]]</f>
        <v>10800</v>
      </c>
      <c r="X87" s="90">
        <f>IF(V87&gt;0,Ruimtestaat[[#This Row],[Prest. (m2 /jaar) werkdagen]]/Ruimtestaat[[#This Row],[Norm (m2/uur) werkdagen]],0)</f>
        <v>0</v>
      </c>
      <c r="Y87" s="91">
        <f>Ruimtestaat[[#This Row],[uren / jaar werkdagen]]*Tariefsopbouw!$E$35</f>
        <v>0</v>
      </c>
      <c r="Z87" s="88"/>
      <c r="AA87" s="92">
        <f>IF(Ruimtestaat[[#This Row],[Frequentie weekend]]&gt;0,VALUE(LEFT(Z87,1))*S87,0)</f>
        <v>0</v>
      </c>
      <c r="AB87" s="88">
        <f>IF($AA87&gt;0,VLOOKUP($K87,Ruimtegroepen[],3,FALSE)*VLOOKUP($M87,Vloersoorten[],3,FALSE)*VLOOKUP($Z87,Frequenties[],3,FALSE)*VLOOKUP(#REF!,Locaties[],3,FALSE),0)</f>
        <v>0</v>
      </c>
      <c r="AC87" s="90">
        <f>Ruimtestaat[[#This Row],[Uitvoeringen weekend]]*Ruimtestaat[[#This Row],[Oppervlak (netto)]]</f>
        <v>0</v>
      </c>
      <c r="AD87" s="93">
        <f>IF(AC87&gt;0,Ruimtestaat[[#This Row],[Prest. (m2 /jaar) weekend]]/Ruimtestaat[[#This Row],[Norm (m2/uur) weekend]],0)</f>
        <v>0</v>
      </c>
      <c r="AE87" s="94">
        <f>Ruimtestaat[[#This Row],[uren / jaar weekend]]*Tariefsopbouw!$D$40</f>
        <v>0</v>
      </c>
      <c r="AF87" s="66">
        <f>Ruimtestaat[[#This Row],[Prest. (m2 /jaar) weekend]]+Ruimtestaat[[#This Row],[Prest. (m2 /jaar) werkdagen]]</f>
        <v>10800</v>
      </c>
      <c r="AG87" s="66">
        <f>Ruimtestaat[[#This Row],[uren / jaar weekend]]+Ruimtestaat[[#This Row],[uren / jaar werkdagen]]</f>
        <v>0</v>
      </c>
      <c r="AH87" s="67">
        <f>Ruimtestaat[[#This Row],[kosten / jaar weekend]]+Ruimtestaat[[#This Row],[kosten / jaar werkdagen]]</f>
        <v>0</v>
      </c>
    </row>
    <row r="88" spans="1:34" ht="15" customHeight="1">
      <c r="A88" s="112">
        <v>1</v>
      </c>
      <c r="B88" s="23" t="str">
        <f>VLOOKUP(Ruimtestaat[[#This Row],[Code]],Locaties[#All],2,FALSE)</f>
        <v>RSG Levant</v>
      </c>
      <c r="C88" s="23" t="str">
        <f>VLOOKUP(Ruimtestaat[[#This Row],[Code]],Locaties[#All],4,FALSE)</f>
        <v>Horsterweg 192</v>
      </c>
      <c r="D88" s="23" t="str">
        <f>VLOOKUP(Ruimtestaat[[#This Row],[Code]],Locaties[#All],5,FALSE)</f>
        <v>3891 EV</v>
      </c>
      <c r="E88" s="23" t="str">
        <f>VLOOKUP(Ruimtestaat[[#This Row],[Code]],Locaties[#All],6,FALSE)</f>
        <v>Zeewolde</v>
      </c>
      <c r="F88" s="23"/>
      <c r="G88" s="60"/>
      <c r="H88" s="23" t="s">
        <v>573</v>
      </c>
      <c r="I88" s="27" t="s">
        <v>586</v>
      </c>
      <c r="J88" s="3" t="s">
        <v>542</v>
      </c>
      <c r="K88" s="23">
        <v>16</v>
      </c>
      <c r="L88" s="60" t="str">
        <f>VLOOKUP(K88,Ruimtegroepen[],2,FALSE)</f>
        <v>Leslokalen theorie</v>
      </c>
      <c r="M88" s="23" t="s">
        <v>112</v>
      </c>
      <c r="N88" s="23" t="s">
        <v>137</v>
      </c>
      <c r="O88" s="86">
        <v>55</v>
      </c>
      <c r="P88" s="86"/>
      <c r="Q88" s="95" t="str">
        <f>LEFT(VLOOKUP(Ruimtestaat[[#This Row],[Ruimte code]],Ruimtegroepen[#All],4,1),2)</f>
        <v xml:space="preserve">L </v>
      </c>
      <c r="R88" s="95"/>
      <c r="S88" s="87">
        <v>40</v>
      </c>
      <c r="T88" s="87" t="s">
        <v>2</v>
      </c>
      <c r="U88" s="88">
        <f>IF(S88&gt;0,IF(RIGHT(Ruimtestaat[[#This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88" s="88">
        <f>IF(U88&gt;0,VLOOKUP($K88,Ruimtegroepen[],3,FALSE)*VLOOKUP($M88,Vloersoorten[],3,FALSE)*VLOOKUP($T88,Frequenties[],3,FALSE)*VLOOKUP($A88,Locaties[],3,FALSE),0)</f>
        <v>0</v>
      </c>
      <c r="W88" s="89">
        <f>Ruimtestaat[[#This Row],[Uitvoeringen werkdagen]]*Ruimtestaat[[#This Row],[Oppervlak (netto)]]</f>
        <v>11000</v>
      </c>
      <c r="X88" s="90">
        <f>IF(V88&gt;0,Ruimtestaat[[#This Row],[Prest. (m2 /jaar) werkdagen]]/Ruimtestaat[[#This Row],[Norm (m2/uur) werkdagen]],0)</f>
        <v>0</v>
      </c>
      <c r="Y88" s="91">
        <f>Ruimtestaat[[#This Row],[uren / jaar werkdagen]]*Tariefsopbouw!$E$35</f>
        <v>0</v>
      </c>
      <c r="Z88" s="88"/>
      <c r="AA88" s="92">
        <f>IF(Ruimtestaat[[#This Row],[Frequentie weekend]]&gt;0,VALUE(LEFT(Z88,1))*S88,0)</f>
        <v>0</v>
      </c>
      <c r="AB88" s="88">
        <f>IF($AA88&gt;0,VLOOKUP($K88,Ruimtegroepen[],3,FALSE)*VLOOKUP($M88,Vloersoorten[],3,FALSE)*VLOOKUP($Z88,Frequenties[],3,FALSE)*VLOOKUP(#REF!,Locaties[],3,FALSE),0)</f>
        <v>0</v>
      </c>
      <c r="AC88" s="90">
        <f>Ruimtestaat[[#This Row],[Uitvoeringen weekend]]*Ruimtestaat[[#This Row],[Oppervlak (netto)]]</f>
        <v>0</v>
      </c>
      <c r="AD88" s="93">
        <f>IF(AC88&gt;0,Ruimtestaat[[#This Row],[Prest. (m2 /jaar) weekend]]/Ruimtestaat[[#This Row],[Norm (m2/uur) weekend]],0)</f>
        <v>0</v>
      </c>
      <c r="AE88" s="94">
        <f>Ruimtestaat[[#This Row],[uren / jaar weekend]]*Tariefsopbouw!$D$40</f>
        <v>0</v>
      </c>
      <c r="AF88" s="66">
        <f>Ruimtestaat[[#This Row],[Prest. (m2 /jaar) weekend]]+Ruimtestaat[[#This Row],[Prest. (m2 /jaar) werkdagen]]</f>
        <v>11000</v>
      </c>
      <c r="AG88" s="66">
        <f>Ruimtestaat[[#This Row],[uren / jaar weekend]]+Ruimtestaat[[#This Row],[uren / jaar werkdagen]]</f>
        <v>0</v>
      </c>
      <c r="AH88" s="67">
        <f>Ruimtestaat[[#This Row],[kosten / jaar weekend]]+Ruimtestaat[[#This Row],[kosten / jaar werkdagen]]</f>
        <v>0</v>
      </c>
    </row>
    <row r="89" spans="1:34" ht="15" customHeight="1">
      <c r="A89" s="112">
        <v>1</v>
      </c>
      <c r="B89" s="23" t="str">
        <f>VLOOKUP(Ruimtestaat[[#This Row],[Code]],Locaties[#All],2,FALSE)</f>
        <v>RSG Levant</v>
      </c>
      <c r="C89" s="23" t="str">
        <f>VLOOKUP(Ruimtestaat[[#This Row],[Code]],Locaties[#All],4,FALSE)</f>
        <v>Horsterweg 192</v>
      </c>
      <c r="D89" s="23" t="str">
        <f>VLOOKUP(Ruimtestaat[[#This Row],[Code]],Locaties[#All],5,FALSE)</f>
        <v>3891 EV</v>
      </c>
      <c r="E89" s="23" t="str">
        <f>VLOOKUP(Ruimtestaat[[#This Row],[Code]],Locaties[#All],6,FALSE)</f>
        <v>Zeewolde</v>
      </c>
      <c r="F89" s="23"/>
      <c r="G89" s="60"/>
      <c r="H89" s="23" t="s">
        <v>573</v>
      </c>
      <c r="I89" s="27" t="s">
        <v>587</v>
      </c>
      <c r="J89" s="3" t="s">
        <v>543</v>
      </c>
      <c r="K89" s="23">
        <v>8</v>
      </c>
      <c r="L89" s="60" t="str">
        <f>VLOOKUP(K89,Ruimtegroepen[],2,FALSE)</f>
        <v>Mediatheek / OLC</v>
      </c>
      <c r="M89" s="23" t="s">
        <v>112</v>
      </c>
      <c r="N89" s="23" t="s">
        <v>137</v>
      </c>
      <c r="O89" s="86">
        <v>12</v>
      </c>
      <c r="P89" s="86"/>
      <c r="Q89" s="95" t="str">
        <f>LEFT(VLOOKUP(Ruimtestaat[[#This Row],[Ruimte code]],Ruimtegroepen[#All],4,1),2)</f>
        <v xml:space="preserve">L </v>
      </c>
      <c r="R89" s="95"/>
      <c r="S89" s="87">
        <v>40</v>
      </c>
      <c r="T89" s="87" t="s">
        <v>2</v>
      </c>
      <c r="U89" s="88">
        <f>IF(S89&gt;0,IF(RIGHT(Ruimtestaat[[#This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89" s="88">
        <f>IF(U89&gt;0,VLOOKUP($K89,Ruimtegroepen[],3,FALSE)*VLOOKUP($M89,Vloersoorten[],3,FALSE)*VLOOKUP($T89,Frequenties[],3,FALSE)*VLOOKUP($A89,Locaties[],3,FALSE),0)</f>
        <v>0</v>
      </c>
      <c r="W89" s="89">
        <f>Ruimtestaat[[#This Row],[Uitvoeringen werkdagen]]*Ruimtestaat[[#This Row],[Oppervlak (netto)]]</f>
        <v>2400</v>
      </c>
      <c r="X89" s="90">
        <f>IF(V89&gt;0,Ruimtestaat[[#This Row],[Prest. (m2 /jaar) werkdagen]]/Ruimtestaat[[#This Row],[Norm (m2/uur) werkdagen]],0)</f>
        <v>0</v>
      </c>
      <c r="Y89" s="91">
        <f>Ruimtestaat[[#This Row],[uren / jaar werkdagen]]*Tariefsopbouw!$E$35</f>
        <v>0</v>
      </c>
      <c r="Z89" s="88"/>
      <c r="AA89" s="92">
        <f>IF(Ruimtestaat[[#This Row],[Frequentie weekend]]&gt;0,VALUE(LEFT(Z89,1))*S89,0)</f>
        <v>0</v>
      </c>
      <c r="AB89" s="88">
        <f>IF($AA89&gt;0,VLOOKUP($K89,Ruimtegroepen[],3,FALSE)*VLOOKUP($M89,Vloersoorten[],3,FALSE)*VLOOKUP($Z89,Frequenties[],3,FALSE)*VLOOKUP(#REF!,Locaties[],3,FALSE),0)</f>
        <v>0</v>
      </c>
      <c r="AC89" s="90">
        <f>Ruimtestaat[[#This Row],[Uitvoeringen weekend]]*Ruimtestaat[[#This Row],[Oppervlak (netto)]]</f>
        <v>0</v>
      </c>
      <c r="AD89" s="93">
        <f>IF(AC89&gt;0,Ruimtestaat[[#This Row],[Prest. (m2 /jaar) weekend]]/Ruimtestaat[[#This Row],[Norm (m2/uur) weekend]],0)</f>
        <v>0</v>
      </c>
      <c r="AE89" s="94">
        <f>Ruimtestaat[[#This Row],[uren / jaar weekend]]*Tariefsopbouw!$D$40</f>
        <v>0</v>
      </c>
      <c r="AF89" s="66">
        <f>Ruimtestaat[[#This Row],[Prest. (m2 /jaar) weekend]]+Ruimtestaat[[#This Row],[Prest. (m2 /jaar) werkdagen]]</f>
        <v>2400</v>
      </c>
      <c r="AG89" s="66">
        <f>Ruimtestaat[[#This Row],[uren / jaar weekend]]+Ruimtestaat[[#This Row],[uren / jaar werkdagen]]</f>
        <v>0</v>
      </c>
      <c r="AH89" s="67">
        <f>Ruimtestaat[[#This Row],[kosten / jaar weekend]]+Ruimtestaat[[#This Row],[kosten / jaar werkdagen]]</f>
        <v>0</v>
      </c>
    </row>
    <row r="90" spans="1:34" ht="15" customHeight="1">
      <c r="A90" s="112">
        <v>1</v>
      </c>
      <c r="B90" s="23" t="str">
        <f>VLOOKUP(Ruimtestaat[[#This Row],[Code]],Locaties[#All],2,FALSE)</f>
        <v>RSG Levant</v>
      </c>
      <c r="C90" s="23" t="str">
        <f>VLOOKUP(Ruimtestaat[[#This Row],[Code]],Locaties[#All],4,FALSE)</f>
        <v>Horsterweg 192</v>
      </c>
      <c r="D90" s="23" t="str">
        <f>VLOOKUP(Ruimtestaat[[#This Row],[Code]],Locaties[#All],5,FALSE)</f>
        <v>3891 EV</v>
      </c>
      <c r="E90" s="23" t="str">
        <f>VLOOKUP(Ruimtestaat[[#This Row],[Code]],Locaties[#All],6,FALSE)</f>
        <v>Zeewolde</v>
      </c>
      <c r="F90" s="23"/>
      <c r="G90" s="60"/>
      <c r="H90" s="23" t="s">
        <v>573</v>
      </c>
      <c r="I90" s="27" t="s">
        <v>588</v>
      </c>
      <c r="J90" s="3" t="s">
        <v>542</v>
      </c>
      <c r="K90" s="23">
        <v>16</v>
      </c>
      <c r="L90" s="60" t="str">
        <f>VLOOKUP(K90,Ruimtegroepen[],2,FALSE)</f>
        <v>Leslokalen theorie</v>
      </c>
      <c r="M90" s="23" t="s">
        <v>112</v>
      </c>
      <c r="N90" s="23" t="s">
        <v>137</v>
      </c>
      <c r="O90" s="86">
        <v>51</v>
      </c>
      <c r="P90" s="86"/>
      <c r="Q90" s="95" t="str">
        <f>LEFT(VLOOKUP(Ruimtestaat[[#This Row],[Ruimte code]],Ruimtegroepen[#All],4,1),2)</f>
        <v xml:space="preserve">L </v>
      </c>
      <c r="R90" s="95"/>
      <c r="S90" s="87">
        <v>40</v>
      </c>
      <c r="T90" s="87" t="s">
        <v>2</v>
      </c>
      <c r="U90" s="88">
        <f>IF(S90&gt;0,IF(RIGHT(Ruimtestaat[[#This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90" s="88">
        <f>IF(U90&gt;0,VLOOKUP($K90,Ruimtegroepen[],3,FALSE)*VLOOKUP($M90,Vloersoorten[],3,FALSE)*VLOOKUP($T90,Frequenties[],3,FALSE)*VLOOKUP($A90,Locaties[],3,FALSE),0)</f>
        <v>0</v>
      </c>
      <c r="W90" s="89">
        <f>Ruimtestaat[[#This Row],[Uitvoeringen werkdagen]]*Ruimtestaat[[#This Row],[Oppervlak (netto)]]</f>
        <v>10200</v>
      </c>
      <c r="X90" s="90">
        <f>IF(V90&gt;0,Ruimtestaat[[#This Row],[Prest. (m2 /jaar) werkdagen]]/Ruimtestaat[[#This Row],[Norm (m2/uur) werkdagen]],0)</f>
        <v>0</v>
      </c>
      <c r="Y90" s="91">
        <f>Ruimtestaat[[#This Row],[uren / jaar werkdagen]]*Tariefsopbouw!$E$35</f>
        <v>0</v>
      </c>
      <c r="Z90" s="88"/>
      <c r="AA90" s="92">
        <f>IF(Ruimtestaat[[#This Row],[Frequentie weekend]]&gt;0,VALUE(LEFT(Z90,1))*S90,0)</f>
        <v>0</v>
      </c>
      <c r="AB90" s="88">
        <f>IF($AA90&gt;0,VLOOKUP($K90,Ruimtegroepen[],3,FALSE)*VLOOKUP($M90,Vloersoorten[],3,FALSE)*VLOOKUP($Z90,Frequenties[],3,FALSE)*VLOOKUP(#REF!,Locaties[],3,FALSE),0)</f>
        <v>0</v>
      </c>
      <c r="AC90" s="90">
        <f>Ruimtestaat[[#This Row],[Uitvoeringen weekend]]*Ruimtestaat[[#This Row],[Oppervlak (netto)]]</f>
        <v>0</v>
      </c>
      <c r="AD90" s="93">
        <f>IF(AC90&gt;0,Ruimtestaat[[#This Row],[Prest. (m2 /jaar) weekend]]/Ruimtestaat[[#This Row],[Norm (m2/uur) weekend]],0)</f>
        <v>0</v>
      </c>
      <c r="AE90" s="94">
        <f>Ruimtestaat[[#This Row],[uren / jaar weekend]]*Tariefsopbouw!$D$40</f>
        <v>0</v>
      </c>
      <c r="AF90" s="66">
        <f>Ruimtestaat[[#This Row],[Prest. (m2 /jaar) weekend]]+Ruimtestaat[[#This Row],[Prest. (m2 /jaar) werkdagen]]</f>
        <v>10200</v>
      </c>
      <c r="AG90" s="66">
        <f>Ruimtestaat[[#This Row],[uren / jaar weekend]]+Ruimtestaat[[#This Row],[uren / jaar werkdagen]]</f>
        <v>0</v>
      </c>
      <c r="AH90" s="67">
        <f>Ruimtestaat[[#This Row],[kosten / jaar weekend]]+Ruimtestaat[[#This Row],[kosten / jaar werkdagen]]</f>
        <v>0</v>
      </c>
    </row>
    <row r="91" spans="1:34" ht="15" customHeight="1">
      <c r="A91" s="112">
        <v>1</v>
      </c>
      <c r="B91" s="23" t="str">
        <f>VLOOKUP(Ruimtestaat[[#This Row],[Code]],Locaties[#All],2,FALSE)</f>
        <v>RSG Levant</v>
      </c>
      <c r="C91" s="23" t="str">
        <f>VLOOKUP(Ruimtestaat[[#This Row],[Code]],Locaties[#All],4,FALSE)</f>
        <v>Horsterweg 192</v>
      </c>
      <c r="D91" s="23" t="str">
        <f>VLOOKUP(Ruimtestaat[[#This Row],[Code]],Locaties[#All],5,FALSE)</f>
        <v>3891 EV</v>
      </c>
      <c r="E91" s="23" t="str">
        <f>VLOOKUP(Ruimtestaat[[#This Row],[Code]],Locaties[#All],6,FALSE)</f>
        <v>Zeewolde</v>
      </c>
      <c r="F91" s="23"/>
      <c r="G91" s="60"/>
      <c r="H91" s="23" t="s">
        <v>573</v>
      </c>
      <c r="I91" s="27" t="s">
        <v>589</v>
      </c>
      <c r="J91" s="3" t="s">
        <v>542</v>
      </c>
      <c r="K91" s="23">
        <v>16</v>
      </c>
      <c r="L91" s="60" t="str">
        <f>VLOOKUP(K91,Ruimtegroepen[],2,FALSE)</f>
        <v>Leslokalen theorie</v>
      </c>
      <c r="M91" s="23" t="s">
        <v>112</v>
      </c>
      <c r="N91" s="23" t="s">
        <v>137</v>
      </c>
      <c r="O91" s="86">
        <v>50</v>
      </c>
      <c r="P91" s="86"/>
      <c r="Q91" s="95" t="str">
        <f>LEFT(VLOOKUP(Ruimtestaat[[#This Row],[Ruimte code]],Ruimtegroepen[#All],4,1),2)</f>
        <v xml:space="preserve">L </v>
      </c>
      <c r="R91" s="95"/>
      <c r="S91" s="87">
        <v>40</v>
      </c>
      <c r="T91" s="87" t="s">
        <v>2</v>
      </c>
      <c r="U91" s="88">
        <f>IF(S91&gt;0,IF(RIGHT(Ruimtestaat[[#This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91" s="88">
        <f>IF(U91&gt;0,VLOOKUP($K91,Ruimtegroepen[],3,FALSE)*VLOOKUP($M91,Vloersoorten[],3,FALSE)*VLOOKUP($T91,Frequenties[],3,FALSE)*VLOOKUP($A91,Locaties[],3,FALSE),0)</f>
        <v>0</v>
      </c>
      <c r="W91" s="89">
        <f>Ruimtestaat[[#This Row],[Uitvoeringen werkdagen]]*Ruimtestaat[[#This Row],[Oppervlak (netto)]]</f>
        <v>10000</v>
      </c>
      <c r="X91" s="90">
        <f>IF(V91&gt;0,Ruimtestaat[[#This Row],[Prest. (m2 /jaar) werkdagen]]/Ruimtestaat[[#This Row],[Norm (m2/uur) werkdagen]],0)</f>
        <v>0</v>
      </c>
      <c r="Y91" s="91">
        <f>Ruimtestaat[[#This Row],[uren / jaar werkdagen]]*Tariefsopbouw!$E$35</f>
        <v>0</v>
      </c>
      <c r="Z91" s="88"/>
      <c r="AA91" s="92">
        <f>IF(Ruimtestaat[[#This Row],[Frequentie weekend]]&gt;0,VALUE(LEFT(Z91,1))*S91,0)</f>
        <v>0</v>
      </c>
      <c r="AB91" s="88">
        <f>IF($AA91&gt;0,VLOOKUP($K91,Ruimtegroepen[],3,FALSE)*VLOOKUP($M91,Vloersoorten[],3,FALSE)*VLOOKUP($Z91,Frequenties[],3,FALSE)*VLOOKUP(#REF!,Locaties[],3,FALSE),0)</f>
        <v>0</v>
      </c>
      <c r="AC91" s="90">
        <f>Ruimtestaat[[#This Row],[Uitvoeringen weekend]]*Ruimtestaat[[#This Row],[Oppervlak (netto)]]</f>
        <v>0</v>
      </c>
      <c r="AD91" s="93">
        <f>IF(AC91&gt;0,Ruimtestaat[[#This Row],[Prest. (m2 /jaar) weekend]]/Ruimtestaat[[#This Row],[Norm (m2/uur) weekend]],0)</f>
        <v>0</v>
      </c>
      <c r="AE91" s="94">
        <f>Ruimtestaat[[#This Row],[uren / jaar weekend]]*Tariefsopbouw!$D$40</f>
        <v>0</v>
      </c>
      <c r="AF91" s="66">
        <f>Ruimtestaat[[#This Row],[Prest. (m2 /jaar) weekend]]+Ruimtestaat[[#This Row],[Prest. (m2 /jaar) werkdagen]]</f>
        <v>10000</v>
      </c>
      <c r="AG91" s="66">
        <f>Ruimtestaat[[#This Row],[uren / jaar weekend]]+Ruimtestaat[[#This Row],[uren / jaar werkdagen]]</f>
        <v>0</v>
      </c>
      <c r="AH91" s="67">
        <f>Ruimtestaat[[#This Row],[kosten / jaar weekend]]+Ruimtestaat[[#This Row],[kosten / jaar werkdagen]]</f>
        <v>0</v>
      </c>
    </row>
    <row r="92" spans="1:34" ht="15" customHeight="1">
      <c r="A92" s="112">
        <v>1</v>
      </c>
      <c r="B92" s="23" t="str">
        <f>VLOOKUP(Ruimtestaat[[#This Row],[Code]],Locaties[#All],2,FALSE)</f>
        <v>RSG Levant</v>
      </c>
      <c r="C92" s="23" t="str">
        <f>VLOOKUP(Ruimtestaat[[#This Row],[Code]],Locaties[#All],4,FALSE)</f>
        <v>Horsterweg 192</v>
      </c>
      <c r="D92" s="23" t="str">
        <f>VLOOKUP(Ruimtestaat[[#This Row],[Code]],Locaties[#All],5,FALSE)</f>
        <v>3891 EV</v>
      </c>
      <c r="E92" s="23" t="str">
        <f>VLOOKUP(Ruimtestaat[[#This Row],[Code]],Locaties[#All],6,FALSE)</f>
        <v>Zeewolde</v>
      </c>
      <c r="F92" s="23"/>
      <c r="G92" s="60"/>
      <c r="H92" s="23" t="s">
        <v>573</v>
      </c>
      <c r="I92" s="27" t="s">
        <v>590</v>
      </c>
      <c r="J92" s="3" t="s">
        <v>546</v>
      </c>
      <c r="K92" s="23">
        <v>8</v>
      </c>
      <c r="L92" s="60" t="str">
        <f>VLOOKUP(K92,Ruimtegroepen[],2,FALSE)</f>
        <v>Mediatheek / OLC</v>
      </c>
      <c r="M92" s="23" t="s">
        <v>112</v>
      </c>
      <c r="N92" s="23" t="s">
        <v>137</v>
      </c>
      <c r="O92" s="86">
        <v>71</v>
      </c>
      <c r="P92" s="86"/>
      <c r="Q92" s="95" t="str">
        <f>LEFT(VLOOKUP(Ruimtestaat[[#This Row],[Ruimte code]],Ruimtegroepen[#All],4,1),2)</f>
        <v xml:space="preserve">L </v>
      </c>
      <c r="R92" s="95"/>
      <c r="S92" s="87">
        <v>40</v>
      </c>
      <c r="T92" s="87" t="s">
        <v>2</v>
      </c>
      <c r="U92" s="88">
        <f>IF(S92&gt;0,IF(RIGHT(Ruimtestaat[[#This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92" s="88">
        <f>IF(U92&gt;0,VLOOKUP($K92,Ruimtegroepen[],3,FALSE)*VLOOKUP($M92,Vloersoorten[],3,FALSE)*VLOOKUP($T92,Frequenties[],3,FALSE)*VLOOKUP($A92,Locaties[],3,FALSE),0)</f>
        <v>0</v>
      </c>
      <c r="W92" s="89">
        <f>Ruimtestaat[[#This Row],[Uitvoeringen werkdagen]]*Ruimtestaat[[#This Row],[Oppervlak (netto)]]</f>
        <v>14200</v>
      </c>
      <c r="X92" s="90">
        <f>IF(V92&gt;0,Ruimtestaat[[#This Row],[Prest. (m2 /jaar) werkdagen]]/Ruimtestaat[[#This Row],[Norm (m2/uur) werkdagen]],0)</f>
        <v>0</v>
      </c>
      <c r="Y92" s="91">
        <f>Ruimtestaat[[#This Row],[uren / jaar werkdagen]]*Tariefsopbouw!$E$35</f>
        <v>0</v>
      </c>
      <c r="Z92" s="88"/>
      <c r="AA92" s="92">
        <f>IF(Ruimtestaat[[#This Row],[Frequentie weekend]]&gt;0,VALUE(LEFT(Z92,1))*S92,0)</f>
        <v>0</v>
      </c>
      <c r="AB92" s="88">
        <f>IF($AA92&gt;0,VLOOKUP($K92,Ruimtegroepen[],3,FALSE)*VLOOKUP($M92,Vloersoorten[],3,FALSE)*VLOOKUP($Z92,Frequenties[],3,FALSE)*VLOOKUP(#REF!,Locaties[],3,FALSE),0)</f>
        <v>0</v>
      </c>
      <c r="AC92" s="90">
        <f>Ruimtestaat[[#This Row],[Uitvoeringen weekend]]*Ruimtestaat[[#This Row],[Oppervlak (netto)]]</f>
        <v>0</v>
      </c>
      <c r="AD92" s="93">
        <f>IF(AC92&gt;0,Ruimtestaat[[#This Row],[Prest. (m2 /jaar) weekend]]/Ruimtestaat[[#This Row],[Norm (m2/uur) weekend]],0)</f>
        <v>0</v>
      </c>
      <c r="AE92" s="94">
        <f>Ruimtestaat[[#This Row],[uren / jaar weekend]]*Tariefsopbouw!$D$40</f>
        <v>0</v>
      </c>
      <c r="AF92" s="66">
        <f>Ruimtestaat[[#This Row],[Prest. (m2 /jaar) weekend]]+Ruimtestaat[[#This Row],[Prest. (m2 /jaar) werkdagen]]</f>
        <v>14200</v>
      </c>
      <c r="AG92" s="66">
        <f>Ruimtestaat[[#This Row],[uren / jaar weekend]]+Ruimtestaat[[#This Row],[uren / jaar werkdagen]]</f>
        <v>0</v>
      </c>
      <c r="AH92" s="67">
        <f>Ruimtestaat[[#This Row],[kosten / jaar weekend]]+Ruimtestaat[[#This Row],[kosten / jaar werkdagen]]</f>
        <v>0</v>
      </c>
    </row>
    <row r="93" spans="1:34" ht="15" customHeight="1">
      <c r="A93" s="112">
        <v>1</v>
      </c>
      <c r="B93" s="23" t="str">
        <f>VLOOKUP(Ruimtestaat[[#This Row],[Code]],Locaties[#All],2,FALSE)</f>
        <v>RSG Levant</v>
      </c>
      <c r="C93" s="23" t="str">
        <f>VLOOKUP(Ruimtestaat[[#This Row],[Code]],Locaties[#All],4,FALSE)</f>
        <v>Horsterweg 192</v>
      </c>
      <c r="D93" s="23" t="str">
        <f>VLOOKUP(Ruimtestaat[[#This Row],[Code]],Locaties[#All],5,FALSE)</f>
        <v>3891 EV</v>
      </c>
      <c r="E93" s="23" t="str">
        <f>VLOOKUP(Ruimtestaat[[#This Row],[Code]],Locaties[#All],6,FALSE)</f>
        <v>Zeewolde</v>
      </c>
      <c r="F93" s="23"/>
      <c r="G93" s="60"/>
      <c r="H93" s="23" t="s">
        <v>573</v>
      </c>
      <c r="I93" s="27" t="s">
        <v>591</v>
      </c>
      <c r="J93" s="3" t="s">
        <v>646</v>
      </c>
      <c r="K93" s="23">
        <v>2</v>
      </c>
      <c r="L93" s="60" t="str">
        <f>VLOOKUP(K93,Ruimtegroepen[],2,FALSE)</f>
        <v>Kantoren</v>
      </c>
      <c r="M93" s="23" t="s">
        <v>111</v>
      </c>
      <c r="N93" s="23" t="s">
        <v>39</v>
      </c>
      <c r="O93" s="86">
        <v>12</v>
      </c>
      <c r="P93" s="86"/>
      <c r="Q93" s="95" t="str">
        <f>LEFT(VLOOKUP(Ruimtestaat[[#This Row],[Ruimte code]],Ruimtegroepen[#All],4,1),2)</f>
        <v xml:space="preserve">B </v>
      </c>
      <c r="R93" s="95"/>
      <c r="S93" s="87">
        <v>40</v>
      </c>
      <c r="T93" s="87" t="s">
        <v>17</v>
      </c>
      <c r="U93" s="88">
        <f>IF(S93&gt;0,IF(RIGHT(Ruimtestaat[[#This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93" s="88">
        <f>IF(U93&gt;0,VLOOKUP($K93,Ruimtegroepen[],3,FALSE)*VLOOKUP($M93,Vloersoorten[],3,FALSE)*VLOOKUP($T93,Frequenties[],3,FALSE)*VLOOKUP($A93,Locaties[],3,FALSE),0)</f>
        <v>0</v>
      </c>
      <c r="W93" s="89">
        <f>Ruimtestaat[[#This Row],[Uitvoeringen werkdagen]]*Ruimtestaat[[#This Row],[Oppervlak (netto)]]</f>
        <v>960</v>
      </c>
      <c r="X93" s="90">
        <f>IF(V93&gt;0,Ruimtestaat[[#This Row],[Prest. (m2 /jaar) werkdagen]]/Ruimtestaat[[#This Row],[Norm (m2/uur) werkdagen]],0)</f>
        <v>0</v>
      </c>
      <c r="Y93" s="91">
        <f>Ruimtestaat[[#This Row],[uren / jaar werkdagen]]*Tariefsopbouw!$E$35</f>
        <v>0</v>
      </c>
      <c r="Z93" s="88"/>
      <c r="AA93" s="92">
        <f>IF(Ruimtestaat[[#This Row],[Frequentie weekend]]&gt;0,VALUE(LEFT(Z93,1))*S93,0)</f>
        <v>0</v>
      </c>
      <c r="AB93" s="88">
        <f>IF($AA93&gt;0,VLOOKUP($K93,Ruimtegroepen[],3,FALSE)*VLOOKUP($M93,Vloersoorten[],3,FALSE)*VLOOKUP($Z93,Frequenties[],3,FALSE)*VLOOKUP(#REF!,Locaties[],3,FALSE),0)</f>
        <v>0</v>
      </c>
      <c r="AC93" s="90">
        <f>Ruimtestaat[[#This Row],[Uitvoeringen weekend]]*Ruimtestaat[[#This Row],[Oppervlak (netto)]]</f>
        <v>0</v>
      </c>
      <c r="AD93" s="93">
        <f>IF(AC93&gt;0,Ruimtestaat[[#This Row],[Prest. (m2 /jaar) weekend]]/Ruimtestaat[[#This Row],[Norm (m2/uur) weekend]],0)</f>
        <v>0</v>
      </c>
      <c r="AE93" s="94">
        <f>Ruimtestaat[[#This Row],[uren / jaar weekend]]*Tariefsopbouw!$D$40</f>
        <v>0</v>
      </c>
      <c r="AF93" s="66">
        <f>Ruimtestaat[[#This Row],[Prest. (m2 /jaar) weekend]]+Ruimtestaat[[#This Row],[Prest. (m2 /jaar) werkdagen]]</f>
        <v>960</v>
      </c>
      <c r="AG93" s="66">
        <f>Ruimtestaat[[#This Row],[uren / jaar weekend]]+Ruimtestaat[[#This Row],[uren / jaar werkdagen]]</f>
        <v>0</v>
      </c>
      <c r="AH93" s="67">
        <f>Ruimtestaat[[#This Row],[kosten / jaar weekend]]+Ruimtestaat[[#This Row],[kosten / jaar werkdagen]]</f>
        <v>0</v>
      </c>
    </row>
    <row r="94" spans="1:34" ht="15" customHeight="1">
      <c r="A94" s="112">
        <v>1</v>
      </c>
      <c r="B94" s="23" t="str">
        <f>VLOOKUP(Ruimtestaat[[#This Row],[Code]],Locaties[#All],2,FALSE)</f>
        <v>RSG Levant</v>
      </c>
      <c r="C94" s="23" t="str">
        <f>VLOOKUP(Ruimtestaat[[#This Row],[Code]],Locaties[#All],4,FALSE)</f>
        <v>Horsterweg 192</v>
      </c>
      <c r="D94" s="23" t="str">
        <f>VLOOKUP(Ruimtestaat[[#This Row],[Code]],Locaties[#All],5,FALSE)</f>
        <v>3891 EV</v>
      </c>
      <c r="E94" s="23" t="str">
        <f>VLOOKUP(Ruimtestaat[[#This Row],[Code]],Locaties[#All],6,FALSE)</f>
        <v>Zeewolde</v>
      </c>
      <c r="F94" s="23"/>
      <c r="G94" s="60"/>
      <c r="H94" s="23" t="s">
        <v>573</v>
      </c>
      <c r="I94" s="27" t="s">
        <v>592</v>
      </c>
      <c r="J94" s="3" t="s">
        <v>545</v>
      </c>
      <c r="K94" s="23">
        <v>2</v>
      </c>
      <c r="L94" s="60" t="str">
        <f>VLOOKUP(K94,Ruimtegroepen[],2,FALSE)</f>
        <v>Kantoren</v>
      </c>
      <c r="M94" s="23" t="s">
        <v>111</v>
      </c>
      <c r="N94" s="23" t="s">
        <v>39</v>
      </c>
      <c r="O94" s="86">
        <v>12</v>
      </c>
      <c r="P94" s="156"/>
      <c r="Q94" s="157" t="str">
        <f>LEFT(VLOOKUP(Ruimtestaat[[#This Row],[Ruimte code]],Ruimtegroepen[#All],4,1),2)</f>
        <v xml:space="preserve">B </v>
      </c>
      <c r="R94" s="158"/>
      <c r="S94" s="87">
        <v>40</v>
      </c>
      <c r="T94" s="87" t="s">
        <v>17</v>
      </c>
      <c r="U94" s="88">
        <f>IF(S94&gt;0,IF(RIGHT(Ruimtestaat[[#This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94" s="88">
        <f>IF(U94&gt;0,VLOOKUP($K94,Ruimtegroepen[],3,FALSE)*VLOOKUP($M94,Vloersoorten[],3,FALSE)*VLOOKUP($T94,Frequenties[],3,FALSE)*VLOOKUP($A94,Locaties[],3,FALSE),0)</f>
        <v>0</v>
      </c>
      <c r="W94" s="89">
        <f>Ruimtestaat[[#This Row],[Uitvoeringen werkdagen]]*Ruimtestaat[[#This Row],[Oppervlak (netto)]]</f>
        <v>960</v>
      </c>
      <c r="X94" s="90">
        <f>IF(V94&gt;0,Ruimtestaat[[#This Row],[Prest. (m2 /jaar) werkdagen]]/Ruimtestaat[[#This Row],[Norm (m2/uur) werkdagen]],0)</f>
        <v>0</v>
      </c>
      <c r="Y94" s="91">
        <f>Ruimtestaat[[#This Row],[uren / jaar werkdagen]]*Tariefsopbouw!$E$35</f>
        <v>0</v>
      </c>
      <c r="Z94" s="88"/>
      <c r="AA94" s="92">
        <f>IF(Ruimtestaat[[#This Row],[Frequentie weekend]]&gt;0,VALUE(LEFT(Z94,1))*S94,0)</f>
        <v>0</v>
      </c>
      <c r="AB94" s="88">
        <f>IF($AA94&gt;0,VLOOKUP($K94,Ruimtegroepen[],3,FALSE)*VLOOKUP($M94,Vloersoorten[],3,FALSE)*VLOOKUP($Z94,Frequenties[],3,FALSE)*VLOOKUP(#REF!,Locaties[],3,FALSE),0)</f>
        <v>0</v>
      </c>
      <c r="AC94" s="90">
        <f>Ruimtestaat[[#This Row],[Uitvoeringen weekend]]*Ruimtestaat[[#This Row],[Oppervlak (netto)]]</f>
        <v>0</v>
      </c>
      <c r="AD94" s="93">
        <f>IF(AC94&gt;0,Ruimtestaat[[#This Row],[Prest. (m2 /jaar) weekend]]/Ruimtestaat[[#This Row],[Norm (m2/uur) weekend]],0)</f>
        <v>0</v>
      </c>
      <c r="AE94" s="94">
        <f>Ruimtestaat[[#This Row],[uren / jaar weekend]]*Tariefsopbouw!$D$40</f>
        <v>0</v>
      </c>
      <c r="AF94" s="66">
        <f>Ruimtestaat[[#This Row],[Prest. (m2 /jaar) weekend]]+Ruimtestaat[[#This Row],[Prest. (m2 /jaar) werkdagen]]</f>
        <v>960</v>
      </c>
      <c r="AG94" s="66">
        <f>Ruimtestaat[[#This Row],[uren / jaar weekend]]+Ruimtestaat[[#This Row],[uren / jaar werkdagen]]</f>
        <v>0</v>
      </c>
      <c r="AH94" s="67">
        <f>Ruimtestaat[[#This Row],[kosten / jaar weekend]]+Ruimtestaat[[#This Row],[kosten / jaar werkdagen]]</f>
        <v>0</v>
      </c>
    </row>
    <row r="95" spans="1:34" ht="15" customHeight="1">
      <c r="A95" s="112">
        <v>1</v>
      </c>
      <c r="B95" s="23" t="str">
        <f>VLOOKUP(Ruimtestaat[[#This Row],[Code]],Locaties[#All],2,FALSE)</f>
        <v>RSG Levant</v>
      </c>
      <c r="C95" s="23" t="str">
        <f>VLOOKUP(Ruimtestaat[[#This Row],[Code]],Locaties[#All],4,FALSE)</f>
        <v>Horsterweg 192</v>
      </c>
      <c r="D95" s="23" t="str">
        <f>VLOOKUP(Ruimtestaat[[#This Row],[Code]],Locaties[#All],5,FALSE)</f>
        <v>3891 EV</v>
      </c>
      <c r="E95" s="23" t="str">
        <f>VLOOKUP(Ruimtestaat[[#This Row],[Code]],Locaties[#All],6,FALSE)</f>
        <v>Zeewolde</v>
      </c>
      <c r="F95" s="23"/>
      <c r="G95" s="60"/>
      <c r="H95" s="23" t="s">
        <v>573</v>
      </c>
      <c r="I95" s="27" t="s">
        <v>593</v>
      </c>
      <c r="J95" s="3" t="s">
        <v>543</v>
      </c>
      <c r="K95" s="23">
        <v>8</v>
      </c>
      <c r="L95" s="60" t="str">
        <f>VLOOKUP(K95,Ruimtegroepen[],2,FALSE)</f>
        <v>Mediatheek / OLC</v>
      </c>
      <c r="M95" s="23" t="s">
        <v>112</v>
      </c>
      <c r="N95" s="23" t="s">
        <v>137</v>
      </c>
      <c r="O95" s="86">
        <v>13</v>
      </c>
      <c r="P95" s="86"/>
      <c r="Q95" s="95" t="str">
        <f>LEFT(VLOOKUP(Ruimtestaat[[#This Row],[Ruimte code]],Ruimtegroepen[#All],4,1),2)</f>
        <v xml:space="preserve">L </v>
      </c>
      <c r="R95" s="95"/>
      <c r="S95" s="87">
        <v>40</v>
      </c>
      <c r="T95" s="87" t="s">
        <v>2</v>
      </c>
      <c r="U95" s="88">
        <f>IF(S95&gt;0,IF(RIGHT(Ruimtestaat[[#This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95" s="88">
        <f>IF(U95&gt;0,VLOOKUP($K95,Ruimtegroepen[],3,FALSE)*VLOOKUP($M95,Vloersoorten[],3,FALSE)*VLOOKUP($T95,Frequenties[],3,FALSE)*VLOOKUP($A95,Locaties[],3,FALSE),0)</f>
        <v>0</v>
      </c>
      <c r="W95" s="89">
        <f>Ruimtestaat[[#This Row],[Uitvoeringen werkdagen]]*Ruimtestaat[[#This Row],[Oppervlak (netto)]]</f>
        <v>2600</v>
      </c>
      <c r="X95" s="90">
        <f>IF(V95&gt;0,Ruimtestaat[[#This Row],[Prest. (m2 /jaar) werkdagen]]/Ruimtestaat[[#This Row],[Norm (m2/uur) werkdagen]],0)</f>
        <v>0</v>
      </c>
      <c r="Y95" s="91">
        <f>Ruimtestaat[[#This Row],[uren / jaar werkdagen]]*Tariefsopbouw!$E$35</f>
        <v>0</v>
      </c>
      <c r="Z95" s="88"/>
      <c r="AA95" s="92">
        <f>IF(Ruimtestaat[[#This Row],[Frequentie weekend]]&gt;0,VALUE(LEFT(Z95,1))*S95,0)</f>
        <v>0</v>
      </c>
      <c r="AB95" s="88">
        <f>IF($AA95&gt;0,VLOOKUP($K95,Ruimtegroepen[],3,FALSE)*VLOOKUP($M95,Vloersoorten[],3,FALSE)*VLOOKUP($Z95,Frequenties[],3,FALSE)*VLOOKUP(#REF!,Locaties[],3,FALSE),0)</f>
        <v>0</v>
      </c>
      <c r="AC95" s="90">
        <f>Ruimtestaat[[#This Row],[Uitvoeringen weekend]]*Ruimtestaat[[#This Row],[Oppervlak (netto)]]</f>
        <v>0</v>
      </c>
      <c r="AD95" s="93">
        <f>IF(AC95&gt;0,Ruimtestaat[[#This Row],[Prest. (m2 /jaar) weekend]]/Ruimtestaat[[#This Row],[Norm (m2/uur) weekend]],0)</f>
        <v>0</v>
      </c>
      <c r="AE95" s="94">
        <f>Ruimtestaat[[#This Row],[uren / jaar weekend]]*Tariefsopbouw!$D$40</f>
        <v>0</v>
      </c>
      <c r="AF95" s="66">
        <f>Ruimtestaat[[#This Row],[Prest. (m2 /jaar) weekend]]+Ruimtestaat[[#This Row],[Prest. (m2 /jaar) werkdagen]]</f>
        <v>2600</v>
      </c>
      <c r="AG95" s="66">
        <f>Ruimtestaat[[#This Row],[uren / jaar weekend]]+Ruimtestaat[[#This Row],[uren / jaar werkdagen]]</f>
        <v>0</v>
      </c>
      <c r="AH95" s="67">
        <f>Ruimtestaat[[#This Row],[kosten / jaar weekend]]+Ruimtestaat[[#This Row],[kosten / jaar werkdagen]]</f>
        <v>0</v>
      </c>
    </row>
    <row r="96" spans="1:34" ht="15" customHeight="1">
      <c r="A96" s="112">
        <v>1</v>
      </c>
      <c r="B96" s="23" t="str">
        <f>VLOOKUP(Ruimtestaat[[#This Row],[Code]],Locaties[#All],2,FALSE)</f>
        <v>RSG Levant</v>
      </c>
      <c r="C96" s="23" t="str">
        <f>VLOOKUP(Ruimtestaat[[#This Row],[Code]],Locaties[#All],4,FALSE)</f>
        <v>Horsterweg 192</v>
      </c>
      <c r="D96" s="23" t="str">
        <f>VLOOKUP(Ruimtestaat[[#This Row],[Code]],Locaties[#All],5,FALSE)</f>
        <v>3891 EV</v>
      </c>
      <c r="E96" s="23" t="str">
        <f>VLOOKUP(Ruimtestaat[[#This Row],[Code]],Locaties[#All],6,FALSE)</f>
        <v>Zeewolde</v>
      </c>
      <c r="F96" s="23"/>
      <c r="G96" s="60"/>
      <c r="H96" s="23" t="s">
        <v>573</v>
      </c>
      <c r="I96" s="27" t="s">
        <v>594</v>
      </c>
      <c r="J96" s="3" t="s">
        <v>542</v>
      </c>
      <c r="K96" s="23">
        <v>16</v>
      </c>
      <c r="L96" s="60" t="str">
        <f>VLOOKUP(K96,Ruimtegroepen[],2,FALSE)</f>
        <v>Leslokalen theorie</v>
      </c>
      <c r="M96" s="23" t="s">
        <v>112</v>
      </c>
      <c r="N96" s="23" t="s">
        <v>137</v>
      </c>
      <c r="O96" s="86">
        <v>51</v>
      </c>
      <c r="P96" s="86"/>
      <c r="Q96" s="95" t="str">
        <f>LEFT(VLOOKUP(Ruimtestaat[[#This Row],[Ruimte code]],Ruimtegroepen[#All],4,1),2)</f>
        <v xml:space="preserve">L </v>
      </c>
      <c r="R96" s="95"/>
      <c r="S96" s="87">
        <v>40</v>
      </c>
      <c r="T96" s="87" t="s">
        <v>2</v>
      </c>
      <c r="U96" s="88">
        <f>IF(S96&gt;0,IF(RIGHT(Ruimtestaat[[#This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96" s="88">
        <f>IF(U96&gt;0,VLOOKUP($K96,Ruimtegroepen[],3,FALSE)*VLOOKUP($M96,Vloersoorten[],3,FALSE)*VLOOKUP($T96,Frequenties[],3,FALSE)*VLOOKUP($A96,Locaties[],3,FALSE),0)</f>
        <v>0</v>
      </c>
      <c r="W96" s="89">
        <f>Ruimtestaat[[#This Row],[Uitvoeringen werkdagen]]*Ruimtestaat[[#This Row],[Oppervlak (netto)]]</f>
        <v>10200</v>
      </c>
      <c r="X96" s="90">
        <f>IF(V96&gt;0,Ruimtestaat[[#This Row],[Prest. (m2 /jaar) werkdagen]]/Ruimtestaat[[#This Row],[Norm (m2/uur) werkdagen]],0)</f>
        <v>0</v>
      </c>
      <c r="Y96" s="91">
        <f>Ruimtestaat[[#This Row],[uren / jaar werkdagen]]*Tariefsopbouw!$E$35</f>
        <v>0</v>
      </c>
      <c r="Z96" s="88"/>
      <c r="AA96" s="92">
        <f>IF(Ruimtestaat[[#This Row],[Frequentie weekend]]&gt;0,VALUE(LEFT(Z96,1))*S96,0)</f>
        <v>0</v>
      </c>
      <c r="AB96" s="88">
        <f>IF($AA96&gt;0,VLOOKUP($K96,Ruimtegroepen[],3,FALSE)*VLOOKUP($M96,Vloersoorten[],3,FALSE)*VLOOKUP($Z96,Frequenties[],3,FALSE)*VLOOKUP(#REF!,Locaties[],3,FALSE),0)</f>
        <v>0</v>
      </c>
      <c r="AC96" s="90">
        <f>Ruimtestaat[[#This Row],[Uitvoeringen weekend]]*Ruimtestaat[[#This Row],[Oppervlak (netto)]]</f>
        <v>0</v>
      </c>
      <c r="AD96" s="93">
        <f>IF(AC96&gt;0,Ruimtestaat[[#This Row],[Prest. (m2 /jaar) weekend]]/Ruimtestaat[[#This Row],[Norm (m2/uur) weekend]],0)</f>
        <v>0</v>
      </c>
      <c r="AE96" s="94">
        <f>Ruimtestaat[[#This Row],[uren / jaar weekend]]*Tariefsopbouw!$D$40</f>
        <v>0</v>
      </c>
      <c r="AF96" s="66">
        <f>Ruimtestaat[[#This Row],[Prest. (m2 /jaar) weekend]]+Ruimtestaat[[#This Row],[Prest. (m2 /jaar) werkdagen]]</f>
        <v>10200</v>
      </c>
      <c r="AG96" s="66">
        <f>Ruimtestaat[[#This Row],[uren / jaar weekend]]+Ruimtestaat[[#This Row],[uren / jaar werkdagen]]</f>
        <v>0</v>
      </c>
      <c r="AH96" s="67">
        <f>Ruimtestaat[[#This Row],[kosten / jaar weekend]]+Ruimtestaat[[#This Row],[kosten / jaar werkdagen]]</f>
        <v>0</v>
      </c>
    </row>
    <row r="97" spans="1:34" ht="15" customHeight="1">
      <c r="A97" s="112">
        <v>1</v>
      </c>
      <c r="B97" s="23" t="str">
        <f>VLOOKUP(Ruimtestaat[[#This Row],[Code]],Locaties[#All],2,FALSE)</f>
        <v>RSG Levant</v>
      </c>
      <c r="C97" s="23" t="str">
        <f>VLOOKUP(Ruimtestaat[[#This Row],[Code]],Locaties[#All],4,FALSE)</f>
        <v>Horsterweg 192</v>
      </c>
      <c r="D97" s="23" t="str">
        <f>VLOOKUP(Ruimtestaat[[#This Row],[Code]],Locaties[#All],5,FALSE)</f>
        <v>3891 EV</v>
      </c>
      <c r="E97" s="23" t="str">
        <f>VLOOKUP(Ruimtestaat[[#This Row],[Code]],Locaties[#All],6,FALSE)</f>
        <v>Zeewolde</v>
      </c>
      <c r="F97" s="23"/>
      <c r="G97" s="60"/>
      <c r="H97" s="23" t="s">
        <v>573</v>
      </c>
      <c r="I97" s="27" t="s">
        <v>595</v>
      </c>
      <c r="J97" s="3" t="s">
        <v>542</v>
      </c>
      <c r="K97" s="23">
        <v>16</v>
      </c>
      <c r="L97" s="60" t="str">
        <f>VLOOKUP(K97,Ruimtegroepen[],2,FALSE)</f>
        <v>Leslokalen theorie</v>
      </c>
      <c r="M97" s="23" t="s">
        <v>112</v>
      </c>
      <c r="N97" s="23" t="s">
        <v>137</v>
      </c>
      <c r="O97" s="86">
        <v>58</v>
      </c>
      <c r="P97" s="86"/>
      <c r="Q97" s="95" t="str">
        <f>LEFT(VLOOKUP(Ruimtestaat[[#This Row],[Ruimte code]],Ruimtegroepen[#All],4,1),2)</f>
        <v xml:space="preserve">L </v>
      </c>
      <c r="R97" s="95"/>
      <c r="S97" s="87">
        <v>40</v>
      </c>
      <c r="T97" s="87" t="s">
        <v>2</v>
      </c>
      <c r="U97" s="88">
        <f>IF(S97&gt;0,IF(RIGHT(Ruimtestaat[[#This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97" s="88">
        <f>IF(U97&gt;0,VLOOKUP($K97,Ruimtegroepen[],3,FALSE)*VLOOKUP($M97,Vloersoorten[],3,FALSE)*VLOOKUP($T97,Frequenties[],3,FALSE)*VLOOKUP($A97,Locaties[],3,FALSE),0)</f>
        <v>0</v>
      </c>
      <c r="W97" s="89">
        <f>Ruimtestaat[[#This Row],[Uitvoeringen werkdagen]]*Ruimtestaat[[#This Row],[Oppervlak (netto)]]</f>
        <v>11600</v>
      </c>
      <c r="X97" s="90">
        <f>IF(V97&gt;0,Ruimtestaat[[#This Row],[Prest. (m2 /jaar) werkdagen]]/Ruimtestaat[[#This Row],[Norm (m2/uur) werkdagen]],0)</f>
        <v>0</v>
      </c>
      <c r="Y97" s="91">
        <f>Ruimtestaat[[#This Row],[uren / jaar werkdagen]]*Tariefsopbouw!$E$35</f>
        <v>0</v>
      </c>
      <c r="Z97" s="88"/>
      <c r="AA97" s="92">
        <f>IF(Ruimtestaat[[#This Row],[Frequentie weekend]]&gt;0,VALUE(LEFT(Z97,1))*S97,0)</f>
        <v>0</v>
      </c>
      <c r="AB97" s="88">
        <f>IF($AA97&gt;0,VLOOKUP($K97,Ruimtegroepen[],3,FALSE)*VLOOKUP($M97,Vloersoorten[],3,FALSE)*VLOOKUP($Z97,Frequenties[],3,FALSE)*VLOOKUP(#REF!,Locaties[],3,FALSE),0)</f>
        <v>0</v>
      </c>
      <c r="AC97" s="90">
        <f>Ruimtestaat[[#This Row],[Uitvoeringen weekend]]*Ruimtestaat[[#This Row],[Oppervlak (netto)]]</f>
        <v>0</v>
      </c>
      <c r="AD97" s="93">
        <f>IF(AC97&gt;0,Ruimtestaat[[#This Row],[Prest. (m2 /jaar) weekend]]/Ruimtestaat[[#This Row],[Norm (m2/uur) weekend]],0)</f>
        <v>0</v>
      </c>
      <c r="AE97" s="94">
        <f>Ruimtestaat[[#This Row],[uren / jaar weekend]]*Tariefsopbouw!$D$40</f>
        <v>0</v>
      </c>
      <c r="AF97" s="66">
        <f>Ruimtestaat[[#This Row],[Prest. (m2 /jaar) weekend]]+Ruimtestaat[[#This Row],[Prest. (m2 /jaar) werkdagen]]</f>
        <v>11600</v>
      </c>
      <c r="AG97" s="66">
        <f>Ruimtestaat[[#This Row],[uren / jaar weekend]]+Ruimtestaat[[#This Row],[uren / jaar werkdagen]]</f>
        <v>0</v>
      </c>
      <c r="AH97" s="67">
        <f>Ruimtestaat[[#This Row],[kosten / jaar weekend]]+Ruimtestaat[[#This Row],[kosten / jaar werkdagen]]</f>
        <v>0</v>
      </c>
    </row>
    <row r="98" spans="1:34" ht="15" customHeight="1">
      <c r="A98" s="112">
        <v>1</v>
      </c>
      <c r="B98" s="23" t="str">
        <f>VLOOKUP(Ruimtestaat[[#This Row],[Code]],Locaties[#All],2,FALSE)</f>
        <v>RSG Levant</v>
      </c>
      <c r="C98" s="23" t="str">
        <f>VLOOKUP(Ruimtestaat[[#This Row],[Code]],Locaties[#All],4,FALSE)</f>
        <v>Horsterweg 192</v>
      </c>
      <c r="D98" s="23" t="str">
        <f>VLOOKUP(Ruimtestaat[[#This Row],[Code]],Locaties[#All],5,FALSE)</f>
        <v>3891 EV</v>
      </c>
      <c r="E98" s="23" t="str">
        <f>VLOOKUP(Ruimtestaat[[#This Row],[Code]],Locaties[#All],6,FALSE)</f>
        <v>Zeewolde</v>
      </c>
      <c r="F98" s="23"/>
      <c r="G98" s="60"/>
      <c r="H98" s="23" t="s">
        <v>573</v>
      </c>
      <c r="I98" s="27" t="s">
        <v>596</v>
      </c>
      <c r="J98" s="3" t="s">
        <v>382</v>
      </c>
      <c r="K98" s="23">
        <v>6</v>
      </c>
      <c r="L98" s="60" t="str">
        <f>VLOOKUP(K98,Ruimtegroepen[],2,FALSE)</f>
        <v>Gangen/hallen</v>
      </c>
      <c r="M98" s="23" t="s">
        <v>112</v>
      </c>
      <c r="N98" s="23" t="s">
        <v>137</v>
      </c>
      <c r="O98" s="86">
        <v>72</v>
      </c>
      <c r="P98" s="86"/>
      <c r="Q98" s="95" t="str">
        <f>LEFT(VLOOKUP(Ruimtestaat[[#This Row],[Ruimte code]],Ruimtegroepen[#All],4,1),2)</f>
        <v xml:space="preserve">V </v>
      </c>
      <c r="R98" s="95"/>
      <c r="S98" s="87">
        <v>40</v>
      </c>
      <c r="T98" s="87" t="s">
        <v>2</v>
      </c>
      <c r="U98" s="88">
        <f>IF(S98&gt;0,IF(RIGHT(Ruimtestaat[[#This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98" s="88">
        <f>IF(U98&gt;0,VLOOKUP($K98,Ruimtegroepen[],3,FALSE)*VLOOKUP($M98,Vloersoorten[],3,FALSE)*VLOOKUP($T98,Frequenties[],3,FALSE)*VLOOKUP($A98,Locaties[],3,FALSE),0)</f>
        <v>0</v>
      </c>
      <c r="W98" s="89">
        <f>Ruimtestaat[[#This Row],[Uitvoeringen werkdagen]]*Ruimtestaat[[#This Row],[Oppervlak (netto)]]</f>
        <v>14400</v>
      </c>
      <c r="X98" s="90">
        <f>IF(V98&gt;0,Ruimtestaat[[#This Row],[Prest. (m2 /jaar) werkdagen]]/Ruimtestaat[[#This Row],[Norm (m2/uur) werkdagen]],0)</f>
        <v>0</v>
      </c>
      <c r="Y98" s="91">
        <f>Ruimtestaat[[#This Row],[uren / jaar werkdagen]]*Tariefsopbouw!$E$35</f>
        <v>0</v>
      </c>
      <c r="Z98" s="88"/>
      <c r="AA98" s="92">
        <f>IF(Ruimtestaat[[#This Row],[Frequentie weekend]]&gt;0,VALUE(LEFT(Z98,1))*S98,0)</f>
        <v>0</v>
      </c>
      <c r="AB98" s="88">
        <f>IF($AA98&gt;0,VLOOKUP($K98,Ruimtegroepen[],3,FALSE)*VLOOKUP($M98,Vloersoorten[],3,FALSE)*VLOOKUP($Z98,Frequenties[],3,FALSE)*VLOOKUP(#REF!,Locaties[],3,FALSE),0)</f>
        <v>0</v>
      </c>
      <c r="AC98" s="90">
        <f>Ruimtestaat[[#This Row],[Uitvoeringen weekend]]*Ruimtestaat[[#This Row],[Oppervlak (netto)]]</f>
        <v>0</v>
      </c>
      <c r="AD98" s="93">
        <f>IF(AC98&gt;0,Ruimtestaat[[#This Row],[Prest. (m2 /jaar) weekend]]/Ruimtestaat[[#This Row],[Norm (m2/uur) weekend]],0)</f>
        <v>0</v>
      </c>
      <c r="AE98" s="94">
        <f>Ruimtestaat[[#This Row],[uren / jaar weekend]]*Tariefsopbouw!$D$40</f>
        <v>0</v>
      </c>
      <c r="AF98" s="66">
        <f>Ruimtestaat[[#This Row],[Prest. (m2 /jaar) weekend]]+Ruimtestaat[[#This Row],[Prest. (m2 /jaar) werkdagen]]</f>
        <v>14400</v>
      </c>
      <c r="AG98" s="66">
        <f>Ruimtestaat[[#This Row],[uren / jaar weekend]]+Ruimtestaat[[#This Row],[uren / jaar werkdagen]]</f>
        <v>0</v>
      </c>
      <c r="AH98" s="67">
        <f>Ruimtestaat[[#This Row],[kosten / jaar weekend]]+Ruimtestaat[[#This Row],[kosten / jaar werkdagen]]</f>
        <v>0</v>
      </c>
    </row>
    <row r="99" spans="1:34" ht="15" customHeight="1">
      <c r="A99" s="112">
        <v>1</v>
      </c>
      <c r="B99" s="23" t="str">
        <f>VLOOKUP(Ruimtestaat[[#This Row],[Code]],Locaties[#All],2,FALSE)</f>
        <v>RSG Levant</v>
      </c>
      <c r="C99" s="23" t="str">
        <f>VLOOKUP(Ruimtestaat[[#This Row],[Code]],Locaties[#All],4,FALSE)</f>
        <v>Horsterweg 192</v>
      </c>
      <c r="D99" s="23" t="str">
        <f>VLOOKUP(Ruimtestaat[[#This Row],[Code]],Locaties[#All],5,FALSE)</f>
        <v>3891 EV</v>
      </c>
      <c r="E99" s="23" t="str">
        <f>VLOOKUP(Ruimtestaat[[#This Row],[Code]],Locaties[#All],6,FALSE)</f>
        <v>Zeewolde</v>
      </c>
      <c r="F99" s="23"/>
      <c r="G99" s="60"/>
      <c r="H99" s="23" t="s">
        <v>573</v>
      </c>
      <c r="I99" s="27" t="s">
        <v>597</v>
      </c>
      <c r="J99" s="3" t="s">
        <v>382</v>
      </c>
      <c r="K99" s="23">
        <v>6</v>
      </c>
      <c r="L99" s="60" t="str">
        <f>VLOOKUP(K99,Ruimtegroepen[],2,FALSE)</f>
        <v>Gangen/hallen</v>
      </c>
      <c r="M99" s="23" t="s">
        <v>112</v>
      </c>
      <c r="N99" s="23" t="s">
        <v>137</v>
      </c>
      <c r="O99" s="86">
        <v>44</v>
      </c>
      <c r="P99" s="86"/>
      <c r="Q99" s="95" t="str">
        <f>LEFT(VLOOKUP(Ruimtestaat[[#This Row],[Ruimte code]],Ruimtegroepen[#All],4,1),2)</f>
        <v xml:space="preserve">V </v>
      </c>
      <c r="R99" s="95"/>
      <c r="S99" s="87">
        <v>40</v>
      </c>
      <c r="T99" s="87" t="s">
        <v>2</v>
      </c>
      <c r="U99" s="88">
        <f>IF(S99&gt;0,IF(RIGHT(Ruimtestaat[[#This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99" s="88">
        <f>IF(U99&gt;0,VLOOKUP($K99,Ruimtegroepen[],3,FALSE)*VLOOKUP($M99,Vloersoorten[],3,FALSE)*VLOOKUP($T99,Frequenties[],3,FALSE)*VLOOKUP($A99,Locaties[],3,FALSE),0)</f>
        <v>0</v>
      </c>
      <c r="W99" s="89">
        <f>Ruimtestaat[[#This Row],[Uitvoeringen werkdagen]]*Ruimtestaat[[#This Row],[Oppervlak (netto)]]</f>
        <v>8800</v>
      </c>
      <c r="X99" s="90">
        <f>IF(V99&gt;0,Ruimtestaat[[#This Row],[Prest. (m2 /jaar) werkdagen]]/Ruimtestaat[[#This Row],[Norm (m2/uur) werkdagen]],0)</f>
        <v>0</v>
      </c>
      <c r="Y99" s="91">
        <f>Ruimtestaat[[#This Row],[uren / jaar werkdagen]]*Tariefsopbouw!$E$35</f>
        <v>0</v>
      </c>
      <c r="Z99" s="88"/>
      <c r="AA99" s="92">
        <f>IF(Ruimtestaat[[#This Row],[Frequentie weekend]]&gt;0,VALUE(LEFT(Z99,1))*S99,0)</f>
        <v>0</v>
      </c>
      <c r="AB99" s="88">
        <f>IF($AA99&gt;0,VLOOKUP($K99,Ruimtegroepen[],3,FALSE)*VLOOKUP($M99,Vloersoorten[],3,FALSE)*VLOOKUP($Z99,Frequenties[],3,FALSE)*VLOOKUP(#REF!,Locaties[],3,FALSE),0)</f>
        <v>0</v>
      </c>
      <c r="AC99" s="90">
        <f>Ruimtestaat[[#This Row],[Uitvoeringen weekend]]*Ruimtestaat[[#This Row],[Oppervlak (netto)]]</f>
        <v>0</v>
      </c>
      <c r="AD99" s="93">
        <f>IF(AC99&gt;0,Ruimtestaat[[#This Row],[Prest. (m2 /jaar) weekend]]/Ruimtestaat[[#This Row],[Norm (m2/uur) weekend]],0)</f>
        <v>0</v>
      </c>
      <c r="AE99" s="94">
        <f>Ruimtestaat[[#This Row],[uren / jaar weekend]]*Tariefsopbouw!$D$40</f>
        <v>0</v>
      </c>
      <c r="AF99" s="66">
        <f>Ruimtestaat[[#This Row],[Prest. (m2 /jaar) weekend]]+Ruimtestaat[[#This Row],[Prest. (m2 /jaar) werkdagen]]</f>
        <v>8800</v>
      </c>
      <c r="AG99" s="66">
        <f>Ruimtestaat[[#This Row],[uren / jaar weekend]]+Ruimtestaat[[#This Row],[uren / jaar werkdagen]]</f>
        <v>0</v>
      </c>
      <c r="AH99" s="67">
        <f>Ruimtestaat[[#This Row],[kosten / jaar weekend]]+Ruimtestaat[[#This Row],[kosten / jaar werkdagen]]</f>
        <v>0</v>
      </c>
    </row>
    <row r="100" spans="1:34" ht="15" customHeight="1">
      <c r="A100" s="112">
        <v>1</v>
      </c>
      <c r="B100" s="23" t="str">
        <f>VLOOKUP(Ruimtestaat[[#This Row],[Code]],Locaties[#All],2,FALSE)</f>
        <v>RSG Levant</v>
      </c>
      <c r="C100" s="23" t="str">
        <f>VLOOKUP(Ruimtestaat[[#This Row],[Code]],Locaties[#All],4,FALSE)</f>
        <v>Horsterweg 192</v>
      </c>
      <c r="D100" s="23" t="str">
        <f>VLOOKUP(Ruimtestaat[[#This Row],[Code]],Locaties[#All],5,FALSE)</f>
        <v>3891 EV</v>
      </c>
      <c r="E100" s="23" t="str">
        <f>VLOOKUP(Ruimtestaat[[#This Row],[Code]],Locaties[#All],6,FALSE)</f>
        <v>Zeewolde</v>
      </c>
      <c r="F100" s="23"/>
      <c r="G100" s="60"/>
      <c r="H100" s="23" t="s">
        <v>573</v>
      </c>
      <c r="I100" s="27" t="s">
        <v>598</v>
      </c>
      <c r="J100" s="3" t="s">
        <v>382</v>
      </c>
      <c r="K100" s="23">
        <v>6</v>
      </c>
      <c r="L100" s="60" t="str">
        <f>VLOOKUP(K100,Ruimtegroepen[],2,FALSE)</f>
        <v>Gangen/hallen</v>
      </c>
      <c r="M100" s="23" t="s">
        <v>112</v>
      </c>
      <c r="N100" s="23" t="s">
        <v>137</v>
      </c>
      <c r="O100" s="86">
        <v>46</v>
      </c>
      <c r="P100" s="86"/>
      <c r="Q100" s="95" t="str">
        <f>LEFT(VLOOKUP(Ruimtestaat[[#This Row],[Ruimte code]],Ruimtegroepen[#All],4,1),2)</f>
        <v xml:space="preserve">V </v>
      </c>
      <c r="R100" s="95"/>
      <c r="S100" s="87">
        <v>40</v>
      </c>
      <c r="T100" s="87" t="s">
        <v>2</v>
      </c>
      <c r="U100" s="88">
        <f>IF(S100&gt;0,IF(RIGHT(Ruimtestaat[[#This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00" s="88">
        <f>IF(U100&gt;0,VLOOKUP($K100,Ruimtegroepen[],3,FALSE)*VLOOKUP($M100,Vloersoorten[],3,FALSE)*VLOOKUP($T100,Frequenties[],3,FALSE)*VLOOKUP($A100,Locaties[],3,FALSE),0)</f>
        <v>0</v>
      </c>
      <c r="W100" s="89">
        <f>Ruimtestaat[[#This Row],[Uitvoeringen werkdagen]]*Ruimtestaat[[#This Row],[Oppervlak (netto)]]</f>
        <v>9200</v>
      </c>
      <c r="X100" s="90">
        <f>IF(V100&gt;0,Ruimtestaat[[#This Row],[Prest. (m2 /jaar) werkdagen]]/Ruimtestaat[[#This Row],[Norm (m2/uur) werkdagen]],0)</f>
        <v>0</v>
      </c>
      <c r="Y100" s="91">
        <f>Ruimtestaat[[#This Row],[uren / jaar werkdagen]]*Tariefsopbouw!$E$35</f>
        <v>0</v>
      </c>
      <c r="Z100" s="88"/>
      <c r="AA100" s="92">
        <f>IF(Ruimtestaat[[#This Row],[Frequentie weekend]]&gt;0,VALUE(LEFT(Z100,1))*S100,0)</f>
        <v>0</v>
      </c>
      <c r="AB100" s="88">
        <f>IF($AA100&gt;0,VLOOKUP($K100,Ruimtegroepen[],3,FALSE)*VLOOKUP($M100,Vloersoorten[],3,FALSE)*VLOOKUP($Z100,Frequenties[],3,FALSE)*VLOOKUP(#REF!,Locaties[],3,FALSE),0)</f>
        <v>0</v>
      </c>
      <c r="AC100" s="90">
        <f>Ruimtestaat[[#This Row],[Uitvoeringen weekend]]*Ruimtestaat[[#This Row],[Oppervlak (netto)]]</f>
        <v>0</v>
      </c>
      <c r="AD100" s="93">
        <f>IF(AC100&gt;0,Ruimtestaat[[#This Row],[Prest. (m2 /jaar) weekend]]/Ruimtestaat[[#This Row],[Norm (m2/uur) weekend]],0)</f>
        <v>0</v>
      </c>
      <c r="AE100" s="94">
        <f>Ruimtestaat[[#This Row],[uren / jaar weekend]]*Tariefsopbouw!$D$40</f>
        <v>0</v>
      </c>
      <c r="AF100" s="66">
        <f>Ruimtestaat[[#This Row],[Prest. (m2 /jaar) weekend]]+Ruimtestaat[[#This Row],[Prest. (m2 /jaar) werkdagen]]</f>
        <v>9200</v>
      </c>
      <c r="AG100" s="66">
        <f>Ruimtestaat[[#This Row],[uren / jaar weekend]]+Ruimtestaat[[#This Row],[uren / jaar werkdagen]]</f>
        <v>0</v>
      </c>
      <c r="AH100" s="67">
        <f>Ruimtestaat[[#This Row],[kosten / jaar weekend]]+Ruimtestaat[[#This Row],[kosten / jaar werkdagen]]</f>
        <v>0</v>
      </c>
    </row>
    <row r="101" spans="1:34" ht="15" customHeight="1">
      <c r="A101" s="112">
        <v>1</v>
      </c>
      <c r="B101" s="23" t="str">
        <f>VLOOKUP(Ruimtestaat[[#This Row],[Code]],Locaties[#All],2,FALSE)</f>
        <v>RSG Levant</v>
      </c>
      <c r="C101" s="23" t="str">
        <f>VLOOKUP(Ruimtestaat[[#This Row],[Code]],Locaties[#All],4,FALSE)</f>
        <v>Horsterweg 192</v>
      </c>
      <c r="D101" s="23" t="str">
        <f>VLOOKUP(Ruimtestaat[[#This Row],[Code]],Locaties[#All],5,FALSE)</f>
        <v>3891 EV</v>
      </c>
      <c r="E101" s="23" t="str">
        <f>VLOOKUP(Ruimtestaat[[#This Row],[Code]],Locaties[#All],6,FALSE)</f>
        <v>Zeewolde</v>
      </c>
      <c r="F101" s="23"/>
      <c r="G101" s="60"/>
      <c r="H101" s="23" t="s">
        <v>573</v>
      </c>
      <c r="I101" s="27" t="s">
        <v>599</v>
      </c>
      <c r="J101" s="3" t="s">
        <v>382</v>
      </c>
      <c r="K101" s="23">
        <v>6</v>
      </c>
      <c r="L101" s="60" t="str">
        <f>VLOOKUP(K101,Ruimtegroepen[],2,FALSE)</f>
        <v>Gangen/hallen</v>
      </c>
      <c r="M101" s="23" t="s">
        <v>112</v>
      </c>
      <c r="N101" s="23" t="s">
        <v>137</v>
      </c>
      <c r="O101" s="86">
        <v>84</v>
      </c>
      <c r="P101" s="86"/>
      <c r="Q101" s="95" t="str">
        <f>LEFT(VLOOKUP(Ruimtestaat[[#This Row],[Ruimte code]],Ruimtegroepen[#All],4,1),2)</f>
        <v xml:space="preserve">V </v>
      </c>
      <c r="R101" s="95"/>
      <c r="S101" s="87">
        <v>40</v>
      </c>
      <c r="T101" s="87" t="s">
        <v>2</v>
      </c>
      <c r="U101" s="88">
        <f>IF(S101&gt;0,IF(RIGHT(Ruimtestaat[[#This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01" s="88">
        <f>IF(U101&gt;0,VLOOKUP($K101,Ruimtegroepen[],3,FALSE)*VLOOKUP($M101,Vloersoorten[],3,FALSE)*VLOOKUP($T101,Frequenties[],3,FALSE)*VLOOKUP($A101,Locaties[],3,FALSE),0)</f>
        <v>0</v>
      </c>
      <c r="W101" s="89">
        <f>Ruimtestaat[[#This Row],[Uitvoeringen werkdagen]]*Ruimtestaat[[#This Row],[Oppervlak (netto)]]</f>
        <v>16800</v>
      </c>
      <c r="X101" s="90">
        <f>IF(V101&gt;0,Ruimtestaat[[#This Row],[Prest. (m2 /jaar) werkdagen]]/Ruimtestaat[[#This Row],[Norm (m2/uur) werkdagen]],0)</f>
        <v>0</v>
      </c>
      <c r="Y101" s="91">
        <f>Ruimtestaat[[#This Row],[uren / jaar werkdagen]]*Tariefsopbouw!$E$35</f>
        <v>0</v>
      </c>
      <c r="Z101" s="88"/>
      <c r="AA101" s="92">
        <f>IF(Ruimtestaat[[#This Row],[Frequentie weekend]]&gt;0,VALUE(LEFT(Z101,1))*S101,0)</f>
        <v>0</v>
      </c>
      <c r="AB101" s="88">
        <f>IF($AA101&gt;0,VLOOKUP($K101,Ruimtegroepen[],3,FALSE)*VLOOKUP($M101,Vloersoorten[],3,FALSE)*VLOOKUP($Z101,Frequenties[],3,FALSE)*VLOOKUP(#REF!,Locaties[],3,FALSE),0)</f>
        <v>0</v>
      </c>
      <c r="AC101" s="90">
        <f>Ruimtestaat[[#This Row],[Uitvoeringen weekend]]*Ruimtestaat[[#This Row],[Oppervlak (netto)]]</f>
        <v>0</v>
      </c>
      <c r="AD101" s="93">
        <f>IF(AC101&gt;0,Ruimtestaat[[#This Row],[Prest. (m2 /jaar) weekend]]/Ruimtestaat[[#This Row],[Norm (m2/uur) weekend]],0)</f>
        <v>0</v>
      </c>
      <c r="AE101" s="94">
        <f>Ruimtestaat[[#This Row],[uren / jaar weekend]]*Tariefsopbouw!$D$40</f>
        <v>0</v>
      </c>
      <c r="AF101" s="66">
        <f>Ruimtestaat[[#This Row],[Prest. (m2 /jaar) weekend]]+Ruimtestaat[[#This Row],[Prest. (m2 /jaar) werkdagen]]</f>
        <v>16800</v>
      </c>
      <c r="AG101" s="66">
        <f>Ruimtestaat[[#This Row],[uren / jaar weekend]]+Ruimtestaat[[#This Row],[uren / jaar werkdagen]]</f>
        <v>0</v>
      </c>
      <c r="AH101" s="67">
        <f>Ruimtestaat[[#This Row],[kosten / jaar weekend]]+Ruimtestaat[[#This Row],[kosten / jaar werkdagen]]</f>
        <v>0</v>
      </c>
    </row>
    <row r="102" spans="1:34" ht="15" customHeight="1">
      <c r="A102" s="112">
        <v>1</v>
      </c>
      <c r="B102" s="23" t="str">
        <f>VLOOKUP(Ruimtestaat[[#This Row],[Code]],Locaties[#All],2,FALSE)</f>
        <v>RSG Levant</v>
      </c>
      <c r="C102" s="23" t="str">
        <f>VLOOKUP(Ruimtestaat[[#This Row],[Code]],Locaties[#All],4,FALSE)</f>
        <v>Horsterweg 192</v>
      </c>
      <c r="D102" s="23" t="str">
        <f>VLOOKUP(Ruimtestaat[[#This Row],[Code]],Locaties[#All],5,FALSE)</f>
        <v>3891 EV</v>
      </c>
      <c r="E102" s="23" t="str">
        <f>VLOOKUP(Ruimtestaat[[#This Row],[Code]],Locaties[#All],6,FALSE)</f>
        <v>Zeewolde</v>
      </c>
      <c r="F102" s="23"/>
      <c r="G102" s="60"/>
      <c r="H102" s="23" t="s">
        <v>573</v>
      </c>
      <c r="I102" s="27" t="s">
        <v>600</v>
      </c>
      <c r="J102" s="3" t="s">
        <v>382</v>
      </c>
      <c r="K102" s="23">
        <v>6</v>
      </c>
      <c r="L102" s="60" t="str">
        <f>VLOOKUP(K102,Ruimtegroepen[],2,FALSE)</f>
        <v>Gangen/hallen</v>
      </c>
      <c r="M102" s="23" t="s">
        <v>112</v>
      </c>
      <c r="N102" s="23" t="s">
        <v>137</v>
      </c>
      <c r="O102" s="86">
        <v>45</v>
      </c>
      <c r="P102" s="86"/>
      <c r="Q102" s="95" t="str">
        <f>LEFT(VLOOKUP(Ruimtestaat[[#This Row],[Ruimte code]],Ruimtegroepen[#All],4,1),2)</f>
        <v xml:space="preserve">V </v>
      </c>
      <c r="R102" s="95"/>
      <c r="S102" s="87">
        <v>40</v>
      </c>
      <c r="T102" s="87" t="s">
        <v>2</v>
      </c>
      <c r="U102" s="88">
        <f>IF(S102&gt;0,IF(RIGHT(Ruimtestaat[[#This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02" s="88">
        <f>IF(U102&gt;0,VLOOKUP($K102,Ruimtegroepen[],3,FALSE)*VLOOKUP($M102,Vloersoorten[],3,FALSE)*VLOOKUP($T102,Frequenties[],3,FALSE)*VLOOKUP($A102,Locaties[],3,FALSE),0)</f>
        <v>0</v>
      </c>
      <c r="W102" s="89">
        <f>Ruimtestaat[[#This Row],[Uitvoeringen werkdagen]]*Ruimtestaat[[#This Row],[Oppervlak (netto)]]</f>
        <v>9000</v>
      </c>
      <c r="X102" s="90">
        <f>IF(V102&gt;0,Ruimtestaat[[#This Row],[Prest. (m2 /jaar) werkdagen]]/Ruimtestaat[[#This Row],[Norm (m2/uur) werkdagen]],0)</f>
        <v>0</v>
      </c>
      <c r="Y102" s="91">
        <f>Ruimtestaat[[#This Row],[uren / jaar werkdagen]]*Tariefsopbouw!$E$35</f>
        <v>0</v>
      </c>
      <c r="Z102" s="88"/>
      <c r="AA102" s="92">
        <f>IF(Ruimtestaat[[#This Row],[Frequentie weekend]]&gt;0,VALUE(LEFT(Z102,1))*S102,0)</f>
        <v>0</v>
      </c>
      <c r="AB102" s="88">
        <f>IF($AA102&gt;0,VLOOKUP($K102,Ruimtegroepen[],3,FALSE)*VLOOKUP($M102,Vloersoorten[],3,FALSE)*VLOOKUP($Z102,Frequenties[],3,FALSE)*VLOOKUP(#REF!,Locaties[],3,FALSE),0)</f>
        <v>0</v>
      </c>
      <c r="AC102" s="90">
        <f>Ruimtestaat[[#This Row],[Uitvoeringen weekend]]*Ruimtestaat[[#This Row],[Oppervlak (netto)]]</f>
        <v>0</v>
      </c>
      <c r="AD102" s="93">
        <f>IF(AC102&gt;0,Ruimtestaat[[#This Row],[Prest. (m2 /jaar) weekend]]/Ruimtestaat[[#This Row],[Norm (m2/uur) weekend]],0)</f>
        <v>0</v>
      </c>
      <c r="AE102" s="94">
        <f>Ruimtestaat[[#This Row],[uren / jaar weekend]]*Tariefsopbouw!$D$40</f>
        <v>0</v>
      </c>
      <c r="AF102" s="66">
        <f>Ruimtestaat[[#This Row],[Prest. (m2 /jaar) weekend]]+Ruimtestaat[[#This Row],[Prest. (m2 /jaar) werkdagen]]</f>
        <v>9000</v>
      </c>
      <c r="AG102" s="66">
        <f>Ruimtestaat[[#This Row],[uren / jaar weekend]]+Ruimtestaat[[#This Row],[uren / jaar werkdagen]]</f>
        <v>0</v>
      </c>
      <c r="AH102" s="67">
        <f>Ruimtestaat[[#This Row],[kosten / jaar weekend]]+Ruimtestaat[[#This Row],[kosten / jaar werkdagen]]</f>
        <v>0</v>
      </c>
    </row>
    <row r="103" spans="1:34" ht="15" customHeight="1">
      <c r="A103" s="112">
        <v>1</v>
      </c>
      <c r="B103" s="23" t="str">
        <f>VLOOKUP(Ruimtestaat[[#This Row],[Code]],Locaties[#All],2,FALSE)</f>
        <v>RSG Levant</v>
      </c>
      <c r="C103" s="23" t="str">
        <f>VLOOKUP(Ruimtestaat[[#This Row],[Code]],Locaties[#All],4,FALSE)</f>
        <v>Horsterweg 192</v>
      </c>
      <c r="D103" s="23" t="str">
        <f>VLOOKUP(Ruimtestaat[[#This Row],[Code]],Locaties[#All],5,FALSE)</f>
        <v>3891 EV</v>
      </c>
      <c r="E103" s="23" t="str">
        <f>VLOOKUP(Ruimtestaat[[#This Row],[Code]],Locaties[#All],6,FALSE)</f>
        <v>Zeewolde</v>
      </c>
      <c r="F103" s="23"/>
      <c r="G103" s="60"/>
      <c r="H103" s="23" t="s">
        <v>573</v>
      </c>
      <c r="I103" s="27" t="s">
        <v>601</v>
      </c>
      <c r="J103" s="3" t="s">
        <v>382</v>
      </c>
      <c r="K103" s="23">
        <v>6</v>
      </c>
      <c r="L103" s="60" t="str">
        <f>VLOOKUP(K103,Ruimtegroepen[],2,FALSE)</f>
        <v>Gangen/hallen</v>
      </c>
      <c r="M103" s="23" t="s">
        <v>112</v>
      </c>
      <c r="N103" s="23" t="s">
        <v>137</v>
      </c>
      <c r="O103" s="86">
        <v>29</v>
      </c>
      <c r="P103" s="86"/>
      <c r="Q103" s="95" t="str">
        <f>LEFT(VLOOKUP(Ruimtestaat[[#This Row],[Ruimte code]],Ruimtegroepen[#All],4,1),2)</f>
        <v xml:space="preserve">V </v>
      </c>
      <c r="R103" s="95"/>
      <c r="S103" s="87">
        <v>40</v>
      </c>
      <c r="T103" s="87" t="s">
        <v>2</v>
      </c>
      <c r="U103" s="88">
        <f>IF(S103&gt;0,IF(RIGHT(Ruimtestaat[[#This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03" s="88">
        <f>IF(U103&gt;0,VLOOKUP($K103,Ruimtegroepen[],3,FALSE)*VLOOKUP($M103,Vloersoorten[],3,FALSE)*VLOOKUP($T103,Frequenties[],3,FALSE)*VLOOKUP($A103,Locaties[],3,FALSE),0)</f>
        <v>0</v>
      </c>
      <c r="W103" s="89">
        <f>Ruimtestaat[[#This Row],[Uitvoeringen werkdagen]]*Ruimtestaat[[#This Row],[Oppervlak (netto)]]</f>
        <v>5800</v>
      </c>
      <c r="X103" s="90">
        <f>IF(V103&gt;0,Ruimtestaat[[#This Row],[Prest. (m2 /jaar) werkdagen]]/Ruimtestaat[[#This Row],[Norm (m2/uur) werkdagen]],0)</f>
        <v>0</v>
      </c>
      <c r="Y103" s="91">
        <f>Ruimtestaat[[#This Row],[uren / jaar werkdagen]]*Tariefsopbouw!$E$35</f>
        <v>0</v>
      </c>
      <c r="Z103" s="88"/>
      <c r="AA103" s="92">
        <f>IF(Ruimtestaat[[#This Row],[Frequentie weekend]]&gt;0,VALUE(LEFT(Z103,1))*S103,0)</f>
        <v>0</v>
      </c>
      <c r="AB103" s="88">
        <f>IF($AA103&gt;0,VLOOKUP($K103,Ruimtegroepen[],3,FALSE)*VLOOKUP($M103,Vloersoorten[],3,FALSE)*VLOOKUP($Z103,Frequenties[],3,FALSE)*VLOOKUP(#REF!,Locaties[],3,FALSE),0)</f>
        <v>0</v>
      </c>
      <c r="AC103" s="90">
        <f>Ruimtestaat[[#This Row],[Uitvoeringen weekend]]*Ruimtestaat[[#This Row],[Oppervlak (netto)]]</f>
        <v>0</v>
      </c>
      <c r="AD103" s="93">
        <f>IF(AC103&gt;0,Ruimtestaat[[#This Row],[Prest. (m2 /jaar) weekend]]/Ruimtestaat[[#This Row],[Norm (m2/uur) weekend]],0)</f>
        <v>0</v>
      </c>
      <c r="AE103" s="94">
        <f>Ruimtestaat[[#This Row],[uren / jaar weekend]]*Tariefsopbouw!$D$40</f>
        <v>0</v>
      </c>
      <c r="AF103" s="66">
        <f>Ruimtestaat[[#This Row],[Prest. (m2 /jaar) weekend]]+Ruimtestaat[[#This Row],[Prest. (m2 /jaar) werkdagen]]</f>
        <v>5800</v>
      </c>
      <c r="AG103" s="66">
        <f>Ruimtestaat[[#This Row],[uren / jaar weekend]]+Ruimtestaat[[#This Row],[uren / jaar werkdagen]]</f>
        <v>0</v>
      </c>
      <c r="AH103" s="67">
        <f>Ruimtestaat[[#This Row],[kosten / jaar weekend]]+Ruimtestaat[[#This Row],[kosten / jaar werkdagen]]</f>
        <v>0</v>
      </c>
    </row>
    <row r="104" spans="1:34" ht="15" customHeight="1">
      <c r="A104" s="112">
        <v>1</v>
      </c>
      <c r="B104" s="23" t="str">
        <f>VLOOKUP(Ruimtestaat[[#This Row],[Code]],Locaties[#All],2,FALSE)</f>
        <v>RSG Levant</v>
      </c>
      <c r="C104" s="23" t="str">
        <f>VLOOKUP(Ruimtestaat[[#This Row],[Code]],Locaties[#All],4,FALSE)</f>
        <v>Horsterweg 192</v>
      </c>
      <c r="D104" s="23" t="str">
        <f>VLOOKUP(Ruimtestaat[[#This Row],[Code]],Locaties[#All],5,FALSE)</f>
        <v>3891 EV</v>
      </c>
      <c r="E104" s="23" t="str">
        <f>VLOOKUP(Ruimtestaat[[#This Row],[Code]],Locaties[#All],6,FALSE)</f>
        <v>Zeewolde</v>
      </c>
      <c r="F104" s="23"/>
      <c r="G104" s="60"/>
      <c r="H104" s="23" t="s">
        <v>573</v>
      </c>
      <c r="I104" s="27" t="s">
        <v>602</v>
      </c>
      <c r="J104" s="3" t="s">
        <v>537</v>
      </c>
      <c r="K104" s="23">
        <v>10</v>
      </c>
      <c r="L104" s="60" t="str">
        <f>VLOOKUP(K104,Ruimtegroepen[],2,FALSE)</f>
        <v>Trappenhuizen/lift</v>
      </c>
      <c r="M104" s="23" t="s">
        <v>112</v>
      </c>
      <c r="N104" s="23" t="s">
        <v>137</v>
      </c>
      <c r="O104" s="86">
        <v>20</v>
      </c>
      <c r="P104" s="86"/>
      <c r="Q104" s="95" t="str">
        <f>LEFT(VLOOKUP(Ruimtestaat[[#This Row],[Ruimte code]],Ruimtegroepen[#All],4,1),2)</f>
        <v xml:space="preserve">V </v>
      </c>
      <c r="R104" s="95"/>
      <c r="S104" s="87">
        <v>40</v>
      </c>
      <c r="T104" s="87" t="s">
        <v>2</v>
      </c>
      <c r="U104" s="88">
        <f>IF(S104&gt;0,IF(RIGHT(Ruimtestaat[[#This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04" s="88">
        <f>IF(U104&gt;0,VLOOKUP($K104,Ruimtegroepen[],3,FALSE)*VLOOKUP($M104,Vloersoorten[],3,FALSE)*VLOOKUP($T104,Frequenties[],3,FALSE)*VLOOKUP($A104,Locaties[],3,FALSE),0)</f>
        <v>0</v>
      </c>
      <c r="W104" s="89">
        <f>Ruimtestaat[[#This Row],[Uitvoeringen werkdagen]]*Ruimtestaat[[#This Row],[Oppervlak (netto)]]</f>
        <v>4000</v>
      </c>
      <c r="X104" s="90">
        <f>IF(V104&gt;0,Ruimtestaat[[#This Row],[Prest. (m2 /jaar) werkdagen]]/Ruimtestaat[[#This Row],[Norm (m2/uur) werkdagen]],0)</f>
        <v>0</v>
      </c>
      <c r="Y104" s="91">
        <f>Ruimtestaat[[#This Row],[uren / jaar werkdagen]]*Tariefsopbouw!$E$35</f>
        <v>0</v>
      </c>
      <c r="Z104" s="88"/>
      <c r="AA104" s="92">
        <f>IF(Ruimtestaat[[#This Row],[Frequentie weekend]]&gt;0,VALUE(LEFT(Z104,1))*S104,0)</f>
        <v>0</v>
      </c>
      <c r="AB104" s="88">
        <f>IF($AA104&gt;0,VLOOKUP($K104,Ruimtegroepen[],3,FALSE)*VLOOKUP($M104,Vloersoorten[],3,FALSE)*VLOOKUP($Z104,Frequenties[],3,FALSE)*VLOOKUP(#REF!,Locaties[],3,FALSE),0)</f>
        <v>0</v>
      </c>
      <c r="AC104" s="90">
        <f>Ruimtestaat[[#This Row],[Uitvoeringen weekend]]*Ruimtestaat[[#This Row],[Oppervlak (netto)]]</f>
        <v>0</v>
      </c>
      <c r="AD104" s="93">
        <f>IF(AC104&gt;0,Ruimtestaat[[#This Row],[Prest. (m2 /jaar) weekend]]/Ruimtestaat[[#This Row],[Norm (m2/uur) weekend]],0)</f>
        <v>0</v>
      </c>
      <c r="AE104" s="94">
        <f>Ruimtestaat[[#This Row],[uren / jaar weekend]]*Tariefsopbouw!$D$40</f>
        <v>0</v>
      </c>
      <c r="AF104" s="66">
        <f>Ruimtestaat[[#This Row],[Prest. (m2 /jaar) weekend]]+Ruimtestaat[[#This Row],[Prest. (m2 /jaar) werkdagen]]</f>
        <v>4000</v>
      </c>
      <c r="AG104" s="66">
        <f>Ruimtestaat[[#This Row],[uren / jaar weekend]]+Ruimtestaat[[#This Row],[uren / jaar werkdagen]]</f>
        <v>0</v>
      </c>
      <c r="AH104" s="67">
        <f>Ruimtestaat[[#This Row],[kosten / jaar weekend]]+Ruimtestaat[[#This Row],[kosten / jaar werkdagen]]</f>
        <v>0</v>
      </c>
    </row>
    <row r="105" spans="1:34" ht="15" customHeight="1">
      <c r="A105" s="112">
        <v>1</v>
      </c>
      <c r="B105" s="23" t="str">
        <f>VLOOKUP(Ruimtestaat[[#This Row],[Code]],Locaties[#All],2,FALSE)</f>
        <v>RSG Levant</v>
      </c>
      <c r="C105" s="23" t="str">
        <f>VLOOKUP(Ruimtestaat[[#This Row],[Code]],Locaties[#All],4,FALSE)</f>
        <v>Horsterweg 192</v>
      </c>
      <c r="D105" s="23" t="str">
        <f>VLOOKUP(Ruimtestaat[[#This Row],[Code]],Locaties[#All],5,FALSE)</f>
        <v>3891 EV</v>
      </c>
      <c r="E105" s="23" t="str">
        <f>VLOOKUP(Ruimtestaat[[#This Row],[Code]],Locaties[#All],6,FALSE)</f>
        <v>Zeewolde</v>
      </c>
      <c r="F105" s="23"/>
      <c r="G105" s="60"/>
      <c r="H105" s="23" t="s">
        <v>573</v>
      </c>
      <c r="I105" s="27" t="s">
        <v>603</v>
      </c>
      <c r="J105" s="3" t="s">
        <v>647</v>
      </c>
      <c r="K105" s="23">
        <v>8</v>
      </c>
      <c r="L105" s="60" t="str">
        <f>VLOOKUP(K105,Ruimtegroepen[],2,FALSE)</f>
        <v>Mediatheek / OLC</v>
      </c>
      <c r="M105" s="23" t="s">
        <v>112</v>
      </c>
      <c r="N105" s="23" t="s">
        <v>137</v>
      </c>
      <c r="O105" s="86">
        <v>77</v>
      </c>
      <c r="P105" s="86"/>
      <c r="Q105" s="95" t="str">
        <f>LEFT(VLOOKUP(Ruimtestaat[[#This Row],[Ruimte code]],Ruimtegroepen[#All],4,1),2)</f>
        <v xml:space="preserve">L </v>
      </c>
      <c r="R105" s="95"/>
      <c r="S105" s="87">
        <v>40</v>
      </c>
      <c r="T105" s="87" t="s">
        <v>2</v>
      </c>
      <c r="U105" s="88">
        <f>IF(S105&gt;0,IF(RIGHT(Ruimtestaat[[#This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05" s="88">
        <f>IF(U105&gt;0,VLOOKUP($K105,Ruimtegroepen[],3,FALSE)*VLOOKUP($M105,Vloersoorten[],3,FALSE)*VLOOKUP($T105,Frequenties[],3,FALSE)*VLOOKUP($A105,Locaties[],3,FALSE),0)</f>
        <v>0</v>
      </c>
      <c r="W105" s="89">
        <f>Ruimtestaat[[#This Row],[Uitvoeringen werkdagen]]*Ruimtestaat[[#This Row],[Oppervlak (netto)]]</f>
        <v>15400</v>
      </c>
      <c r="X105" s="90">
        <f>IF(V105&gt;0,Ruimtestaat[[#This Row],[Prest. (m2 /jaar) werkdagen]]/Ruimtestaat[[#This Row],[Norm (m2/uur) werkdagen]],0)</f>
        <v>0</v>
      </c>
      <c r="Y105" s="91">
        <f>Ruimtestaat[[#This Row],[uren / jaar werkdagen]]*Tariefsopbouw!$E$35</f>
        <v>0</v>
      </c>
      <c r="Z105" s="88"/>
      <c r="AA105" s="92">
        <f>IF(Ruimtestaat[[#This Row],[Frequentie weekend]]&gt;0,VALUE(LEFT(Z105,1))*S105,0)</f>
        <v>0</v>
      </c>
      <c r="AB105" s="88">
        <f>IF($AA105&gt;0,VLOOKUP($K105,Ruimtegroepen[],3,FALSE)*VLOOKUP($M105,Vloersoorten[],3,FALSE)*VLOOKUP($Z105,Frequenties[],3,FALSE)*VLOOKUP(#REF!,Locaties[],3,FALSE),0)</f>
        <v>0</v>
      </c>
      <c r="AC105" s="90">
        <f>Ruimtestaat[[#This Row],[Uitvoeringen weekend]]*Ruimtestaat[[#This Row],[Oppervlak (netto)]]</f>
        <v>0</v>
      </c>
      <c r="AD105" s="93">
        <f>IF(AC105&gt;0,Ruimtestaat[[#This Row],[Prest. (m2 /jaar) weekend]]/Ruimtestaat[[#This Row],[Norm (m2/uur) weekend]],0)</f>
        <v>0</v>
      </c>
      <c r="AE105" s="94">
        <f>Ruimtestaat[[#This Row],[uren / jaar weekend]]*Tariefsopbouw!$D$40</f>
        <v>0</v>
      </c>
      <c r="AF105" s="66">
        <f>Ruimtestaat[[#This Row],[Prest. (m2 /jaar) weekend]]+Ruimtestaat[[#This Row],[Prest. (m2 /jaar) werkdagen]]</f>
        <v>15400</v>
      </c>
      <c r="AG105" s="66">
        <f>Ruimtestaat[[#This Row],[uren / jaar weekend]]+Ruimtestaat[[#This Row],[uren / jaar werkdagen]]</f>
        <v>0</v>
      </c>
      <c r="AH105" s="67">
        <f>Ruimtestaat[[#This Row],[kosten / jaar weekend]]+Ruimtestaat[[#This Row],[kosten / jaar werkdagen]]</f>
        <v>0</v>
      </c>
    </row>
    <row r="106" spans="1:34" ht="15" customHeight="1">
      <c r="A106" s="112">
        <v>1</v>
      </c>
      <c r="B106" s="23" t="str">
        <f>VLOOKUP(Ruimtestaat[[#This Row],[Code]],Locaties[#All],2,FALSE)</f>
        <v>RSG Levant</v>
      </c>
      <c r="C106" s="23" t="str">
        <f>VLOOKUP(Ruimtestaat[[#This Row],[Code]],Locaties[#All],4,FALSE)</f>
        <v>Horsterweg 192</v>
      </c>
      <c r="D106" s="23" t="str">
        <f>VLOOKUP(Ruimtestaat[[#This Row],[Code]],Locaties[#All],5,FALSE)</f>
        <v>3891 EV</v>
      </c>
      <c r="E106" s="23" t="str">
        <f>VLOOKUP(Ruimtestaat[[#This Row],[Code]],Locaties[#All],6,FALSE)</f>
        <v>Zeewolde</v>
      </c>
      <c r="F106" s="23"/>
      <c r="G106" s="60"/>
      <c r="H106" s="23" t="s">
        <v>573</v>
      </c>
      <c r="I106" s="27" t="s">
        <v>604</v>
      </c>
      <c r="J106" s="3" t="s">
        <v>382</v>
      </c>
      <c r="K106" s="23">
        <v>6</v>
      </c>
      <c r="L106" s="60" t="str">
        <f>VLOOKUP(K106,Ruimtegroepen[],2,FALSE)</f>
        <v>Gangen/hallen</v>
      </c>
      <c r="M106" s="23" t="s">
        <v>112</v>
      </c>
      <c r="N106" s="23" t="s">
        <v>137</v>
      </c>
      <c r="O106" s="86">
        <v>23</v>
      </c>
      <c r="P106" s="86"/>
      <c r="Q106" s="95" t="str">
        <f>LEFT(VLOOKUP(Ruimtestaat[[#This Row],[Ruimte code]],Ruimtegroepen[#All],4,1),2)</f>
        <v xml:space="preserve">V </v>
      </c>
      <c r="R106" s="95"/>
      <c r="S106" s="87">
        <v>40</v>
      </c>
      <c r="T106" s="87" t="s">
        <v>2</v>
      </c>
      <c r="U106" s="88">
        <f>IF(S106&gt;0,IF(RIGHT(Ruimtestaat[[#This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06" s="88">
        <f>IF(U106&gt;0,VLOOKUP($K106,Ruimtegroepen[],3,FALSE)*VLOOKUP($M106,Vloersoorten[],3,FALSE)*VLOOKUP($T106,Frequenties[],3,FALSE)*VLOOKUP($A106,Locaties[],3,FALSE),0)</f>
        <v>0</v>
      </c>
      <c r="W106" s="89">
        <f>Ruimtestaat[[#This Row],[Uitvoeringen werkdagen]]*Ruimtestaat[[#This Row],[Oppervlak (netto)]]</f>
        <v>4600</v>
      </c>
      <c r="X106" s="90">
        <f>IF(V106&gt;0,Ruimtestaat[[#This Row],[Prest. (m2 /jaar) werkdagen]]/Ruimtestaat[[#This Row],[Norm (m2/uur) werkdagen]],0)</f>
        <v>0</v>
      </c>
      <c r="Y106" s="91">
        <f>Ruimtestaat[[#This Row],[uren / jaar werkdagen]]*Tariefsopbouw!$E$35</f>
        <v>0</v>
      </c>
      <c r="Z106" s="88"/>
      <c r="AA106" s="92">
        <f>IF(Ruimtestaat[[#This Row],[Frequentie weekend]]&gt;0,VALUE(LEFT(Z106,1))*S106,0)</f>
        <v>0</v>
      </c>
      <c r="AB106" s="88">
        <f>IF($AA106&gt;0,VLOOKUP($K106,Ruimtegroepen[],3,FALSE)*VLOOKUP($M106,Vloersoorten[],3,FALSE)*VLOOKUP($Z106,Frequenties[],3,FALSE)*VLOOKUP(#REF!,Locaties[],3,FALSE),0)</f>
        <v>0</v>
      </c>
      <c r="AC106" s="90">
        <f>Ruimtestaat[[#This Row],[Uitvoeringen weekend]]*Ruimtestaat[[#This Row],[Oppervlak (netto)]]</f>
        <v>0</v>
      </c>
      <c r="AD106" s="93">
        <f>IF(AC106&gt;0,Ruimtestaat[[#This Row],[Prest. (m2 /jaar) weekend]]/Ruimtestaat[[#This Row],[Norm (m2/uur) weekend]],0)</f>
        <v>0</v>
      </c>
      <c r="AE106" s="94">
        <f>Ruimtestaat[[#This Row],[uren / jaar weekend]]*Tariefsopbouw!$D$40</f>
        <v>0</v>
      </c>
      <c r="AF106" s="66">
        <f>Ruimtestaat[[#This Row],[Prest. (m2 /jaar) weekend]]+Ruimtestaat[[#This Row],[Prest. (m2 /jaar) werkdagen]]</f>
        <v>4600</v>
      </c>
      <c r="AG106" s="66">
        <f>Ruimtestaat[[#This Row],[uren / jaar weekend]]+Ruimtestaat[[#This Row],[uren / jaar werkdagen]]</f>
        <v>0</v>
      </c>
      <c r="AH106" s="67">
        <f>Ruimtestaat[[#This Row],[kosten / jaar weekend]]+Ruimtestaat[[#This Row],[kosten / jaar werkdagen]]</f>
        <v>0</v>
      </c>
    </row>
    <row r="107" spans="1:34" ht="15" customHeight="1">
      <c r="A107" s="112">
        <v>1</v>
      </c>
      <c r="B107" s="23" t="str">
        <f>VLOOKUP(Ruimtestaat[[#This Row],[Code]],Locaties[#All],2,FALSE)</f>
        <v>RSG Levant</v>
      </c>
      <c r="C107" s="23" t="str">
        <f>VLOOKUP(Ruimtestaat[[#This Row],[Code]],Locaties[#All],4,FALSE)</f>
        <v>Horsterweg 192</v>
      </c>
      <c r="D107" s="23" t="str">
        <f>VLOOKUP(Ruimtestaat[[#This Row],[Code]],Locaties[#All],5,FALSE)</f>
        <v>3891 EV</v>
      </c>
      <c r="E107" s="23" t="str">
        <f>VLOOKUP(Ruimtestaat[[#This Row],[Code]],Locaties[#All],6,FALSE)</f>
        <v>Zeewolde</v>
      </c>
      <c r="F107" s="23"/>
      <c r="G107" s="60"/>
      <c r="H107" s="23" t="s">
        <v>573</v>
      </c>
      <c r="I107" s="27" t="s">
        <v>605</v>
      </c>
      <c r="J107" s="3" t="s">
        <v>544</v>
      </c>
      <c r="K107" s="23">
        <v>20</v>
      </c>
      <c r="L107" s="60" t="str">
        <f>VLOOKUP(K107,Ruimtegroepen[],2,FALSE)</f>
        <v>Spreekkamers</v>
      </c>
      <c r="M107" s="23" t="s">
        <v>111</v>
      </c>
      <c r="N107" s="23" t="s">
        <v>39</v>
      </c>
      <c r="O107" s="86">
        <v>12</v>
      </c>
      <c r="P107" s="86"/>
      <c r="Q107" s="95" t="str">
        <f>LEFT(VLOOKUP(Ruimtestaat[[#This Row],[Ruimte code]],Ruimtegroepen[#All],4,1),2)</f>
        <v xml:space="preserve">B </v>
      </c>
      <c r="R107" s="95"/>
      <c r="S107" s="87">
        <v>40</v>
      </c>
      <c r="T107" s="87" t="s">
        <v>17</v>
      </c>
      <c r="U107" s="88">
        <f>IF(S107&gt;0,IF(RIGHT(Ruimtestaat[[#This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107" s="88">
        <f>IF(U107&gt;0,VLOOKUP($K107,Ruimtegroepen[],3,FALSE)*VLOOKUP($M107,Vloersoorten[],3,FALSE)*VLOOKUP($T107,Frequenties[],3,FALSE)*VLOOKUP($A107,Locaties[],3,FALSE),0)</f>
        <v>0</v>
      </c>
      <c r="W107" s="89">
        <f>Ruimtestaat[[#This Row],[Uitvoeringen werkdagen]]*Ruimtestaat[[#This Row],[Oppervlak (netto)]]</f>
        <v>960</v>
      </c>
      <c r="X107" s="90">
        <f>IF(V107&gt;0,Ruimtestaat[[#This Row],[Prest. (m2 /jaar) werkdagen]]/Ruimtestaat[[#This Row],[Norm (m2/uur) werkdagen]],0)</f>
        <v>0</v>
      </c>
      <c r="Y107" s="91">
        <f>Ruimtestaat[[#This Row],[uren / jaar werkdagen]]*Tariefsopbouw!$E$35</f>
        <v>0</v>
      </c>
      <c r="Z107" s="88"/>
      <c r="AA107" s="92">
        <f>IF(Ruimtestaat[[#This Row],[Frequentie weekend]]&gt;0,VALUE(LEFT(Z107,1))*S107,0)</f>
        <v>0</v>
      </c>
      <c r="AB107" s="88">
        <f>IF($AA107&gt;0,VLOOKUP($K107,Ruimtegroepen[],3,FALSE)*VLOOKUP($M107,Vloersoorten[],3,FALSE)*VLOOKUP($Z107,Frequenties[],3,FALSE)*VLOOKUP(#REF!,Locaties[],3,FALSE),0)</f>
        <v>0</v>
      </c>
      <c r="AC107" s="90">
        <f>Ruimtestaat[[#This Row],[Uitvoeringen weekend]]*Ruimtestaat[[#This Row],[Oppervlak (netto)]]</f>
        <v>0</v>
      </c>
      <c r="AD107" s="93">
        <f>IF(AC107&gt;0,Ruimtestaat[[#This Row],[Prest. (m2 /jaar) weekend]]/Ruimtestaat[[#This Row],[Norm (m2/uur) weekend]],0)</f>
        <v>0</v>
      </c>
      <c r="AE107" s="94">
        <f>Ruimtestaat[[#This Row],[uren / jaar weekend]]*Tariefsopbouw!$D$40</f>
        <v>0</v>
      </c>
      <c r="AF107" s="66">
        <f>Ruimtestaat[[#This Row],[Prest. (m2 /jaar) weekend]]+Ruimtestaat[[#This Row],[Prest. (m2 /jaar) werkdagen]]</f>
        <v>960</v>
      </c>
      <c r="AG107" s="66">
        <f>Ruimtestaat[[#This Row],[uren / jaar weekend]]+Ruimtestaat[[#This Row],[uren / jaar werkdagen]]</f>
        <v>0</v>
      </c>
      <c r="AH107" s="67">
        <f>Ruimtestaat[[#This Row],[kosten / jaar weekend]]+Ruimtestaat[[#This Row],[kosten / jaar werkdagen]]</f>
        <v>0</v>
      </c>
    </row>
    <row r="108" spans="1:34" ht="15" customHeight="1">
      <c r="A108" s="112">
        <v>1</v>
      </c>
      <c r="B108" s="23" t="str">
        <f>VLOOKUP(Ruimtestaat[[#This Row],[Code]],Locaties[#All],2,FALSE)</f>
        <v>RSG Levant</v>
      </c>
      <c r="C108" s="23" t="str">
        <f>VLOOKUP(Ruimtestaat[[#This Row],[Code]],Locaties[#All],4,FALSE)</f>
        <v>Horsterweg 192</v>
      </c>
      <c r="D108" s="23" t="str">
        <f>VLOOKUP(Ruimtestaat[[#This Row],[Code]],Locaties[#All],5,FALSE)</f>
        <v>3891 EV</v>
      </c>
      <c r="E108" s="23" t="str">
        <f>VLOOKUP(Ruimtestaat[[#This Row],[Code]],Locaties[#All],6,FALSE)</f>
        <v>Zeewolde</v>
      </c>
      <c r="F108" s="23"/>
      <c r="G108" s="60"/>
      <c r="H108" s="23" t="s">
        <v>573</v>
      </c>
      <c r="I108" s="27" t="s">
        <v>606</v>
      </c>
      <c r="J108" s="3" t="s">
        <v>544</v>
      </c>
      <c r="K108" s="23">
        <v>20</v>
      </c>
      <c r="L108" s="60" t="str">
        <f>VLOOKUP(K108,Ruimtegroepen[],2,FALSE)</f>
        <v>Spreekkamers</v>
      </c>
      <c r="M108" s="23" t="s">
        <v>111</v>
      </c>
      <c r="N108" s="23" t="s">
        <v>39</v>
      </c>
      <c r="O108" s="86">
        <v>12</v>
      </c>
      <c r="P108" s="86"/>
      <c r="Q108" s="95" t="str">
        <f>LEFT(VLOOKUP(Ruimtestaat[[#This Row],[Ruimte code]],Ruimtegroepen[#All],4,1),2)</f>
        <v xml:space="preserve">B </v>
      </c>
      <c r="R108" s="95"/>
      <c r="S108" s="87">
        <v>40</v>
      </c>
      <c r="T108" s="87" t="s">
        <v>17</v>
      </c>
      <c r="U108" s="88">
        <f>IF(S108&gt;0,IF(RIGHT(Ruimtestaat[[#This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108" s="88">
        <f>IF(U108&gt;0,VLOOKUP($K108,Ruimtegroepen[],3,FALSE)*VLOOKUP($M108,Vloersoorten[],3,FALSE)*VLOOKUP($T108,Frequenties[],3,FALSE)*VLOOKUP($A108,Locaties[],3,FALSE),0)</f>
        <v>0</v>
      </c>
      <c r="W108" s="89">
        <f>Ruimtestaat[[#This Row],[Uitvoeringen werkdagen]]*Ruimtestaat[[#This Row],[Oppervlak (netto)]]</f>
        <v>960</v>
      </c>
      <c r="X108" s="90">
        <f>IF(V108&gt;0,Ruimtestaat[[#This Row],[Prest. (m2 /jaar) werkdagen]]/Ruimtestaat[[#This Row],[Norm (m2/uur) werkdagen]],0)</f>
        <v>0</v>
      </c>
      <c r="Y108" s="91">
        <f>Ruimtestaat[[#This Row],[uren / jaar werkdagen]]*Tariefsopbouw!$E$35</f>
        <v>0</v>
      </c>
      <c r="Z108" s="88"/>
      <c r="AA108" s="92">
        <f>IF(Ruimtestaat[[#This Row],[Frequentie weekend]]&gt;0,VALUE(LEFT(Z108,1))*S108,0)</f>
        <v>0</v>
      </c>
      <c r="AB108" s="88">
        <f>IF($AA108&gt;0,VLOOKUP($K108,Ruimtegroepen[],3,FALSE)*VLOOKUP($M108,Vloersoorten[],3,FALSE)*VLOOKUP($Z108,Frequenties[],3,FALSE)*VLOOKUP(#REF!,Locaties[],3,FALSE),0)</f>
        <v>0</v>
      </c>
      <c r="AC108" s="90">
        <f>Ruimtestaat[[#This Row],[Uitvoeringen weekend]]*Ruimtestaat[[#This Row],[Oppervlak (netto)]]</f>
        <v>0</v>
      </c>
      <c r="AD108" s="93">
        <f>IF(AC108&gt;0,Ruimtestaat[[#This Row],[Prest. (m2 /jaar) weekend]]/Ruimtestaat[[#This Row],[Norm (m2/uur) weekend]],0)</f>
        <v>0</v>
      </c>
      <c r="AE108" s="94">
        <f>Ruimtestaat[[#This Row],[uren / jaar weekend]]*Tariefsopbouw!$D$40</f>
        <v>0</v>
      </c>
      <c r="AF108" s="66">
        <f>Ruimtestaat[[#This Row],[Prest. (m2 /jaar) weekend]]+Ruimtestaat[[#This Row],[Prest. (m2 /jaar) werkdagen]]</f>
        <v>960</v>
      </c>
      <c r="AG108" s="66">
        <f>Ruimtestaat[[#This Row],[uren / jaar weekend]]+Ruimtestaat[[#This Row],[uren / jaar werkdagen]]</f>
        <v>0</v>
      </c>
      <c r="AH108" s="67">
        <f>Ruimtestaat[[#This Row],[kosten / jaar weekend]]+Ruimtestaat[[#This Row],[kosten / jaar werkdagen]]</f>
        <v>0</v>
      </c>
    </row>
    <row r="109" spans="1:34" ht="15" customHeight="1">
      <c r="A109" s="112">
        <v>1</v>
      </c>
      <c r="B109" s="23" t="str">
        <f>VLOOKUP(Ruimtestaat[[#This Row],[Code]],Locaties[#All],2,FALSE)</f>
        <v>RSG Levant</v>
      </c>
      <c r="C109" s="23" t="str">
        <f>VLOOKUP(Ruimtestaat[[#This Row],[Code]],Locaties[#All],4,FALSE)</f>
        <v>Horsterweg 192</v>
      </c>
      <c r="D109" s="23" t="str">
        <f>VLOOKUP(Ruimtestaat[[#This Row],[Code]],Locaties[#All],5,FALSE)</f>
        <v>3891 EV</v>
      </c>
      <c r="E109" s="23" t="str">
        <f>VLOOKUP(Ruimtestaat[[#This Row],[Code]],Locaties[#All],6,FALSE)</f>
        <v>Zeewolde</v>
      </c>
      <c r="F109" s="23"/>
      <c r="G109" s="60"/>
      <c r="H109" s="23" t="s">
        <v>573</v>
      </c>
      <c r="I109" s="27" t="s">
        <v>607</v>
      </c>
      <c r="J109" s="3" t="s">
        <v>648</v>
      </c>
      <c r="K109" s="23">
        <v>3</v>
      </c>
      <c r="L109" s="60" t="str">
        <f>VLOOKUP(K109,Ruimtegroepen[],2,FALSE)</f>
        <v>Reproruimte</v>
      </c>
      <c r="M109" s="23" t="s">
        <v>112</v>
      </c>
      <c r="N109" s="23" t="s">
        <v>137</v>
      </c>
      <c r="O109" s="86">
        <v>12</v>
      </c>
      <c r="P109" s="86"/>
      <c r="Q109" s="95" t="str">
        <f>LEFT(VLOOKUP(Ruimtestaat[[#This Row],[Ruimte code]],Ruimtegroepen[#All],4,1),2)</f>
        <v xml:space="preserve">V </v>
      </c>
      <c r="R109" s="95"/>
      <c r="S109" s="87">
        <v>40</v>
      </c>
      <c r="T109" s="87" t="s">
        <v>2</v>
      </c>
      <c r="U109" s="88">
        <f>IF(S109&gt;0,IF(RIGHT(Ruimtestaat[[#This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09" s="88">
        <f>IF(U109&gt;0,VLOOKUP($K109,Ruimtegroepen[],3,FALSE)*VLOOKUP($M109,Vloersoorten[],3,FALSE)*VLOOKUP($T109,Frequenties[],3,FALSE)*VLOOKUP($A109,Locaties[],3,FALSE),0)</f>
        <v>0</v>
      </c>
      <c r="W109" s="89">
        <f>Ruimtestaat[[#This Row],[Uitvoeringen werkdagen]]*Ruimtestaat[[#This Row],[Oppervlak (netto)]]</f>
        <v>2400</v>
      </c>
      <c r="X109" s="90">
        <f>IF(V109&gt;0,Ruimtestaat[[#This Row],[Prest. (m2 /jaar) werkdagen]]/Ruimtestaat[[#This Row],[Norm (m2/uur) werkdagen]],0)</f>
        <v>0</v>
      </c>
      <c r="Y109" s="91">
        <f>Ruimtestaat[[#This Row],[uren / jaar werkdagen]]*Tariefsopbouw!$E$35</f>
        <v>0</v>
      </c>
      <c r="Z109" s="88"/>
      <c r="AA109" s="92">
        <f>IF(Ruimtestaat[[#This Row],[Frequentie weekend]]&gt;0,VALUE(LEFT(Z109,1))*S109,0)</f>
        <v>0</v>
      </c>
      <c r="AB109" s="88">
        <f>IF($AA109&gt;0,VLOOKUP($K109,Ruimtegroepen[],3,FALSE)*VLOOKUP($M109,Vloersoorten[],3,FALSE)*VLOOKUP($Z109,Frequenties[],3,FALSE)*VLOOKUP(#REF!,Locaties[],3,FALSE),0)</f>
        <v>0</v>
      </c>
      <c r="AC109" s="90">
        <f>Ruimtestaat[[#This Row],[Uitvoeringen weekend]]*Ruimtestaat[[#This Row],[Oppervlak (netto)]]</f>
        <v>0</v>
      </c>
      <c r="AD109" s="93">
        <f>IF(AC109&gt;0,Ruimtestaat[[#This Row],[Prest. (m2 /jaar) weekend]]/Ruimtestaat[[#This Row],[Norm (m2/uur) weekend]],0)</f>
        <v>0</v>
      </c>
      <c r="AE109" s="94">
        <f>Ruimtestaat[[#This Row],[uren / jaar weekend]]*Tariefsopbouw!$D$40</f>
        <v>0</v>
      </c>
      <c r="AF109" s="66">
        <f>Ruimtestaat[[#This Row],[Prest. (m2 /jaar) weekend]]+Ruimtestaat[[#This Row],[Prest. (m2 /jaar) werkdagen]]</f>
        <v>2400</v>
      </c>
      <c r="AG109" s="66">
        <f>Ruimtestaat[[#This Row],[uren / jaar weekend]]+Ruimtestaat[[#This Row],[uren / jaar werkdagen]]</f>
        <v>0</v>
      </c>
      <c r="AH109" s="67">
        <f>Ruimtestaat[[#This Row],[kosten / jaar weekend]]+Ruimtestaat[[#This Row],[kosten / jaar werkdagen]]</f>
        <v>0</v>
      </c>
    </row>
    <row r="110" spans="1:34" ht="15" customHeight="1">
      <c r="A110" s="112">
        <v>1</v>
      </c>
      <c r="B110" s="23" t="str">
        <f>VLOOKUP(Ruimtestaat[[#This Row],[Code]],Locaties[#All],2,FALSE)</f>
        <v>RSG Levant</v>
      </c>
      <c r="C110" s="23" t="str">
        <f>VLOOKUP(Ruimtestaat[[#This Row],[Code]],Locaties[#All],4,FALSE)</f>
        <v>Horsterweg 192</v>
      </c>
      <c r="D110" s="23" t="str">
        <f>VLOOKUP(Ruimtestaat[[#This Row],[Code]],Locaties[#All],5,FALSE)</f>
        <v>3891 EV</v>
      </c>
      <c r="E110" s="23" t="str">
        <f>VLOOKUP(Ruimtestaat[[#This Row],[Code]],Locaties[#All],6,FALSE)</f>
        <v>Zeewolde</v>
      </c>
      <c r="F110" s="23"/>
      <c r="G110" s="60"/>
      <c r="H110" s="23" t="s">
        <v>573</v>
      </c>
      <c r="I110" s="27" t="s">
        <v>608</v>
      </c>
      <c r="J110" s="3" t="s">
        <v>649</v>
      </c>
      <c r="K110" s="23">
        <v>5</v>
      </c>
      <c r="L110" s="60" t="str">
        <f>VLOOKUP(K110,Ruimtegroepen[],2,FALSE)</f>
        <v>Sanitair</v>
      </c>
      <c r="M110" s="23" t="s">
        <v>112</v>
      </c>
      <c r="N110" s="23" t="s">
        <v>137</v>
      </c>
      <c r="O110" s="86">
        <v>6</v>
      </c>
      <c r="P110" s="86"/>
      <c r="Q110" s="95" t="str">
        <f>LEFT(VLOOKUP(Ruimtestaat[[#This Row],[Ruimte code]],Ruimtegroepen[#All],4,1),2)</f>
        <v xml:space="preserve">S </v>
      </c>
      <c r="R110" s="95"/>
      <c r="S110" s="87">
        <v>40</v>
      </c>
      <c r="T110" s="87" t="s">
        <v>2</v>
      </c>
      <c r="U110" s="88">
        <f>IF(S110&gt;0,IF(RIGHT(Ruimtestaat[[#This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10" s="88">
        <f>IF(U110&gt;0,VLOOKUP($K110,Ruimtegroepen[],3,FALSE)*VLOOKUP($M110,Vloersoorten[],3,FALSE)*VLOOKUP($T110,Frequenties[],3,FALSE)*VLOOKUP($A110,Locaties[],3,FALSE),0)</f>
        <v>0</v>
      </c>
      <c r="W110" s="89">
        <f>Ruimtestaat[[#This Row],[Uitvoeringen werkdagen]]*Ruimtestaat[[#This Row],[Oppervlak (netto)]]</f>
        <v>1200</v>
      </c>
      <c r="X110" s="90">
        <f>IF(V110&gt;0,Ruimtestaat[[#This Row],[Prest. (m2 /jaar) werkdagen]]/Ruimtestaat[[#This Row],[Norm (m2/uur) werkdagen]],0)</f>
        <v>0</v>
      </c>
      <c r="Y110" s="91">
        <f>Ruimtestaat[[#This Row],[uren / jaar werkdagen]]*Tariefsopbouw!$E$35</f>
        <v>0</v>
      </c>
      <c r="Z110" s="88"/>
      <c r="AA110" s="92">
        <f>IF(Ruimtestaat[[#This Row],[Frequentie weekend]]&gt;0,VALUE(LEFT(Z110,1))*S110,0)</f>
        <v>0</v>
      </c>
      <c r="AB110" s="88">
        <f>IF($AA110&gt;0,VLOOKUP($K110,Ruimtegroepen[],3,FALSE)*VLOOKUP($M110,Vloersoorten[],3,FALSE)*VLOOKUP($Z110,Frequenties[],3,FALSE)*VLOOKUP(#REF!,Locaties[],3,FALSE),0)</f>
        <v>0</v>
      </c>
      <c r="AC110" s="90">
        <f>Ruimtestaat[[#This Row],[Uitvoeringen weekend]]*Ruimtestaat[[#This Row],[Oppervlak (netto)]]</f>
        <v>0</v>
      </c>
      <c r="AD110" s="93">
        <f>IF(AC110&gt;0,Ruimtestaat[[#This Row],[Prest. (m2 /jaar) weekend]]/Ruimtestaat[[#This Row],[Norm (m2/uur) weekend]],0)</f>
        <v>0</v>
      </c>
      <c r="AE110" s="94">
        <f>Ruimtestaat[[#This Row],[uren / jaar weekend]]*Tariefsopbouw!$D$40</f>
        <v>0</v>
      </c>
      <c r="AF110" s="66">
        <f>Ruimtestaat[[#This Row],[Prest. (m2 /jaar) weekend]]+Ruimtestaat[[#This Row],[Prest. (m2 /jaar) werkdagen]]</f>
        <v>1200</v>
      </c>
      <c r="AG110" s="66">
        <f>Ruimtestaat[[#This Row],[uren / jaar weekend]]+Ruimtestaat[[#This Row],[uren / jaar werkdagen]]</f>
        <v>0</v>
      </c>
      <c r="AH110" s="67">
        <f>Ruimtestaat[[#This Row],[kosten / jaar weekend]]+Ruimtestaat[[#This Row],[kosten / jaar werkdagen]]</f>
        <v>0</v>
      </c>
    </row>
    <row r="111" spans="1:34" ht="15" customHeight="1">
      <c r="A111" s="112">
        <v>1</v>
      </c>
      <c r="B111" s="23" t="str">
        <f>VLOOKUP(Ruimtestaat[[#This Row],[Code]],Locaties[#All],2,FALSE)</f>
        <v>RSG Levant</v>
      </c>
      <c r="C111" s="23" t="str">
        <f>VLOOKUP(Ruimtestaat[[#This Row],[Code]],Locaties[#All],4,FALSE)</f>
        <v>Horsterweg 192</v>
      </c>
      <c r="D111" s="23" t="str">
        <f>VLOOKUP(Ruimtestaat[[#This Row],[Code]],Locaties[#All],5,FALSE)</f>
        <v>3891 EV</v>
      </c>
      <c r="E111" s="23" t="str">
        <f>VLOOKUP(Ruimtestaat[[#This Row],[Code]],Locaties[#All],6,FALSE)</f>
        <v>Zeewolde</v>
      </c>
      <c r="F111" s="23"/>
      <c r="G111" s="60"/>
      <c r="H111" s="23" t="s">
        <v>573</v>
      </c>
      <c r="I111" s="27" t="s">
        <v>609</v>
      </c>
      <c r="J111" s="3" t="s">
        <v>642</v>
      </c>
      <c r="K111" s="23">
        <v>5</v>
      </c>
      <c r="L111" s="60" t="str">
        <f>VLOOKUP(K111,Ruimtegroepen[],2,FALSE)</f>
        <v>Sanitair</v>
      </c>
      <c r="M111" s="23" t="s">
        <v>112</v>
      </c>
      <c r="N111" s="23" t="s">
        <v>137</v>
      </c>
      <c r="O111" s="86">
        <v>6</v>
      </c>
      <c r="P111" s="86"/>
      <c r="Q111" s="95" t="str">
        <f>LEFT(VLOOKUP(Ruimtestaat[[#This Row],[Ruimte code]],Ruimtegroepen[#All],4,1),2)</f>
        <v xml:space="preserve">S </v>
      </c>
      <c r="R111" s="95"/>
      <c r="S111" s="87">
        <v>40</v>
      </c>
      <c r="T111" s="87" t="s">
        <v>2</v>
      </c>
      <c r="U111" s="88">
        <f>IF(S111&gt;0,IF(RIGHT(Ruimtestaat[[#This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11" s="88">
        <f>IF(U111&gt;0,VLOOKUP($K111,Ruimtegroepen[],3,FALSE)*VLOOKUP($M111,Vloersoorten[],3,FALSE)*VLOOKUP($T111,Frequenties[],3,FALSE)*VLOOKUP($A111,Locaties[],3,FALSE),0)</f>
        <v>0</v>
      </c>
      <c r="W111" s="89">
        <f>Ruimtestaat[[#This Row],[Uitvoeringen werkdagen]]*Ruimtestaat[[#This Row],[Oppervlak (netto)]]</f>
        <v>1200</v>
      </c>
      <c r="X111" s="90">
        <f>IF(V111&gt;0,Ruimtestaat[[#This Row],[Prest. (m2 /jaar) werkdagen]]/Ruimtestaat[[#This Row],[Norm (m2/uur) werkdagen]],0)</f>
        <v>0</v>
      </c>
      <c r="Y111" s="91">
        <f>Ruimtestaat[[#This Row],[uren / jaar werkdagen]]*Tariefsopbouw!$E$35</f>
        <v>0</v>
      </c>
      <c r="Z111" s="88"/>
      <c r="AA111" s="92">
        <f>IF(Ruimtestaat[[#This Row],[Frequentie weekend]]&gt;0,VALUE(LEFT(Z111,1))*S111,0)</f>
        <v>0</v>
      </c>
      <c r="AB111" s="88">
        <f>IF($AA111&gt;0,VLOOKUP($K111,Ruimtegroepen[],3,FALSE)*VLOOKUP($M111,Vloersoorten[],3,FALSE)*VLOOKUP($Z111,Frequenties[],3,FALSE)*VLOOKUP(#REF!,Locaties[],3,FALSE),0)</f>
        <v>0</v>
      </c>
      <c r="AC111" s="90">
        <f>Ruimtestaat[[#This Row],[Uitvoeringen weekend]]*Ruimtestaat[[#This Row],[Oppervlak (netto)]]</f>
        <v>0</v>
      </c>
      <c r="AD111" s="93">
        <f>IF(AC111&gt;0,Ruimtestaat[[#This Row],[Prest. (m2 /jaar) weekend]]/Ruimtestaat[[#This Row],[Norm (m2/uur) weekend]],0)</f>
        <v>0</v>
      </c>
      <c r="AE111" s="94">
        <f>Ruimtestaat[[#This Row],[uren / jaar weekend]]*Tariefsopbouw!$D$40</f>
        <v>0</v>
      </c>
      <c r="AF111" s="66">
        <f>Ruimtestaat[[#This Row],[Prest. (m2 /jaar) weekend]]+Ruimtestaat[[#This Row],[Prest. (m2 /jaar) werkdagen]]</f>
        <v>1200</v>
      </c>
      <c r="AG111" s="66">
        <f>Ruimtestaat[[#This Row],[uren / jaar weekend]]+Ruimtestaat[[#This Row],[uren / jaar werkdagen]]</f>
        <v>0</v>
      </c>
      <c r="AH111" s="67">
        <f>Ruimtestaat[[#This Row],[kosten / jaar weekend]]+Ruimtestaat[[#This Row],[kosten / jaar werkdagen]]</f>
        <v>0</v>
      </c>
    </row>
    <row r="112" spans="1:34" ht="15" customHeight="1">
      <c r="A112" s="112">
        <v>1</v>
      </c>
      <c r="B112" s="23" t="str">
        <f>VLOOKUP(Ruimtestaat[[#This Row],[Code]],Locaties[#All],2,FALSE)</f>
        <v>RSG Levant</v>
      </c>
      <c r="C112" s="23" t="str">
        <f>VLOOKUP(Ruimtestaat[[#This Row],[Code]],Locaties[#All],4,FALSE)</f>
        <v>Horsterweg 192</v>
      </c>
      <c r="D112" s="23" t="str">
        <f>VLOOKUP(Ruimtestaat[[#This Row],[Code]],Locaties[#All],5,FALSE)</f>
        <v>3891 EV</v>
      </c>
      <c r="E112" s="23" t="str">
        <f>VLOOKUP(Ruimtestaat[[#This Row],[Code]],Locaties[#All],6,FALSE)</f>
        <v>Zeewolde</v>
      </c>
      <c r="F112" s="23"/>
      <c r="G112" s="60"/>
      <c r="H112" s="23" t="s">
        <v>573</v>
      </c>
      <c r="I112" s="27" t="s">
        <v>610</v>
      </c>
      <c r="J112" s="3" t="s">
        <v>650</v>
      </c>
      <c r="K112" s="23">
        <v>5</v>
      </c>
      <c r="L112" s="60" t="str">
        <f>VLOOKUP(K112,Ruimtegroepen[],2,FALSE)</f>
        <v>Sanitair</v>
      </c>
      <c r="M112" s="23" t="s">
        <v>112</v>
      </c>
      <c r="N112" s="23" t="s">
        <v>137</v>
      </c>
      <c r="O112" s="86">
        <v>6</v>
      </c>
      <c r="P112" s="86"/>
      <c r="Q112" s="95" t="str">
        <f>LEFT(VLOOKUP(Ruimtestaat[[#This Row],[Ruimte code]],Ruimtegroepen[#All],4,1),2)</f>
        <v xml:space="preserve">S </v>
      </c>
      <c r="R112" s="95"/>
      <c r="S112" s="87">
        <v>40</v>
      </c>
      <c r="T112" s="87" t="s">
        <v>2</v>
      </c>
      <c r="U112" s="88">
        <f>IF(S112&gt;0,IF(RIGHT(Ruimtestaat[[#This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12" s="88">
        <f>IF(U112&gt;0,VLOOKUP($K112,Ruimtegroepen[],3,FALSE)*VLOOKUP($M112,Vloersoorten[],3,FALSE)*VLOOKUP($T112,Frequenties[],3,FALSE)*VLOOKUP($A112,Locaties[],3,FALSE),0)</f>
        <v>0</v>
      </c>
      <c r="W112" s="89">
        <f>Ruimtestaat[[#This Row],[Uitvoeringen werkdagen]]*Ruimtestaat[[#This Row],[Oppervlak (netto)]]</f>
        <v>1200</v>
      </c>
      <c r="X112" s="90">
        <f>IF(V112&gt;0,Ruimtestaat[[#This Row],[Prest. (m2 /jaar) werkdagen]]/Ruimtestaat[[#This Row],[Norm (m2/uur) werkdagen]],0)</f>
        <v>0</v>
      </c>
      <c r="Y112" s="91">
        <f>Ruimtestaat[[#This Row],[uren / jaar werkdagen]]*Tariefsopbouw!$E$35</f>
        <v>0</v>
      </c>
      <c r="Z112" s="88"/>
      <c r="AA112" s="92">
        <f>IF(Ruimtestaat[[#This Row],[Frequentie weekend]]&gt;0,VALUE(LEFT(Z112,1))*S112,0)</f>
        <v>0</v>
      </c>
      <c r="AB112" s="88">
        <f>IF($AA112&gt;0,VLOOKUP($K112,Ruimtegroepen[],3,FALSE)*VLOOKUP($M112,Vloersoorten[],3,FALSE)*VLOOKUP($Z112,Frequenties[],3,FALSE)*VLOOKUP(#REF!,Locaties[],3,FALSE),0)</f>
        <v>0</v>
      </c>
      <c r="AC112" s="90">
        <f>Ruimtestaat[[#This Row],[Uitvoeringen weekend]]*Ruimtestaat[[#This Row],[Oppervlak (netto)]]</f>
        <v>0</v>
      </c>
      <c r="AD112" s="93">
        <f>IF(AC112&gt;0,Ruimtestaat[[#This Row],[Prest. (m2 /jaar) weekend]]/Ruimtestaat[[#This Row],[Norm (m2/uur) weekend]],0)</f>
        <v>0</v>
      </c>
      <c r="AE112" s="94">
        <f>Ruimtestaat[[#This Row],[uren / jaar weekend]]*Tariefsopbouw!$D$40</f>
        <v>0</v>
      </c>
      <c r="AF112" s="66">
        <f>Ruimtestaat[[#This Row],[Prest. (m2 /jaar) weekend]]+Ruimtestaat[[#This Row],[Prest. (m2 /jaar) werkdagen]]</f>
        <v>1200</v>
      </c>
      <c r="AG112" s="66">
        <f>Ruimtestaat[[#This Row],[uren / jaar weekend]]+Ruimtestaat[[#This Row],[uren / jaar werkdagen]]</f>
        <v>0</v>
      </c>
      <c r="AH112" s="67">
        <f>Ruimtestaat[[#This Row],[kosten / jaar weekend]]+Ruimtestaat[[#This Row],[kosten / jaar werkdagen]]</f>
        <v>0</v>
      </c>
    </row>
    <row r="113" spans="1:34" ht="15" customHeight="1">
      <c r="A113" s="112">
        <v>1</v>
      </c>
      <c r="B113" s="23" t="str">
        <f>VLOOKUP(Ruimtestaat[[#This Row],[Code]],Locaties[#All],2,FALSE)</f>
        <v>RSG Levant</v>
      </c>
      <c r="C113" s="23" t="str">
        <f>VLOOKUP(Ruimtestaat[[#This Row],[Code]],Locaties[#All],4,FALSE)</f>
        <v>Horsterweg 192</v>
      </c>
      <c r="D113" s="23" t="str">
        <f>VLOOKUP(Ruimtestaat[[#This Row],[Code]],Locaties[#All],5,FALSE)</f>
        <v>3891 EV</v>
      </c>
      <c r="E113" s="23" t="str">
        <f>VLOOKUP(Ruimtestaat[[#This Row],[Code]],Locaties[#All],6,FALSE)</f>
        <v>Zeewolde</v>
      </c>
      <c r="F113" s="23"/>
      <c r="G113" s="60"/>
      <c r="H113" s="23" t="s">
        <v>573</v>
      </c>
      <c r="I113" s="27" t="s">
        <v>611</v>
      </c>
      <c r="J113" s="3" t="s">
        <v>651</v>
      </c>
      <c r="K113" s="23">
        <v>5</v>
      </c>
      <c r="L113" s="60" t="str">
        <f>VLOOKUP(K113,Ruimtegroepen[],2,FALSE)</f>
        <v>Sanitair</v>
      </c>
      <c r="M113" s="23" t="s">
        <v>112</v>
      </c>
      <c r="N113" s="23" t="s">
        <v>137</v>
      </c>
      <c r="O113" s="86">
        <v>6</v>
      </c>
      <c r="P113" s="86"/>
      <c r="Q113" s="95" t="str">
        <f>LEFT(VLOOKUP(Ruimtestaat[[#This Row],[Ruimte code]],Ruimtegroepen[#All],4,1),2)</f>
        <v xml:space="preserve">S </v>
      </c>
      <c r="R113" s="95"/>
      <c r="S113" s="87">
        <v>40</v>
      </c>
      <c r="T113" s="87" t="s">
        <v>2</v>
      </c>
      <c r="U113" s="88">
        <f>IF(S113&gt;0,IF(RIGHT(Ruimtestaat[[#This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13" s="88">
        <f>IF(U113&gt;0,VLOOKUP($K113,Ruimtegroepen[],3,FALSE)*VLOOKUP($M113,Vloersoorten[],3,FALSE)*VLOOKUP($T113,Frequenties[],3,FALSE)*VLOOKUP($A113,Locaties[],3,FALSE),0)</f>
        <v>0</v>
      </c>
      <c r="W113" s="89">
        <f>Ruimtestaat[[#This Row],[Uitvoeringen werkdagen]]*Ruimtestaat[[#This Row],[Oppervlak (netto)]]</f>
        <v>1200</v>
      </c>
      <c r="X113" s="90">
        <f>IF(V113&gt;0,Ruimtestaat[[#This Row],[Prest. (m2 /jaar) werkdagen]]/Ruimtestaat[[#This Row],[Norm (m2/uur) werkdagen]],0)</f>
        <v>0</v>
      </c>
      <c r="Y113" s="91">
        <f>Ruimtestaat[[#This Row],[uren / jaar werkdagen]]*Tariefsopbouw!$E$35</f>
        <v>0</v>
      </c>
      <c r="Z113" s="88"/>
      <c r="AA113" s="92">
        <f>IF(Ruimtestaat[[#This Row],[Frequentie weekend]]&gt;0,VALUE(LEFT(Z113,1))*S113,0)</f>
        <v>0</v>
      </c>
      <c r="AB113" s="88">
        <f>IF($AA113&gt;0,VLOOKUP($K113,Ruimtegroepen[],3,FALSE)*VLOOKUP($M113,Vloersoorten[],3,FALSE)*VLOOKUP($Z113,Frequenties[],3,FALSE)*VLOOKUP(#REF!,Locaties[],3,FALSE),0)</f>
        <v>0</v>
      </c>
      <c r="AC113" s="90">
        <f>Ruimtestaat[[#This Row],[Uitvoeringen weekend]]*Ruimtestaat[[#This Row],[Oppervlak (netto)]]</f>
        <v>0</v>
      </c>
      <c r="AD113" s="93">
        <f>IF(AC113&gt;0,Ruimtestaat[[#This Row],[Prest. (m2 /jaar) weekend]]/Ruimtestaat[[#This Row],[Norm (m2/uur) weekend]],0)</f>
        <v>0</v>
      </c>
      <c r="AE113" s="94">
        <f>Ruimtestaat[[#This Row],[uren / jaar weekend]]*Tariefsopbouw!$D$40</f>
        <v>0</v>
      </c>
      <c r="AF113" s="66">
        <f>Ruimtestaat[[#This Row],[Prest. (m2 /jaar) weekend]]+Ruimtestaat[[#This Row],[Prest. (m2 /jaar) werkdagen]]</f>
        <v>1200</v>
      </c>
      <c r="AG113" s="66">
        <f>Ruimtestaat[[#This Row],[uren / jaar weekend]]+Ruimtestaat[[#This Row],[uren / jaar werkdagen]]</f>
        <v>0</v>
      </c>
      <c r="AH113" s="67">
        <f>Ruimtestaat[[#This Row],[kosten / jaar weekend]]+Ruimtestaat[[#This Row],[kosten / jaar werkdagen]]</f>
        <v>0</v>
      </c>
    </row>
    <row r="114" spans="1:34" ht="15" customHeight="1">
      <c r="A114" s="112">
        <v>1</v>
      </c>
      <c r="B114" s="23" t="str">
        <f>VLOOKUP(Ruimtestaat[[#This Row],[Code]],Locaties[#All],2,FALSE)</f>
        <v>RSG Levant</v>
      </c>
      <c r="C114" s="23" t="str">
        <f>VLOOKUP(Ruimtestaat[[#This Row],[Code]],Locaties[#All],4,FALSE)</f>
        <v>Horsterweg 192</v>
      </c>
      <c r="D114" s="23" t="str">
        <f>VLOOKUP(Ruimtestaat[[#This Row],[Code]],Locaties[#All],5,FALSE)</f>
        <v>3891 EV</v>
      </c>
      <c r="E114" s="23" t="str">
        <f>VLOOKUP(Ruimtestaat[[#This Row],[Code]],Locaties[#All],6,FALSE)</f>
        <v>Zeewolde</v>
      </c>
      <c r="F114" s="23"/>
      <c r="G114" s="60"/>
      <c r="H114" s="23" t="s">
        <v>573</v>
      </c>
      <c r="I114" s="27" t="s">
        <v>612</v>
      </c>
      <c r="J114" s="3" t="s">
        <v>652</v>
      </c>
      <c r="K114" s="23">
        <v>16</v>
      </c>
      <c r="L114" s="60" t="str">
        <f>VLOOKUP(K114,Ruimtegroepen[],2,FALSE)</f>
        <v>Leslokalen theorie</v>
      </c>
      <c r="M114" s="23" t="s">
        <v>112</v>
      </c>
      <c r="N114" s="23" t="s">
        <v>137</v>
      </c>
      <c r="O114" s="86">
        <v>91</v>
      </c>
      <c r="P114" s="86"/>
      <c r="Q114" s="95" t="str">
        <f>LEFT(VLOOKUP(Ruimtestaat[[#This Row],[Ruimte code]],Ruimtegroepen[#All],4,1),2)</f>
        <v xml:space="preserve">L </v>
      </c>
      <c r="R114" s="95"/>
      <c r="S114" s="87">
        <v>40</v>
      </c>
      <c r="T114" s="87" t="s">
        <v>2</v>
      </c>
      <c r="U114" s="88">
        <f>IF(S114&gt;0,IF(RIGHT(Ruimtestaat[[#This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14" s="88">
        <f>IF(U114&gt;0,VLOOKUP($K114,Ruimtegroepen[],3,FALSE)*VLOOKUP($M114,Vloersoorten[],3,FALSE)*VLOOKUP($T114,Frequenties[],3,FALSE)*VLOOKUP($A114,Locaties[],3,FALSE),0)</f>
        <v>0</v>
      </c>
      <c r="W114" s="89">
        <f>Ruimtestaat[[#This Row],[Uitvoeringen werkdagen]]*Ruimtestaat[[#This Row],[Oppervlak (netto)]]</f>
        <v>18200</v>
      </c>
      <c r="X114" s="90">
        <f>IF(V114&gt;0,Ruimtestaat[[#This Row],[Prest. (m2 /jaar) werkdagen]]/Ruimtestaat[[#This Row],[Norm (m2/uur) werkdagen]],0)</f>
        <v>0</v>
      </c>
      <c r="Y114" s="91">
        <f>Ruimtestaat[[#This Row],[uren / jaar werkdagen]]*Tariefsopbouw!$E$35</f>
        <v>0</v>
      </c>
      <c r="Z114" s="88"/>
      <c r="AA114" s="92">
        <f>IF(Ruimtestaat[[#This Row],[Frequentie weekend]]&gt;0,VALUE(LEFT(Z114,1))*S114,0)</f>
        <v>0</v>
      </c>
      <c r="AB114" s="88">
        <f>IF($AA114&gt;0,VLOOKUP($K114,Ruimtegroepen[],3,FALSE)*VLOOKUP($M114,Vloersoorten[],3,FALSE)*VLOOKUP($Z114,Frequenties[],3,FALSE)*VLOOKUP(#REF!,Locaties[],3,FALSE),0)</f>
        <v>0</v>
      </c>
      <c r="AC114" s="90">
        <f>Ruimtestaat[[#This Row],[Uitvoeringen weekend]]*Ruimtestaat[[#This Row],[Oppervlak (netto)]]</f>
        <v>0</v>
      </c>
      <c r="AD114" s="93">
        <f>IF(AC114&gt;0,Ruimtestaat[[#This Row],[Prest. (m2 /jaar) weekend]]/Ruimtestaat[[#This Row],[Norm (m2/uur) weekend]],0)</f>
        <v>0</v>
      </c>
      <c r="AE114" s="94">
        <f>Ruimtestaat[[#This Row],[uren / jaar weekend]]*Tariefsopbouw!$D$40</f>
        <v>0</v>
      </c>
      <c r="AF114" s="66">
        <f>Ruimtestaat[[#This Row],[Prest. (m2 /jaar) weekend]]+Ruimtestaat[[#This Row],[Prest. (m2 /jaar) werkdagen]]</f>
        <v>18200</v>
      </c>
      <c r="AG114" s="66">
        <f>Ruimtestaat[[#This Row],[uren / jaar weekend]]+Ruimtestaat[[#This Row],[uren / jaar werkdagen]]</f>
        <v>0</v>
      </c>
      <c r="AH114" s="67">
        <f>Ruimtestaat[[#This Row],[kosten / jaar weekend]]+Ruimtestaat[[#This Row],[kosten / jaar werkdagen]]</f>
        <v>0</v>
      </c>
    </row>
    <row r="115" spans="1:34" ht="15" customHeight="1">
      <c r="A115" s="112">
        <v>1</v>
      </c>
      <c r="B115" s="23" t="str">
        <f>VLOOKUP(Ruimtestaat[[#This Row],[Code]],Locaties[#All],2,FALSE)</f>
        <v>RSG Levant</v>
      </c>
      <c r="C115" s="23" t="str">
        <f>VLOOKUP(Ruimtestaat[[#This Row],[Code]],Locaties[#All],4,FALSE)</f>
        <v>Horsterweg 192</v>
      </c>
      <c r="D115" s="23" t="str">
        <f>VLOOKUP(Ruimtestaat[[#This Row],[Code]],Locaties[#All],5,FALSE)</f>
        <v>3891 EV</v>
      </c>
      <c r="E115" s="23" t="str">
        <f>VLOOKUP(Ruimtestaat[[#This Row],[Code]],Locaties[#All],6,FALSE)</f>
        <v>Zeewolde</v>
      </c>
      <c r="F115" s="23"/>
      <c r="G115" s="60"/>
      <c r="H115" s="23" t="s">
        <v>573</v>
      </c>
      <c r="I115" s="27" t="s">
        <v>613</v>
      </c>
      <c r="J115" s="3" t="s">
        <v>653</v>
      </c>
      <c r="K115" s="23">
        <v>2</v>
      </c>
      <c r="L115" s="60" t="str">
        <f>VLOOKUP(K115,Ruimtegroepen[],2,FALSE)</f>
        <v>Kantoren</v>
      </c>
      <c r="M115" s="23" t="s">
        <v>111</v>
      </c>
      <c r="N115" s="23" t="s">
        <v>39</v>
      </c>
      <c r="O115" s="86">
        <v>19</v>
      </c>
      <c r="P115" s="86"/>
      <c r="Q115" s="95" t="str">
        <f>LEFT(VLOOKUP(Ruimtestaat[[#This Row],[Ruimte code]],Ruimtegroepen[#All],4,1),2)</f>
        <v xml:space="preserve">B </v>
      </c>
      <c r="R115" s="95"/>
      <c r="S115" s="87">
        <v>40</v>
      </c>
      <c r="T115" s="87" t="s">
        <v>17</v>
      </c>
      <c r="U115" s="88">
        <f>IF(S115&gt;0,IF(RIGHT(Ruimtestaat[[#This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115" s="88">
        <f>IF(U115&gt;0,VLOOKUP($K115,Ruimtegroepen[],3,FALSE)*VLOOKUP($M115,Vloersoorten[],3,FALSE)*VLOOKUP($T115,Frequenties[],3,FALSE)*VLOOKUP($A115,Locaties[],3,FALSE),0)</f>
        <v>0</v>
      </c>
      <c r="W115" s="89">
        <f>Ruimtestaat[[#This Row],[Uitvoeringen werkdagen]]*Ruimtestaat[[#This Row],[Oppervlak (netto)]]</f>
        <v>1520</v>
      </c>
      <c r="X115" s="90">
        <f>IF(V115&gt;0,Ruimtestaat[[#This Row],[Prest. (m2 /jaar) werkdagen]]/Ruimtestaat[[#This Row],[Norm (m2/uur) werkdagen]],0)</f>
        <v>0</v>
      </c>
      <c r="Y115" s="91">
        <f>Ruimtestaat[[#This Row],[uren / jaar werkdagen]]*Tariefsopbouw!$E$35</f>
        <v>0</v>
      </c>
      <c r="Z115" s="88"/>
      <c r="AA115" s="92">
        <f>IF(Ruimtestaat[[#This Row],[Frequentie weekend]]&gt;0,VALUE(LEFT(Z115,1))*S115,0)</f>
        <v>0</v>
      </c>
      <c r="AB115" s="88">
        <f>IF($AA115&gt;0,VLOOKUP($K115,Ruimtegroepen[],3,FALSE)*VLOOKUP($M115,Vloersoorten[],3,FALSE)*VLOOKUP($Z115,Frequenties[],3,FALSE)*VLOOKUP(#REF!,Locaties[],3,FALSE),0)</f>
        <v>0</v>
      </c>
      <c r="AC115" s="90">
        <f>Ruimtestaat[[#This Row],[Uitvoeringen weekend]]*Ruimtestaat[[#This Row],[Oppervlak (netto)]]</f>
        <v>0</v>
      </c>
      <c r="AD115" s="93">
        <f>IF(AC115&gt;0,Ruimtestaat[[#This Row],[Prest. (m2 /jaar) weekend]]/Ruimtestaat[[#This Row],[Norm (m2/uur) weekend]],0)</f>
        <v>0</v>
      </c>
      <c r="AE115" s="94">
        <f>Ruimtestaat[[#This Row],[uren / jaar weekend]]*Tariefsopbouw!$D$40</f>
        <v>0</v>
      </c>
      <c r="AF115" s="66">
        <f>Ruimtestaat[[#This Row],[Prest. (m2 /jaar) weekend]]+Ruimtestaat[[#This Row],[Prest. (m2 /jaar) werkdagen]]</f>
        <v>1520</v>
      </c>
      <c r="AG115" s="66">
        <f>Ruimtestaat[[#This Row],[uren / jaar weekend]]+Ruimtestaat[[#This Row],[uren / jaar werkdagen]]</f>
        <v>0</v>
      </c>
      <c r="AH115" s="67">
        <f>Ruimtestaat[[#This Row],[kosten / jaar weekend]]+Ruimtestaat[[#This Row],[kosten / jaar werkdagen]]</f>
        <v>0</v>
      </c>
    </row>
    <row r="116" spans="1:34" ht="15" customHeight="1">
      <c r="A116" s="112">
        <v>1</v>
      </c>
      <c r="B116" s="23" t="str">
        <f>VLOOKUP(Ruimtestaat[[#This Row],[Code]],Locaties[#All],2,FALSE)</f>
        <v>RSG Levant</v>
      </c>
      <c r="C116" s="23" t="str">
        <f>VLOOKUP(Ruimtestaat[[#This Row],[Code]],Locaties[#All],4,FALSE)</f>
        <v>Horsterweg 192</v>
      </c>
      <c r="D116" s="23" t="str">
        <f>VLOOKUP(Ruimtestaat[[#This Row],[Code]],Locaties[#All],5,FALSE)</f>
        <v>3891 EV</v>
      </c>
      <c r="E116" s="23" t="str">
        <f>VLOOKUP(Ruimtestaat[[#This Row],[Code]],Locaties[#All],6,FALSE)</f>
        <v>Zeewolde</v>
      </c>
      <c r="F116" s="23"/>
      <c r="G116" s="60"/>
      <c r="H116" s="23" t="s">
        <v>573</v>
      </c>
      <c r="I116" s="27" t="s">
        <v>614</v>
      </c>
      <c r="J116" s="3" t="s">
        <v>544</v>
      </c>
      <c r="K116" s="23">
        <v>20</v>
      </c>
      <c r="L116" s="60" t="str">
        <f>VLOOKUP(K116,Ruimtegroepen[],2,FALSE)</f>
        <v>Spreekkamers</v>
      </c>
      <c r="M116" s="23" t="s">
        <v>111</v>
      </c>
      <c r="N116" s="23" t="s">
        <v>39</v>
      </c>
      <c r="O116" s="86">
        <v>10</v>
      </c>
      <c r="P116" s="86"/>
      <c r="Q116" s="95" t="str">
        <f>LEFT(VLOOKUP(Ruimtestaat[[#This Row],[Ruimte code]],Ruimtegroepen[#All],4,1),2)</f>
        <v xml:space="preserve">B </v>
      </c>
      <c r="R116" s="95"/>
      <c r="S116" s="87">
        <v>40</v>
      </c>
      <c r="T116" s="87" t="s">
        <v>17</v>
      </c>
      <c r="U116" s="88">
        <f>IF(S116&gt;0,IF(RIGHT(Ruimtestaat[[#This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116" s="88">
        <f>IF(U116&gt;0,VLOOKUP($K116,Ruimtegroepen[],3,FALSE)*VLOOKUP($M116,Vloersoorten[],3,FALSE)*VLOOKUP($T116,Frequenties[],3,FALSE)*VLOOKUP($A116,Locaties[],3,FALSE),0)</f>
        <v>0</v>
      </c>
      <c r="W116" s="89">
        <f>Ruimtestaat[[#This Row],[Uitvoeringen werkdagen]]*Ruimtestaat[[#This Row],[Oppervlak (netto)]]</f>
        <v>800</v>
      </c>
      <c r="X116" s="90">
        <f>IF(V116&gt;0,Ruimtestaat[[#This Row],[Prest. (m2 /jaar) werkdagen]]/Ruimtestaat[[#This Row],[Norm (m2/uur) werkdagen]],0)</f>
        <v>0</v>
      </c>
      <c r="Y116" s="91">
        <f>Ruimtestaat[[#This Row],[uren / jaar werkdagen]]*Tariefsopbouw!$E$35</f>
        <v>0</v>
      </c>
      <c r="Z116" s="88"/>
      <c r="AA116" s="92">
        <f>IF(Ruimtestaat[[#This Row],[Frequentie weekend]]&gt;0,VALUE(LEFT(Z116,1))*S116,0)</f>
        <v>0</v>
      </c>
      <c r="AB116" s="88">
        <f>IF($AA116&gt;0,VLOOKUP($K116,Ruimtegroepen[],3,FALSE)*VLOOKUP($M116,Vloersoorten[],3,FALSE)*VLOOKUP($Z116,Frequenties[],3,FALSE)*VLOOKUP(#REF!,Locaties[],3,FALSE),0)</f>
        <v>0</v>
      </c>
      <c r="AC116" s="90">
        <f>Ruimtestaat[[#This Row],[Uitvoeringen weekend]]*Ruimtestaat[[#This Row],[Oppervlak (netto)]]</f>
        <v>0</v>
      </c>
      <c r="AD116" s="93">
        <f>IF(AC116&gt;0,Ruimtestaat[[#This Row],[Prest. (m2 /jaar) weekend]]/Ruimtestaat[[#This Row],[Norm (m2/uur) weekend]],0)</f>
        <v>0</v>
      </c>
      <c r="AE116" s="94">
        <f>Ruimtestaat[[#This Row],[uren / jaar weekend]]*Tariefsopbouw!$D$40</f>
        <v>0</v>
      </c>
      <c r="AF116" s="66">
        <f>Ruimtestaat[[#This Row],[Prest. (m2 /jaar) weekend]]+Ruimtestaat[[#This Row],[Prest. (m2 /jaar) werkdagen]]</f>
        <v>800</v>
      </c>
      <c r="AG116" s="66">
        <f>Ruimtestaat[[#This Row],[uren / jaar weekend]]+Ruimtestaat[[#This Row],[uren / jaar werkdagen]]</f>
        <v>0</v>
      </c>
      <c r="AH116" s="67">
        <f>Ruimtestaat[[#This Row],[kosten / jaar weekend]]+Ruimtestaat[[#This Row],[kosten / jaar werkdagen]]</f>
        <v>0</v>
      </c>
    </row>
    <row r="117" spans="1:34" ht="15" customHeight="1">
      <c r="A117" s="112">
        <v>1</v>
      </c>
      <c r="B117" s="23" t="str">
        <f>VLOOKUP(Ruimtestaat[[#This Row],[Code]],Locaties[#All],2,FALSE)</f>
        <v>RSG Levant</v>
      </c>
      <c r="C117" s="23" t="str">
        <f>VLOOKUP(Ruimtestaat[[#This Row],[Code]],Locaties[#All],4,FALSE)</f>
        <v>Horsterweg 192</v>
      </c>
      <c r="D117" s="23" t="str">
        <f>VLOOKUP(Ruimtestaat[[#This Row],[Code]],Locaties[#All],5,FALSE)</f>
        <v>3891 EV</v>
      </c>
      <c r="E117" s="23" t="str">
        <f>VLOOKUP(Ruimtestaat[[#This Row],[Code]],Locaties[#All],6,FALSE)</f>
        <v>Zeewolde</v>
      </c>
      <c r="F117" s="23"/>
      <c r="G117" s="60"/>
      <c r="H117" s="23" t="s">
        <v>573</v>
      </c>
      <c r="I117" s="27" t="s">
        <v>615</v>
      </c>
      <c r="J117" s="3" t="s">
        <v>382</v>
      </c>
      <c r="K117" s="23">
        <v>6</v>
      </c>
      <c r="L117" s="60" t="str">
        <f>VLOOKUP(K117,Ruimtegroepen[],2,FALSE)</f>
        <v>Gangen/hallen</v>
      </c>
      <c r="M117" s="23" t="s">
        <v>112</v>
      </c>
      <c r="N117" s="23" t="s">
        <v>137</v>
      </c>
      <c r="O117" s="86">
        <v>18</v>
      </c>
      <c r="P117" s="86"/>
      <c r="Q117" s="95" t="str">
        <f>LEFT(VLOOKUP(Ruimtestaat[[#This Row],[Ruimte code]],Ruimtegroepen[#All],4,1),2)</f>
        <v xml:space="preserve">V </v>
      </c>
      <c r="R117" s="95"/>
      <c r="S117" s="87">
        <v>40</v>
      </c>
      <c r="T117" s="87" t="s">
        <v>2</v>
      </c>
      <c r="U117" s="88">
        <f>IF(S117&gt;0,IF(RIGHT(Ruimtestaat[[#This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17" s="88">
        <f>IF(U117&gt;0,VLOOKUP($K117,Ruimtegroepen[],3,FALSE)*VLOOKUP($M117,Vloersoorten[],3,FALSE)*VLOOKUP($T117,Frequenties[],3,FALSE)*VLOOKUP($A117,Locaties[],3,FALSE),0)</f>
        <v>0</v>
      </c>
      <c r="W117" s="89">
        <f>Ruimtestaat[[#This Row],[Uitvoeringen werkdagen]]*Ruimtestaat[[#This Row],[Oppervlak (netto)]]</f>
        <v>3600</v>
      </c>
      <c r="X117" s="90">
        <f>IF(V117&gt;0,Ruimtestaat[[#This Row],[Prest. (m2 /jaar) werkdagen]]/Ruimtestaat[[#This Row],[Norm (m2/uur) werkdagen]],0)</f>
        <v>0</v>
      </c>
      <c r="Y117" s="91">
        <f>Ruimtestaat[[#This Row],[uren / jaar werkdagen]]*Tariefsopbouw!$E$35</f>
        <v>0</v>
      </c>
      <c r="Z117" s="88"/>
      <c r="AA117" s="92">
        <f>IF(Ruimtestaat[[#This Row],[Frequentie weekend]]&gt;0,VALUE(LEFT(Z117,1))*S117,0)</f>
        <v>0</v>
      </c>
      <c r="AB117" s="88">
        <f>IF($AA117&gt;0,VLOOKUP($K117,Ruimtegroepen[],3,FALSE)*VLOOKUP($M117,Vloersoorten[],3,FALSE)*VLOOKUP($Z117,Frequenties[],3,FALSE)*VLOOKUP(#REF!,Locaties[],3,FALSE),0)</f>
        <v>0</v>
      </c>
      <c r="AC117" s="90">
        <f>Ruimtestaat[[#This Row],[Uitvoeringen weekend]]*Ruimtestaat[[#This Row],[Oppervlak (netto)]]</f>
        <v>0</v>
      </c>
      <c r="AD117" s="93">
        <f>IF(AC117&gt;0,Ruimtestaat[[#This Row],[Prest. (m2 /jaar) weekend]]/Ruimtestaat[[#This Row],[Norm (m2/uur) weekend]],0)</f>
        <v>0</v>
      </c>
      <c r="AE117" s="94">
        <f>Ruimtestaat[[#This Row],[uren / jaar weekend]]*Tariefsopbouw!$D$40</f>
        <v>0</v>
      </c>
      <c r="AF117" s="66">
        <f>Ruimtestaat[[#This Row],[Prest. (m2 /jaar) weekend]]+Ruimtestaat[[#This Row],[Prest. (m2 /jaar) werkdagen]]</f>
        <v>3600</v>
      </c>
      <c r="AG117" s="66">
        <f>Ruimtestaat[[#This Row],[uren / jaar weekend]]+Ruimtestaat[[#This Row],[uren / jaar werkdagen]]</f>
        <v>0</v>
      </c>
      <c r="AH117" s="67">
        <f>Ruimtestaat[[#This Row],[kosten / jaar weekend]]+Ruimtestaat[[#This Row],[kosten / jaar werkdagen]]</f>
        <v>0</v>
      </c>
    </row>
    <row r="118" spans="1:34" ht="15" customHeight="1">
      <c r="A118" s="112">
        <v>1</v>
      </c>
      <c r="B118" s="23" t="str">
        <f>VLOOKUP(Ruimtestaat[[#This Row],[Code]],Locaties[#All],2,FALSE)</f>
        <v>RSG Levant</v>
      </c>
      <c r="C118" s="23" t="str">
        <f>VLOOKUP(Ruimtestaat[[#This Row],[Code]],Locaties[#All],4,FALSE)</f>
        <v>Horsterweg 192</v>
      </c>
      <c r="D118" s="23" t="str">
        <f>VLOOKUP(Ruimtestaat[[#This Row],[Code]],Locaties[#All],5,FALSE)</f>
        <v>3891 EV</v>
      </c>
      <c r="E118" s="23" t="str">
        <f>VLOOKUP(Ruimtestaat[[#This Row],[Code]],Locaties[#All],6,FALSE)</f>
        <v>Zeewolde</v>
      </c>
      <c r="F118" s="23"/>
      <c r="G118" s="60"/>
      <c r="H118" s="23" t="s">
        <v>573</v>
      </c>
      <c r="I118" s="27" t="s">
        <v>616</v>
      </c>
      <c r="J118" s="3" t="s">
        <v>654</v>
      </c>
      <c r="K118" s="23">
        <v>23</v>
      </c>
      <c r="L118" s="60" t="str">
        <f>VLOOKUP(K118,Ruimtegroepen[],2,FALSE)</f>
        <v>Niet in onderhoud</v>
      </c>
      <c r="M118" s="23" t="s">
        <v>112</v>
      </c>
      <c r="N118" s="23" t="s">
        <v>137</v>
      </c>
      <c r="O118" s="86"/>
      <c r="P118" s="86">
        <v>5</v>
      </c>
      <c r="Q118" s="95" t="str">
        <f>LEFT(VLOOKUP(Ruimtestaat[[#This Row],[Ruimte code]],Ruimtegroepen[#All],4,1),2)</f>
        <v/>
      </c>
      <c r="R118" s="95"/>
      <c r="S118" s="87"/>
      <c r="T118" s="87"/>
      <c r="U118" s="88">
        <f>IF(S118&gt;0,IF(RIGHT(Ruimtestaat[[#This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118" s="88">
        <f>IF(U118&gt;0,VLOOKUP($K118,Ruimtegroepen[],3,FALSE)*VLOOKUP($M118,Vloersoorten[],3,FALSE)*VLOOKUP($T118,Frequenties[],3,FALSE)*VLOOKUP($A118,Locaties[],3,FALSE),0)</f>
        <v>0</v>
      </c>
      <c r="W118" s="89">
        <f>Ruimtestaat[[#This Row],[Uitvoeringen werkdagen]]*Ruimtestaat[[#This Row],[Oppervlak (netto)]]</f>
        <v>0</v>
      </c>
      <c r="X118" s="90">
        <f>IF(V118&gt;0,Ruimtestaat[[#This Row],[Prest. (m2 /jaar) werkdagen]]/Ruimtestaat[[#This Row],[Norm (m2/uur) werkdagen]],0)</f>
        <v>0</v>
      </c>
      <c r="Y118" s="91">
        <f>Ruimtestaat[[#This Row],[uren / jaar werkdagen]]*Tariefsopbouw!$E$35</f>
        <v>0</v>
      </c>
      <c r="Z118" s="88"/>
      <c r="AA118" s="92">
        <f>IF(Ruimtestaat[[#This Row],[Frequentie weekend]]&gt;0,VALUE(LEFT(Z118,1))*S118,0)</f>
        <v>0</v>
      </c>
      <c r="AB118" s="88">
        <f>IF($AA118&gt;0,VLOOKUP($K118,Ruimtegroepen[],3,FALSE)*VLOOKUP($M118,Vloersoorten[],3,FALSE)*VLOOKUP($Z118,Frequenties[],3,FALSE)*VLOOKUP(#REF!,Locaties[],3,FALSE),0)</f>
        <v>0</v>
      </c>
      <c r="AC118" s="90">
        <f>Ruimtestaat[[#This Row],[Uitvoeringen weekend]]*Ruimtestaat[[#This Row],[Oppervlak (netto)]]</f>
        <v>0</v>
      </c>
      <c r="AD118" s="93">
        <f>IF(AC118&gt;0,Ruimtestaat[[#This Row],[Prest. (m2 /jaar) weekend]]/Ruimtestaat[[#This Row],[Norm (m2/uur) weekend]],0)</f>
        <v>0</v>
      </c>
      <c r="AE118" s="94">
        <f>Ruimtestaat[[#This Row],[uren / jaar weekend]]*Tariefsopbouw!$D$40</f>
        <v>0</v>
      </c>
      <c r="AF118" s="66">
        <f>Ruimtestaat[[#This Row],[Prest. (m2 /jaar) weekend]]+Ruimtestaat[[#This Row],[Prest. (m2 /jaar) werkdagen]]</f>
        <v>0</v>
      </c>
      <c r="AG118" s="66">
        <f>Ruimtestaat[[#This Row],[uren / jaar weekend]]+Ruimtestaat[[#This Row],[uren / jaar werkdagen]]</f>
        <v>0</v>
      </c>
      <c r="AH118" s="67">
        <f>Ruimtestaat[[#This Row],[kosten / jaar weekend]]+Ruimtestaat[[#This Row],[kosten / jaar werkdagen]]</f>
        <v>0</v>
      </c>
    </row>
    <row r="119" spans="1:34" ht="15" customHeight="1">
      <c r="A119" s="112">
        <v>1</v>
      </c>
      <c r="B119" s="23" t="str">
        <f>VLOOKUP(Ruimtestaat[[#This Row],[Code]],Locaties[#All],2,FALSE)</f>
        <v>RSG Levant</v>
      </c>
      <c r="C119" s="23" t="str">
        <f>VLOOKUP(Ruimtestaat[[#This Row],[Code]],Locaties[#All],4,FALSE)</f>
        <v>Horsterweg 192</v>
      </c>
      <c r="D119" s="23" t="str">
        <f>VLOOKUP(Ruimtestaat[[#This Row],[Code]],Locaties[#All],5,FALSE)</f>
        <v>3891 EV</v>
      </c>
      <c r="E119" s="23" t="str">
        <f>VLOOKUP(Ruimtestaat[[#This Row],[Code]],Locaties[#All],6,FALSE)</f>
        <v>Zeewolde</v>
      </c>
      <c r="F119" s="23"/>
      <c r="G119" s="60"/>
      <c r="H119" s="23" t="s">
        <v>573</v>
      </c>
      <c r="I119" s="27" t="s">
        <v>617</v>
      </c>
      <c r="J119" s="3" t="s">
        <v>655</v>
      </c>
      <c r="K119" s="23">
        <v>2</v>
      </c>
      <c r="L119" s="60" t="str">
        <f>VLOOKUP(K119,Ruimtegroepen[],2,FALSE)</f>
        <v>Kantoren</v>
      </c>
      <c r="M119" s="23" t="s">
        <v>111</v>
      </c>
      <c r="N119" s="23" t="s">
        <v>39</v>
      </c>
      <c r="O119" s="86">
        <v>14</v>
      </c>
      <c r="P119" s="86"/>
      <c r="Q119" s="95" t="str">
        <f>LEFT(VLOOKUP(Ruimtestaat[[#This Row],[Ruimte code]],Ruimtegroepen[#All],4,1),2)</f>
        <v xml:space="preserve">B </v>
      </c>
      <c r="R119" s="95"/>
      <c r="S119" s="87">
        <v>40</v>
      </c>
      <c r="T119" s="87" t="s">
        <v>17</v>
      </c>
      <c r="U119" s="88">
        <f>IF(S119&gt;0,IF(RIGHT(Ruimtestaat[[#This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119" s="88">
        <f>IF(U119&gt;0,VLOOKUP($K119,Ruimtegroepen[],3,FALSE)*VLOOKUP($M119,Vloersoorten[],3,FALSE)*VLOOKUP($T119,Frequenties[],3,FALSE)*VLOOKUP($A119,Locaties[],3,FALSE),0)</f>
        <v>0</v>
      </c>
      <c r="W119" s="89">
        <f>Ruimtestaat[[#This Row],[Uitvoeringen werkdagen]]*Ruimtestaat[[#This Row],[Oppervlak (netto)]]</f>
        <v>1120</v>
      </c>
      <c r="X119" s="90">
        <f>IF(V119&gt;0,Ruimtestaat[[#This Row],[Prest. (m2 /jaar) werkdagen]]/Ruimtestaat[[#This Row],[Norm (m2/uur) werkdagen]],0)</f>
        <v>0</v>
      </c>
      <c r="Y119" s="91">
        <f>Ruimtestaat[[#This Row],[uren / jaar werkdagen]]*Tariefsopbouw!$E$35</f>
        <v>0</v>
      </c>
      <c r="Z119" s="88"/>
      <c r="AA119" s="92">
        <f>IF(Ruimtestaat[[#This Row],[Frequentie weekend]]&gt;0,VALUE(LEFT(Z119,1))*S119,0)</f>
        <v>0</v>
      </c>
      <c r="AB119" s="88">
        <f>IF($AA119&gt;0,VLOOKUP($K119,Ruimtegroepen[],3,FALSE)*VLOOKUP($M119,Vloersoorten[],3,FALSE)*VLOOKUP($Z119,Frequenties[],3,FALSE)*VLOOKUP(#REF!,Locaties[],3,FALSE),0)</f>
        <v>0</v>
      </c>
      <c r="AC119" s="90">
        <f>Ruimtestaat[[#This Row],[Uitvoeringen weekend]]*Ruimtestaat[[#This Row],[Oppervlak (netto)]]</f>
        <v>0</v>
      </c>
      <c r="AD119" s="93">
        <f>IF(AC119&gt;0,Ruimtestaat[[#This Row],[Prest. (m2 /jaar) weekend]]/Ruimtestaat[[#This Row],[Norm (m2/uur) weekend]],0)</f>
        <v>0</v>
      </c>
      <c r="AE119" s="94">
        <f>Ruimtestaat[[#This Row],[uren / jaar weekend]]*Tariefsopbouw!$D$40</f>
        <v>0</v>
      </c>
      <c r="AF119" s="66">
        <f>Ruimtestaat[[#This Row],[Prest. (m2 /jaar) weekend]]+Ruimtestaat[[#This Row],[Prest. (m2 /jaar) werkdagen]]</f>
        <v>1120</v>
      </c>
      <c r="AG119" s="66">
        <f>Ruimtestaat[[#This Row],[uren / jaar weekend]]+Ruimtestaat[[#This Row],[uren / jaar werkdagen]]</f>
        <v>0</v>
      </c>
      <c r="AH119" s="67">
        <f>Ruimtestaat[[#This Row],[kosten / jaar weekend]]+Ruimtestaat[[#This Row],[kosten / jaar werkdagen]]</f>
        <v>0</v>
      </c>
    </row>
    <row r="120" spans="1:34" ht="15" customHeight="1">
      <c r="A120" s="112">
        <v>1</v>
      </c>
      <c r="B120" s="23" t="str">
        <f>VLOOKUP(Ruimtestaat[[#This Row],[Code]],Locaties[#All],2,FALSE)</f>
        <v>RSG Levant</v>
      </c>
      <c r="C120" s="23" t="str">
        <f>VLOOKUP(Ruimtestaat[[#This Row],[Code]],Locaties[#All],4,FALSE)</f>
        <v>Horsterweg 192</v>
      </c>
      <c r="D120" s="23" t="str">
        <f>VLOOKUP(Ruimtestaat[[#This Row],[Code]],Locaties[#All],5,FALSE)</f>
        <v>3891 EV</v>
      </c>
      <c r="E120" s="23" t="str">
        <f>VLOOKUP(Ruimtestaat[[#This Row],[Code]],Locaties[#All],6,FALSE)</f>
        <v>Zeewolde</v>
      </c>
      <c r="F120" s="23"/>
      <c r="G120" s="60"/>
      <c r="H120" s="23" t="s">
        <v>573</v>
      </c>
      <c r="I120" s="27" t="s">
        <v>618</v>
      </c>
      <c r="J120" s="3" t="s">
        <v>646</v>
      </c>
      <c r="K120" s="23">
        <v>2</v>
      </c>
      <c r="L120" s="60" t="str">
        <f>VLOOKUP(K120,Ruimtegroepen[],2,FALSE)</f>
        <v>Kantoren</v>
      </c>
      <c r="M120" s="23" t="s">
        <v>111</v>
      </c>
      <c r="N120" s="23" t="s">
        <v>39</v>
      </c>
      <c r="O120" s="86">
        <v>14</v>
      </c>
      <c r="P120" s="86"/>
      <c r="Q120" s="95" t="str">
        <f>LEFT(VLOOKUP(Ruimtestaat[[#This Row],[Ruimte code]],Ruimtegroepen[#All],4,1),2)</f>
        <v xml:space="preserve">B </v>
      </c>
      <c r="R120" s="95"/>
      <c r="S120" s="87">
        <v>40</v>
      </c>
      <c r="T120" s="87" t="s">
        <v>17</v>
      </c>
      <c r="U120" s="88">
        <f>IF(S120&gt;0,IF(RIGHT(Ruimtestaat[[#This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120" s="88">
        <f>IF(U120&gt;0,VLOOKUP($K120,Ruimtegroepen[],3,FALSE)*VLOOKUP($M120,Vloersoorten[],3,FALSE)*VLOOKUP($T120,Frequenties[],3,FALSE)*VLOOKUP($A120,Locaties[],3,FALSE),0)</f>
        <v>0</v>
      </c>
      <c r="W120" s="89">
        <f>Ruimtestaat[[#This Row],[Uitvoeringen werkdagen]]*Ruimtestaat[[#This Row],[Oppervlak (netto)]]</f>
        <v>1120</v>
      </c>
      <c r="X120" s="90">
        <f>IF(V120&gt;0,Ruimtestaat[[#This Row],[Prest. (m2 /jaar) werkdagen]]/Ruimtestaat[[#This Row],[Norm (m2/uur) werkdagen]],0)</f>
        <v>0</v>
      </c>
      <c r="Y120" s="91">
        <f>Ruimtestaat[[#This Row],[uren / jaar werkdagen]]*Tariefsopbouw!$E$35</f>
        <v>0</v>
      </c>
      <c r="Z120" s="88"/>
      <c r="AA120" s="92">
        <f>IF(Ruimtestaat[[#This Row],[Frequentie weekend]]&gt;0,VALUE(LEFT(Z120,1))*S120,0)</f>
        <v>0</v>
      </c>
      <c r="AB120" s="88">
        <f>IF($AA120&gt;0,VLOOKUP($K120,Ruimtegroepen[],3,FALSE)*VLOOKUP($M120,Vloersoorten[],3,FALSE)*VLOOKUP($Z120,Frequenties[],3,FALSE)*VLOOKUP(#REF!,Locaties[],3,FALSE),0)</f>
        <v>0</v>
      </c>
      <c r="AC120" s="90">
        <f>Ruimtestaat[[#This Row],[Uitvoeringen weekend]]*Ruimtestaat[[#This Row],[Oppervlak (netto)]]</f>
        <v>0</v>
      </c>
      <c r="AD120" s="93">
        <f>IF(AC120&gt;0,Ruimtestaat[[#This Row],[Prest. (m2 /jaar) weekend]]/Ruimtestaat[[#This Row],[Norm (m2/uur) weekend]],0)</f>
        <v>0</v>
      </c>
      <c r="AE120" s="94">
        <f>Ruimtestaat[[#This Row],[uren / jaar weekend]]*Tariefsopbouw!$D$40</f>
        <v>0</v>
      </c>
      <c r="AF120" s="66">
        <f>Ruimtestaat[[#This Row],[Prest. (m2 /jaar) weekend]]+Ruimtestaat[[#This Row],[Prest. (m2 /jaar) werkdagen]]</f>
        <v>1120</v>
      </c>
      <c r="AG120" s="66">
        <f>Ruimtestaat[[#This Row],[uren / jaar weekend]]+Ruimtestaat[[#This Row],[uren / jaar werkdagen]]</f>
        <v>0</v>
      </c>
      <c r="AH120" s="67">
        <f>Ruimtestaat[[#This Row],[kosten / jaar weekend]]+Ruimtestaat[[#This Row],[kosten / jaar werkdagen]]</f>
        <v>0</v>
      </c>
    </row>
    <row r="121" spans="1:34" ht="15" customHeight="1">
      <c r="A121" s="112">
        <v>1</v>
      </c>
      <c r="B121" s="23" t="str">
        <f>VLOOKUP(Ruimtestaat[[#This Row],[Code]],Locaties[#All],2,FALSE)</f>
        <v>RSG Levant</v>
      </c>
      <c r="C121" s="23" t="str">
        <f>VLOOKUP(Ruimtestaat[[#This Row],[Code]],Locaties[#All],4,FALSE)</f>
        <v>Horsterweg 192</v>
      </c>
      <c r="D121" s="23" t="str">
        <f>VLOOKUP(Ruimtestaat[[#This Row],[Code]],Locaties[#All],5,FALSE)</f>
        <v>3891 EV</v>
      </c>
      <c r="E121" s="23" t="str">
        <f>VLOOKUP(Ruimtestaat[[#This Row],[Code]],Locaties[#All],6,FALSE)</f>
        <v>Zeewolde</v>
      </c>
      <c r="F121" s="23"/>
      <c r="G121" s="60"/>
      <c r="H121" s="23" t="s">
        <v>573</v>
      </c>
      <c r="I121" s="27" t="s">
        <v>619</v>
      </c>
      <c r="J121" s="3" t="s">
        <v>656</v>
      </c>
      <c r="K121" s="23">
        <v>1</v>
      </c>
      <c r="L121" s="60" t="str">
        <f>VLOOKUP(K121,Ruimtegroepen[],2,FALSE)</f>
        <v>Magazijnen/bergingen</v>
      </c>
      <c r="M121" s="23" t="s">
        <v>112</v>
      </c>
      <c r="N121" s="23" t="s">
        <v>137</v>
      </c>
      <c r="O121" s="86">
        <v>15</v>
      </c>
      <c r="P121" s="86"/>
      <c r="Q121" s="95" t="str">
        <f>LEFT(VLOOKUP(Ruimtestaat[[#This Row],[Ruimte code]],Ruimtegroepen[#All],4,1),2)</f>
        <v xml:space="preserve">V </v>
      </c>
      <c r="R121" s="95"/>
      <c r="S121" s="87">
        <v>40</v>
      </c>
      <c r="T121" s="87" t="s">
        <v>16</v>
      </c>
      <c r="U121" s="88">
        <f>IF(S121&gt;0,IF(RIGHT(Ruimtestaat[[#This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V121" s="88">
        <f>IF(U121&gt;0,VLOOKUP($K121,Ruimtegroepen[],3,FALSE)*VLOOKUP($M121,Vloersoorten[],3,FALSE)*VLOOKUP($T121,Frequenties[],3,FALSE)*VLOOKUP($A121,Locaties[],3,FALSE),0)</f>
        <v>0</v>
      </c>
      <c r="W121" s="89">
        <f>Ruimtestaat[[#This Row],[Uitvoeringen werkdagen]]*Ruimtestaat[[#This Row],[Oppervlak (netto)]]</f>
        <v>180</v>
      </c>
      <c r="X121" s="90">
        <f>IF(V121&gt;0,Ruimtestaat[[#This Row],[Prest. (m2 /jaar) werkdagen]]/Ruimtestaat[[#This Row],[Norm (m2/uur) werkdagen]],0)</f>
        <v>0</v>
      </c>
      <c r="Y121" s="91">
        <f>Ruimtestaat[[#This Row],[uren / jaar werkdagen]]*Tariefsopbouw!$E$35</f>
        <v>0</v>
      </c>
      <c r="Z121" s="88"/>
      <c r="AA121" s="92">
        <f>IF(Ruimtestaat[[#This Row],[Frequentie weekend]]&gt;0,VALUE(LEFT(Z121,1))*S121,0)</f>
        <v>0</v>
      </c>
      <c r="AB121" s="88">
        <f>IF($AA121&gt;0,VLOOKUP($K121,Ruimtegroepen[],3,FALSE)*VLOOKUP($M121,Vloersoorten[],3,FALSE)*VLOOKUP($Z121,Frequenties[],3,FALSE)*VLOOKUP(#REF!,Locaties[],3,FALSE),0)</f>
        <v>0</v>
      </c>
      <c r="AC121" s="90">
        <f>Ruimtestaat[[#This Row],[Uitvoeringen weekend]]*Ruimtestaat[[#This Row],[Oppervlak (netto)]]</f>
        <v>0</v>
      </c>
      <c r="AD121" s="93">
        <f>IF(AC121&gt;0,Ruimtestaat[[#This Row],[Prest. (m2 /jaar) weekend]]/Ruimtestaat[[#This Row],[Norm (m2/uur) weekend]],0)</f>
        <v>0</v>
      </c>
      <c r="AE121" s="94">
        <f>Ruimtestaat[[#This Row],[uren / jaar weekend]]*Tariefsopbouw!$D$40</f>
        <v>0</v>
      </c>
      <c r="AF121" s="66">
        <f>Ruimtestaat[[#This Row],[Prest. (m2 /jaar) weekend]]+Ruimtestaat[[#This Row],[Prest. (m2 /jaar) werkdagen]]</f>
        <v>180</v>
      </c>
      <c r="AG121" s="66">
        <f>Ruimtestaat[[#This Row],[uren / jaar weekend]]+Ruimtestaat[[#This Row],[uren / jaar werkdagen]]</f>
        <v>0</v>
      </c>
      <c r="AH121" s="67">
        <f>Ruimtestaat[[#This Row],[kosten / jaar weekend]]+Ruimtestaat[[#This Row],[kosten / jaar werkdagen]]</f>
        <v>0</v>
      </c>
    </row>
    <row r="122" spans="1:34" ht="15" customHeight="1">
      <c r="A122" s="112">
        <v>1</v>
      </c>
      <c r="B122" s="23" t="str">
        <f>VLOOKUP(Ruimtestaat[[#This Row],[Code]],Locaties[#All],2,FALSE)</f>
        <v>RSG Levant</v>
      </c>
      <c r="C122" s="23" t="str">
        <f>VLOOKUP(Ruimtestaat[[#This Row],[Code]],Locaties[#All],4,FALSE)</f>
        <v>Horsterweg 192</v>
      </c>
      <c r="D122" s="23" t="str">
        <f>VLOOKUP(Ruimtestaat[[#This Row],[Code]],Locaties[#All],5,FALSE)</f>
        <v>3891 EV</v>
      </c>
      <c r="E122" s="23" t="str">
        <f>VLOOKUP(Ruimtestaat[[#This Row],[Code]],Locaties[#All],6,FALSE)</f>
        <v>Zeewolde</v>
      </c>
      <c r="F122" s="23"/>
      <c r="G122" s="60"/>
      <c r="H122" s="23" t="s">
        <v>573</v>
      </c>
      <c r="I122" s="27" t="s">
        <v>620</v>
      </c>
      <c r="J122" s="3" t="s">
        <v>541</v>
      </c>
      <c r="K122" s="23">
        <v>2</v>
      </c>
      <c r="L122" s="60" t="str">
        <f>VLOOKUP(K122,Ruimtegroepen[],2,FALSE)</f>
        <v>Kantoren</v>
      </c>
      <c r="M122" s="23" t="s">
        <v>111</v>
      </c>
      <c r="N122" s="23" t="s">
        <v>39</v>
      </c>
      <c r="O122" s="86">
        <v>14</v>
      </c>
      <c r="P122" s="86"/>
      <c r="Q122" s="95" t="str">
        <f>LEFT(VLOOKUP(Ruimtestaat[[#This Row],[Ruimte code]],Ruimtegroepen[#All],4,1),2)</f>
        <v xml:space="preserve">B </v>
      </c>
      <c r="R122" s="95"/>
      <c r="S122" s="87">
        <v>40</v>
      </c>
      <c r="T122" s="87" t="s">
        <v>17</v>
      </c>
      <c r="U122" s="88">
        <f>IF(S122&gt;0,IF(RIGHT(Ruimtestaat[[#This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122" s="88">
        <f>IF(U122&gt;0,VLOOKUP($K122,Ruimtegroepen[],3,FALSE)*VLOOKUP($M122,Vloersoorten[],3,FALSE)*VLOOKUP($T122,Frequenties[],3,FALSE)*VLOOKUP($A122,Locaties[],3,FALSE),0)</f>
        <v>0</v>
      </c>
      <c r="W122" s="89">
        <f>Ruimtestaat[[#This Row],[Uitvoeringen werkdagen]]*Ruimtestaat[[#This Row],[Oppervlak (netto)]]</f>
        <v>1120</v>
      </c>
      <c r="X122" s="90">
        <f>IF(V122&gt;0,Ruimtestaat[[#This Row],[Prest. (m2 /jaar) werkdagen]]/Ruimtestaat[[#This Row],[Norm (m2/uur) werkdagen]],0)</f>
        <v>0</v>
      </c>
      <c r="Y122" s="91">
        <f>Ruimtestaat[[#This Row],[uren / jaar werkdagen]]*Tariefsopbouw!$E$35</f>
        <v>0</v>
      </c>
      <c r="Z122" s="88"/>
      <c r="AA122" s="92">
        <f>IF(Ruimtestaat[[#This Row],[Frequentie weekend]]&gt;0,VALUE(LEFT(Z122,1))*S122,0)</f>
        <v>0</v>
      </c>
      <c r="AB122" s="88">
        <f>IF($AA122&gt;0,VLOOKUP($K122,Ruimtegroepen[],3,FALSE)*VLOOKUP($M122,Vloersoorten[],3,FALSE)*VLOOKUP($Z122,Frequenties[],3,FALSE)*VLOOKUP(#REF!,Locaties[],3,FALSE),0)</f>
        <v>0</v>
      </c>
      <c r="AC122" s="90">
        <f>Ruimtestaat[[#This Row],[Uitvoeringen weekend]]*Ruimtestaat[[#This Row],[Oppervlak (netto)]]</f>
        <v>0</v>
      </c>
      <c r="AD122" s="93">
        <f>IF(AC122&gt;0,Ruimtestaat[[#This Row],[Prest. (m2 /jaar) weekend]]/Ruimtestaat[[#This Row],[Norm (m2/uur) weekend]],0)</f>
        <v>0</v>
      </c>
      <c r="AE122" s="94">
        <f>Ruimtestaat[[#This Row],[uren / jaar weekend]]*Tariefsopbouw!$D$40</f>
        <v>0</v>
      </c>
      <c r="AF122" s="66">
        <f>Ruimtestaat[[#This Row],[Prest. (m2 /jaar) weekend]]+Ruimtestaat[[#This Row],[Prest. (m2 /jaar) werkdagen]]</f>
        <v>1120</v>
      </c>
      <c r="AG122" s="66">
        <f>Ruimtestaat[[#This Row],[uren / jaar weekend]]+Ruimtestaat[[#This Row],[uren / jaar werkdagen]]</f>
        <v>0</v>
      </c>
      <c r="AH122" s="67">
        <f>Ruimtestaat[[#This Row],[kosten / jaar weekend]]+Ruimtestaat[[#This Row],[kosten / jaar werkdagen]]</f>
        <v>0</v>
      </c>
    </row>
    <row r="123" spans="1:34" ht="15" customHeight="1">
      <c r="A123" s="112">
        <v>1</v>
      </c>
      <c r="B123" s="23" t="str">
        <f>VLOOKUP(Ruimtestaat[[#This Row],[Code]],Locaties[#All],2,FALSE)</f>
        <v>RSG Levant</v>
      </c>
      <c r="C123" s="23" t="str">
        <f>VLOOKUP(Ruimtestaat[[#This Row],[Code]],Locaties[#All],4,FALSE)</f>
        <v>Horsterweg 192</v>
      </c>
      <c r="D123" s="23" t="str">
        <f>VLOOKUP(Ruimtestaat[[#This Row],[Code]],Locaties[#All],5,FALSE)</f>
        <v>3891 EV</v>
      </c>
      <c r="E123" s="23" t="str">
        <f>VLOOKUP(Ruimtestaat[[#This Row],[Code]],Locaties[#All],6,FALSE)</f>
        <v>Zeewolde</v>
      </c>
      <c r="F123" s="23"/>
      <c r="G123" s="60"/>
      <c r="H123" s="23" t="s">
        <v>573</v>
      </c>
      <c r="I123" s="27" t="s">
        <v>621</v>
      </c>
      <c r="J123" s="3" t="s">
        <v>657</v>
      </c>
      <c r="K123" s="23">
        <v>22</v>
      </c>
      <c r="L123" s="60" t="str">
        <f>VLOOKUP(K123,Ruimtegroepen[],2,FALSE)</f>
        <v>Personeelskamer</v>
      </c>
      <c r="M123" s="23" t="s">
        <v>111</v>
      </c>
      <c r="N123" s="23" t="s">
        <v>39</v>
      </c>
      <c r="O123" s="86">
        <v>86</v>
      </c>
      <c r="P123" s="86"/>
      <c r="Q123" s="95" t="str">
        <f>LEFT(VLOOKUP(Ruimtestaat[[#This Row],[Ruimte code]],Ruimtegroepen[#All],4,1),2)</f>
        <v xml:space="preserve">V </v>
      </c>
      <c r="R123" s="95"/>
      <c r="S123" s="87">
        <v>40</v>
      </c>
      <c r="T123" s="87" t="s">
        <v>17</v>
      </c>
      <c r="U123" s="88">
        <f>IF(S123&gt;0,IF(RIGHT(Ruimtestaat[[#This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123" s="88">
        <f>IF(U123&gt;0,VLOOKUP($K123,Ruimtegroepen[],3,FALSE)*VLOOKUP($M123,Vloersoorten[],3,FALSE)*VLOOKUP($T123,Frequenties[],3,FALSE)*VLOOKUP($A123,Locaties[],3,FALSE),0)</f>
        <v>0</v>
      </c>
      <c r="W123" s="89">
        <f>Ruimtestaat[[#This Row],[Uitvoeringen werkdagen]]*Ruimtestaat[[#This Row],[Oppervlak (netto)]]</f>
        <v>6880</v>
      </c>
      <c r="X123" s="90">
        <f>IF(V123&gt;0,Ruimtestaat[[#This Row],[Prest. (m2 /jaar) werkdagen]]/Ruimtestaat[[#This Row],[Norm (m2/uur) werkdagen]],0)</f>
        <v>0</v>
      </c>
      <c r="Y123" s="91">
        <f>Ruimtestaat[[#This Row],[uren / jaar werkdagen]]*Tariefsopbouw!$E$35</f>
        <v>0</v>
      </c>
      <c r="Z123" s="88"/>
      <c r="AA123" s="92">
        <f>IF(Ruimtestaat[[#This Row],[Frequentie weekend]]&gt;0,VALUE(LEFT(Z123,1))*S123,0)</f>
        <v>0</v>
      </c>
      <c r="AB123" s="88">
        <f>IF($AA123&gt;0,VLOOKUP($K123,Ruimtegroepen[],3,FALSE)*VLOOKUP($M123,Vloersoorten[],3,FALSE)*VLOOKUP($Z123,Frequenties[],3,FALSE)*VLOOKUP(#REF!,Locaties[],3,FALSE),0)</f>
        <v>0</v>
      </c>
      <c r="AC123" s="90">
        <f>Ruimtestaat[[#This Row],[Uitvoeringen weekend]]*Ruimtestaat[[#This Row],[Oppervlak (netto)]]</f>
        <v>0</v>
      </c>
      <c r="AD123" s="93">
        <f>IF(AC123&gt;0,Ruimtestaat[[#This Row],[Prest. (m2 /jaar) weekend]]/Ruimtestaat[[#This Row],[Norm (m2/uur) weekend]],0)</f>
        <v>0</v>
      </c>
      <c r="AE123" s="94">
        <f>Ruimtestaat[[#This Row],[uren / jaar weekend]]*Tariefsopbouw!$D$40</f>
        <v>0</v>
      </c>
      <c r="AF123" s="66">
        <f>Ruimtestaat[[#This Row],[Prest. (m2 /jaar) weekend]]+Ruimtestaat[[#This Row],[Prest. (m2 /jaar) werkdagen]]</f>
        <v>6880</v>
      </c>
      <c r="AG123" s="66">
        <f>Ruimtestaat[[#This Row],[uren / jaar weekend]]+Ruimtestaat[[#This Row],[uren / jaar werkdagen]]</f>
        <v>0</v>
      </c>
      <c r="AH123" s="67">
        <f>Ruimtestaat[[#This Row],[kosten / jaar weekend]]+Ruimtestaat[[#This Row],[kosten / jaar werkdagen]]</f>
        <v>0</v>
      </c>
    </row>
    <row r="124" spans="1:34" ht="15" customHeight="1">
      <c r="A124" s="112">
        <v>1</v>
      </c>
      <c r="B124" s="23" t="str">
        <f>VLOOKUP(Ruimtestaat[[#This Row],[Code]],Locaties[#All],2,FALSE)</f>
        <v>RSG Levant</v>
      </c>
      <c r="C124" s="23" t="str">
        <f>VLOOKUP(Ruimtestaat[[#This Row],[Code]],Locaties[#All],4,FALSE)</f>
        <v>Horsterweg 192</v>
      </c>
      <c r="D124" s="23" t="str">
        <f>VLOOKUP(Ruimtestaat[[#This Row],[Code]],Locaties[#All],5,FALSE)</f>
        <v>3891 EV</v>
      </c>
      <c r="E124" s="23" t="str">
        <f>VLOOKUP(Ruimtestaat[[#This Row],[Code]],Locaties[#All],6,FALSE)</f>
        <v>Zeewolde</v>
      </c>
      <c r="F124" s="23"/>
      <c r="G124" s="60"/>
      <c r="H124" s="23" t="s">
        <v>573</v>
      </c>
      <c r="I124" s="27" t="s">
        <v>622</v>
      </c>
      <c r="J124" s="3" t="s">
        <v>537</v>
      </c>
      <c r="K124" s="23">
        <v>10</v>
      </c>
      <c r="L124" s="60" t="str">
        <f>VLOOKUP(K124,Ruimtegroepen[],2,FALSE)</f>
        <v>Trappenhuizen/lift</v>
      </c>
      <c r="M124" s="23" t="s">
        <v>112</v>
      </c>
      <c r="N124" s="23" t="s">
        <v>137</v>
      </c>
      <c r="O124" s="86">
        <v>18</v>
      </c>
      <c r="P124" s="86"/>
      <c r="Q124" s="95" t="str">
        <f>LEFT(VLOOKUP(Ruimtestaat[[#This Row],[Ruimte code]],Ruimtegroepen[#All],4,1),2)</f>
        <v xml:space="preserve">V </v>
      </c>
      <c r="R124" s="95"/>
      <c r="S124" s="87">
        <v>40</v>
      </c>
      <c r="T124" s="87" t="s">
        <v>2</v>
      </c>
      <c r="U124" s="88">
        <f>IF(S124&gt;0,IF(RIGHT(Ruimtestaat[[#This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24" s="88">
        <f>IF(U124&gt;0,VLOOKUP($K124,Ruimtegroepen[],3,FALSE)*VLOOKUP($M124,Vloersoorten[],3,FALSE)*VLOOKUP($T124,Frequenties[],3,FALSE)*VLOOKUP($A124,Locaties[],3,FALSE),0)</f>
        <v>0</v>
      </c>
      <c r="W124" s="89">
        <f>Ruimtestaat[[#This Row],[Uitvoeringen werkdagen]]*Ruimtestaat[[#This Row],[Oppervlak (netto)]]</f>
        <v>3600</v>
      </c>
      <c r="X124" s="90">
        <f>IF(V124&gt;0,Ruimtestaat[[#This Row],[Prest. (m2 /jaar) werkdagen]]/Ruimtestaat[[#This Row],[Norm (m2/uur) werkdagen]],0)</f>
        <v>0</v>
      </c>
      <c r="Y124" s="91">
        <f>Ruimtestaat[[#This Row],[uren / jaar werkdagen]]*Tariefsopbouw!$E$35</f>
        <v>0</v>
      </c>
      <c r="Z124" s="88"/>
      <c r="AA124" s="92">
        <f>IF(Ruimtestaat[[#This Row],[Frequentie weekend]]&gt;0,VALUE(LEFT(Z124,1))*S124,0)</f>
        <v>0</v>
      </c>
      <c r="AB124" s="88">
        <f>IF($AA124&gt;0,VLOOKUP($K124,Ruimtegroepen[],3,FALSE)*VLOOKUP($M124,Vloersoorten[],3,FALSE)*VLOOKUP($Z124,Frequenties[],3,FALSE)*VLOOKUP(#REF!,Locaties[],3,FALSE),0)</f>
        <v>0</v>
      </c>
      <c r="AC124" s="90">
        <f>Ruimtestaat[[#This Row],[Uitvoeringen weekend]]*Ruimtestaat[[#This Row],[Oppervlak (netto)]]</f>
        <v>0</v>
      </c>
      <c r="AD124" s="93">
        <f>IF(AC124&gt;0,Ruimtestaat[[#This Row],[Prest. (m2 /jaar) weekend]]/Ruimtestaat[[#This Row],[Norm (m2/uur) weekend]],0)</f>
        <v>0</v>
      </c>
      <c r="AE124" s="94">
        <f>Ruimtestaat[[#This Row],[uren / jaar weekend]]*Tariefsopbouw!$D$40</f>
        <v>0</v>
      </c>
      <c r="AF124" s="66">
        <f>Ruimtestaat[[#This Row],[Prest. (m2 /jaar) weekend]]+Ruimtestaat[[#This Row],[Prest. (m2 /jaar) werkdagen]]</f>
        <v>3600</v>
      </c>
      <c r="AG124" s="66">
        <f>Ruimtestaat[[#This Row],[uren / jaar weekend]]+Ruimtestaat[[#This Row],[uren / jaar werkdagen]]</f>
        <v>0</v>
      </c>
      <c r="AH124" s="67">
        <f>Ruimtestaat[[#This Row],[kosten / jaar weekend]]+Ruimtestaat[[#This Row],[kosten / jaar werkdagen]]</f>
        <v>0</v>
      </c>
    </row>
    <row r="125" spans="1:34" ht="15" customHeight="1">
      <c r="A125" s="112">
        <v>1</v>
      </c>
      <c r="B125" s="23" t="str">
        <f>VLOOKUP(Ruimtestaat[[#This Row],[Code]],Locaties[#All],2,FALSE)</f>
        <v>RSG Levant</v>
      </c>
      <c r="C125" s="23" t="str">
        <f>VLOOKUP(Ruimtestaat[[#This Row],[Code]],Locaties[#All],4,FALSE)</f>
        <v>Horsterweg 192</v>
      </c>
      <c r="D125" s="23" t="str">
        <f>VLOOKUP(Ruimtestaat[[#This Row],[Code]],Locaties[#All],5,FALSE)</f>
        <v>3891 EV</v>
      </c>
      <c r="E125" s="23" t="str">
        <f>VLOOKUP(Ruimtestaat[[#This Row],[Code]],Locaties[#All],6,FALSE)</f>
        <v>Zeewolde</v>
      </c>
      <c r="F125" s="23"/>
      <c r="G125" s="60"/>
      <c r="H125" s="23" t="s">
        <v>573</v>
      </c>
      <c r="I125" s="27" t="s">
        <v>623</v>
      </c>
      <c r="J125" s="3" t="s">
        <v>537</v>
      </c>
      <c r="K125" s="23">
        <v>10</v>
      </c>
      <c r="L125" s="60" t="str">
        <f>VLOOKUP(K125,Ruimtegroepen[],2,FALSE)</f>
        <v>Trappenhuizen/lift</v>
      </c>
      <c r="M125" s="23" t="s">
        <v>112</v>
      </c>
      <c r="N125" s="23" t="s">
        <v>137</v>
      </c>
      <c r="O125" s="86">
        <v>18</v>
      </c>
      <c r="P125" s="86"/>
      <c r="Q125" s="95" t="str">
        <f>LEFT(VLOOKUP(Ruimtestaat[[#This Row],[Ruimte code]],Ruimtegroepen[#All],4,1),2)</f>
        <v xml:space="preserve">V </v>
      </c>
      <c r="R125" s="95"/>
      <c r="S125" s="87">
        <v>40</v>
      </c>
      <c r="T125" s="87" t="s">
        <v>2</v>
      </c>
      <c r="U125" s="88">
        <f>IF(S125&gt;0,IF(RIGHT(Ruimtestaat[[#This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25" s="88">
        <f>IF(U125&gt;0,VLOOKUP($K125,Ruimtegroepen[],3,FALSE)*VLOOKUP($M125,Vloersoorten[],3,FALSE)*VLOOKUP($T125,Frequenties[],3,FALSE)*VLOOKUP($A125,Locaties[],3,FALSE),0)</f>
        <v>0</v>
      </c>
      <c r="W125" s="89">
        <f>Ruimtestaat[[#This Row],[Uitvoeringen werkdagen]]*Ruimtestaat[[#This Row],[Oppervlak (netto)]]</f>
        <v>3600</v>
      </c>
      <c r="X125" s="90">
        <f>IF(V125&gt;0,Ruimtestaat[[#This Row],[Prest. (m2 /jaar) werkdagen]]/Ruimtestaat[[#This Row],[Norm (m2/uur) werkdagen]],0)</f>
        <v>0</v>
      </c>
      <c r="Y125" s="91">
        <f>Ruimtestaat[[#This Row],[uren / jaar werkdagen]]*Tariefsopbouw!$E$35</f>
        <v>0</v>
      </c>
      <c r="Z125" s="88"/>
      <c r="AA125" s="92">
        <f>IF(Ruimtestaat[[#This Row],[Frequentie weekend]]&gt;0,VALUE(LEFT(Z125,1))*S125,0)</f>
        <v>0</v>
      </c>
      <c r="AB125" s="88">
        <f>IF($AA125&gt;0,VLOOKUP($K125,Ruimtegroepen[],3,FALSE)*VLOOKUP($M125,Vloersoorten[],3,FALSE)*VLOOKUP($Z125,Frequenties[],3,FALSE)*VLOOKUP(#REF!,Locaties[],3,FALSE),0)</f>
        <v>0</v>
      </c>
      <c r="AC125" s="90">
        <f>Ruimtestaat[[#This Row],[Uitvoeringen weekend]]*Ruimtestaat[[#This Row],[Oppervlak (netto)]]</f>
        <v>0</v>
      </c>
      <c r="AD125" s="93">
        <f>IF(AC125&gt;0,Ruimtestaat[[#This Row],[Prest. (m2 /jaar) weekend]]/Ruimtestaat[[#This Row],[Norm (m2/uur) weekend]],0)</f>
        <v>0</v>
      </c>
      <c r="AE125" s="94">
        <f>Ruimtestaat[[#This Row],[uren / jaar weekend]]*Tariefsopbouw!$D$40</f>
        <v>0</v>
      </c>
      <c r="AF125" s="66">
        <f>Ruimtestaat[[#This Row],[Prest. (m2 /jaar) weekend]]+Ruimtestaat[[#This Row],[Prest. (m2 /jaar) werkdagen]]</f>
        <v>3600</v>
      </c>
      <c r="AG125" s="66">
        <f>Ruimtestaat[[#This Row],[uren / jaar weekend]]+Ruimtestaat[[#This Row],[uren / jaar werkdagen]]</f>
        <v>0</v>
      </c>
      <c r="AH125" s="67">
        <f>Ruimtestaat[[#This Row],[kosten / jaar weekend]]+Ruimtestaat[[#This Row],[kosten / jaar werkdagen]]</f>
        <v>0</v>
      </c>
    </row>
    <row r="126" spans="1:34" ht="15" customHeight="1">
      <c r="A126" s="112">
        <v>1</v>
      </c>
      <c r="B126" s="23" t="str">
        <f>VLOOKUP(Ruimtestaat[[#This Row],[Code]],Locaties[#All],2,FALSE)</f>
        <v>RSG Levant</v>
      </c>
      <c r="C126" s="23" t="str">
        <f>VLOOKUP(Ruimtestaat[[#This Row],[Code]],Locaties[#All],4,FALSE)</f>
        <v>Horsterweg 192</v>
      </c>
      <c r="D126" s="23" t="str">
        <f>VLOOKUP(Ruimtestaat[[#This Row],[Code]],Locaties[#All],5,FALSE)</f>
        <v>3891 EV</v>
      </c>
      <c r="E126" s="23" t="str">
        <f>VLOOKUP(Ruimtestaat[[#This Row],[Code]],Locaties[#All],6,FALSE)</f>
        <v>Zeewolde</v>
      </c>
      <c r="F126" s="23"/>
      <c r="G126" s="60"/>
      <c r="H126" s="23" t="s">
        <v>573</v>
      </c>
      <c r="I126" s="27" t="s">
        <v>624</v>
      </c>
      <c r="J126" s="3" t="s">
        <v>658</v>
      </c>
      <c r="K126" s="23">
        <v>16</v>
      </c>
      <c r="L126" s="60" t="str">
        <f>VLOOKUP(K126,Ruimtegroepen[],2,FALSE)</f>
        <v>Leslokalen theorie</v>
      </c>
      <c r="M126" s="23" t="s">
        <v>112</v>
      </c>
      <c r="N126" s="23" t="s">
        <v>137</v>
      </c>
      <c r="O126" s="86">
        <v>6</v>
      </c>
      <c r="P126" s="86"/>
      <c r="Q126" s="95" t="str">
        <f>LEFT(VLOOKUP(Ruimtestaat[[#This Row],[Ruimte code]],Ruimtegroepen[#All],4,1),2)</f>
        <v xml:space="preserve">L </v>
      </c>
      <c r="R126" s="95"/>
      <c r="S126" s="87">
        <v>40</v>
      </c>
      <c r="T126" s="87" t="s">
        <v>2</v>
      </c>
      <c r="U126" s="88">
        <f>IF(S126&gt;0,IF(RIGHT(Ruimtestaat[[#This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26" s="88">
        <f>IF(U126&gt;0,VLOOKUP($K126,Ruimtegroepen[],3,FALSE)*VLOOKUP($M126,Vloersoorten[],3,FALSE)*VLOOKUP($T126,Frequenties[],3,FALSE)*VLOOKUP($A126,Locaties[],3,FALSE),0)</f>
        <v>0</v>
      </c>
      <c r="W126" s="89">
        <f>Ruimtestaat[[#This Row],[Uitvoeringen werkdagen]]*Ruimtestaat[[#This Row],[Oppervlak (netto)]]</f>
        <v>1200</v>
      </c>
      <c r="X126" s="90">
        <f>IF(V126&gt;0,Ruimtestaat[[#This Row],[Prest. (m2 /jaar) werkdagen]]/Ruimtestaat[[#This Row],[Norm (m2/uur) werkdagen]],0)</f>
        <v>0</v>
      </c>
      <c r="Y126" s="91">
        <f>Ruimtestaat[[#This Row],[uren / jaar werkdagen]]*Tariefsopbouw!$E$35</f>
        <v>0</v>
      </c>
      <c r="Z126" s="88"/>
      <c r="AA126" s="92">
        <f>IF(Ruimtestaat[[#This Row],[Frequentie weekend]]&gt;0,VALUE(LEFT(Z126,1))*S126,0)</f>
        <v>0</v>
      </c>
      <c r="AB126" s="88">
        <f>IF($AA126&gt;0,VLOOKUP($K126,Ruimtegroepen[],3,FALSE)*VLOOKUP($M126,Vloersoorten[],3,FALSE)*VLOOKUP($Z126,Frequenties[],3,FALSE)*VLOOKUP(#REF!,Locaties[],3,FALSE),0)</f>
        <v>0</v>
      </c>
      <c r="AC126" s="90">
        <f>Ruimtestaat[[#This Row],[Uitvoeringen weekend]]*Ruimtestaat[[#This Row],[Oppervlak (netto)]]</f>
        <v>0</v>
      </c>
      <c r="AD126" s="93">
        <f>IF(AC126&gt;0,Ruimtestaat[[#This Row],[Prest. (m2 /jaar) weekend]]/Ruimtestaat[[#This Row],[Norm (m2/uur) weekend]],0)</f>
        <v>0</v>
      </c>
      <c r="AE126" s="94">
        <f>Ruimtestaat[[#This Row],[uren / jaar weekend]]*Tariefsopbouw!$D$40</f>
        <v>0</v>
      </c>
      <c r="AF126" s="66">
        <f>Ruimtestaat[[#This Row],[Prest. (m2 /jaar) weekend]]+Ruimtestaat[[#This Row],[Prest. (m2 /jaar) werkdagen]]</f>
        <v>1200</v>
      </c>
      <c r="AG126" s="66">
        <f>Ruimtestaat[[#This Row],[uren / jaar weekend]]+Ruimtestaat[[#This Row],[uren / jaar werkdagen]]</f>
        <v>0</v>
      </c>
      <c r="AH126" s="67">
        <f>Ruimtestaat[[#This Row],[kosten / jaar weekend]]+Ruimtestaat[[#This Row],[kosten / jaar werkdagen]]</f>
        <v>0</v>
      </c>
    </row>
    <row r="127" spans="1:34" ht="15" customHeight="1">
      <c r="A127" s="112">
        <v>1</v>
      </c>
      <c r="B127" s="23" t="str">
        <f>VLOOKUP(Ruimtestaat[[#This Row],[Code]],Locaties[#All],2,FALSE)</f>
        <v>RSG Levant</v>
      </c>
      <c r="C127" s="23" t="str">
        <f>VLOOKUP(Ruimtestaat[[#This Row],[Code]],Locaties[#All],4,FALSE)</f>
        <v>Horsterweg 192</v>
      </c>
      <c r="D127" s="23" t="str">
        <f>VLOOKUP(Ruimtestaat[[#This Row],[Code]],Locaties[#All],5,FALSE)</f>
        <v>3891 EV</v>
      </c>
      <c r="E127" s="23" t="str">
        <f>VLOOKUP(Ruimtestaat[[#This Row],[Code]],Locaties[#All],6,FALSE)</f>
        <v>Zeewolde</v>
      </c>
      <c r="F127" s="23"/>
      <c r="G127" s="60"/>
      <c r="H127" s="23" t="s">
        <v>573</v>
      </c>
      <c r="I127" s="27" t="s">
        <v>625</v>
      </c>
      <c r="J127" s="3" t="s">
        <v>542</v>
      </c>
      <c r="K127" s="23">
        <v>16</v>
      </c>
      <c r="L127" s="60" t="str">
        <f>VLOOKUP(K127,Ruimtegroepen[],2,FALSE)</f>
        <v>Leslokalen theorie</v>
      </c>
      <c r="M127" s="23" t="s">
        <v>112</v>
      </c>
      <c r="N127" s="23" t="s">
        <v>137</v>
      </c>
      <c r="O127" s="86">
        <v>49</v>
      </c>
      <c r="P127" s="86"/>
      <c r="Q127" s="95" t="str">
        <f>LEFT(VLOOKUP(Ruimtestaat[[#This Row],[Ruimte code]],Ruimtegroepen[#All],4,1),2)</f>
        <v xml:space="preserve">L </v>
      </c>
      <c r="R127" s="95"/>
      <c r="S127" s="87">
        <v>40</v>
      </c>
      <c r="T127" s="87" t="s">
        <v>2</v>
      </c>
      <c r="U127" s="88">
        <f>IF(S127&gt;0,IF(RIGHT(Ruimtestaat[[#This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27" s="88">
        <f>IF(U127&gt;0,VLOOKUP($K127,Ruimtegroepen[],3,FALSE)*VLOOKUP($M127,Vloersoorten[],3,FALSE)*VLOOKUP($T127,Frequenties[],3,FALSE)*VLOOKUP($A127,Locaties[],3,FALSE),0)</f>
        <v>0</v>
      </c>
      <c r="W127" s="89">
        <f>Ruimtestaat[[#This Row],[Uitvoeringen werkdagen]]*Ruimtestaat[[#This Row],[Oppervlak (netto)]]</f>
        <v>9800</v>
      </c>
      <c r="X127" s="90">
        <f>IF(V127&gt;0,Ruimtestaat[[#This Row],[Prest. (m2 /jaar) werkdagen]]/Ruimtestaat[[#This Row],[Norm (m2/uur) werkdagen]],0)</f>
        <v>0</v>
      </c>
      <c r="Y127" s="91">
        <f>Ruimtestaat[[#This Row],[uren / jaar werkdagen]]*Tariefsopbouw!$E$35</f>
        <v>0</v>
      </c>
      <c r="Z127" s="88"/>
      <c r="AA127" s="92">
        <f>IF(Ruimtestaat[[#This Row],[Frequentie weekend]]&gt;0,VALUE(LEFT(Z127,1))*S127,0)</f>
        <v>0</v>
      </c>
      <c r="AB127" s="88">
        <f>IF($AA127&gt;0,VLOOKUP($K127,Ruimtegroepen[],3,FALSE)*VLOOKUP($M127,Vloersoorten[],3,FALSE)*VLOOKUP($Z127,Frequenties[],3,FALSE)*VLOOKUP(#REF!,Locaties[],3,FALSE),0)</f>
        <v>0</v>
      </c>
      <c r="AC127" s="90">
        <f>Ruimtestaat[[#This Row],[Uitvoeringen weekend]]*Ruimtestaat[[#This Row],[Oppervlak (netto)]]</f>
        <v>0</v>
      </c>
      <c r="AD127" s="93">
        <f>IF(AC127&gt;0,Ruimtestaat[[#This Row],[Prest. (m2 /jaar) weekend]]/Ruimtestaat[[#This Row],[Norm (m2/uur) weekend]],0)</f>
        <v>0</v>
      </c>
      <c r="AE127" s="94">
        <f>Ruimtestaat[[#This Row],[uren / jaar weekend]]*Tariefsopbouw!$D$40</f>
        <v>0</v>
      </c>
      <c r="AF127" s="66">
        <f>Ruimtestaat[[#This Row],[Prest. (m2 /jaar) weekend]]+Ruimtestaat[[#This Row],[Prest. (m2 /jaar) werkdagen]]</f>
        <v>9800</v>
      </c>
      <c r="AG127" s="66">
        <f>Ruimtestaat[[#This Row],[uren / jaar weekend]]+Ruimtestaat[[#This Row],[uren / jaar werkdagen]]</f>
        <v>0</v>
      </c>
      <c r="AH127" s="67">
        <f>Ruimtestaat[[#This Row],[kosten / jaar weekend]]+Ruimtestaat[[#This Row],[kosten / jaar werkdagen]]</f>
        <v>0</v>
      </c>
    </row>
    <row r="128" spans="1:34" ht="15" customHeight="1">
      <c r="A128" s="112">
        <v>1</v>
      </c>
      <c r="B128" s="23" t="str">
        <f>VLOOKUP(Ruimtestaat[[#This Row],[Code]],Locaties[#All],2,FALSE)</f>
        <v>RSG Levant</v>
      </c>
      <c r="C128" s="23" t="str">
        <f>VLOOKUP(Ruimtestaat[[#This Row],[Code]],Locaties[#All],4,FALSE)</f>
        <v>Horsterweg 192</v>
      </c>
      <c r="D128" s="23" t="str">
        <f>VLOOKUP(Ruimtestaat[[#This Row],[Code]],Locaties[#All],5,FALSE)</f>
        <v>3891 EV</v>
      </c>
      <c r="E128" s="23" t="str">
        <f>VLOOKUP(Ruimtestaat[[#This Row],[Code]],Locaties[#All],6,FALSE)</f>
        <v>Zeewolde</v>
      </c>
      <c r="F128" s="23"/>
      <c r="G128" s="60"/>
      <c r="H128" s="23" t="s">
        <v>573</v>
      </c>
      <c r="I128" s="27" t="s">
        <v>626</v>
      </c>
      <c r="J128" s="3" t="s">
        <v>542</v>
      </c>
      <c r="K128" s="23">
        <v>16</v>
      </c>
      <c r="L128" s="60" t="str">
        <f>VLOOKUP(K128,Ruimtegroepen[],2,FALSE)</f>
        <v>Leslokalen theorie</v>
      </c>
      <c r="M128" s="23" t="s">
        <v>112</v>
      </c>
      <c r="N128" s="23" t="s">
        <v>137</v>
      </c>
      <c r="O128" s="86">
        <v>50</v>
      </c>
      <c r="P128" s="86"/>
      <c r="Q128" s="95" t="str">
        <f>LEFT(VLOOKUP(Ruimtestaat[[#This Row],[Ruimte code]],Ruimtegroepen[#All],4,1),2)</f>
        <v xml:space="preserve">L </v>
      </c>
      <c r="R128" s="95"/>
      <c r="S128" s="87">
        <v>40</v>
      </c>
      <c r="T128" s="87" t="s">
        <v>2</v>
      </c>
      <c r="U128" s="88">
        <f>IF(S128&gt;0,IF(RIGHT(Ruimtestaat[[#This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28" s="88">
        <f>IF(U128&gt;0,VLOOKUP($K128,Ruimtegroepen[],3,FALSE)*VLOOKUP($M128,Vloersoorten[],3,FALSE)*VLOOKUP($T128,Frequenties[],3,FALSE)*VLOOKUP($A128,Locaties[],3,FALSE),0)</f>
        <v>0</v>
      </c>
      <c r="W128" s="89">
        <f>Ruimtestaat[[#This Row],[Uitvoeringen werkdagen]]*Ruimtestaat[[#This Row],[Oppervlak (netto)]]</f>
        <v>10000</v>
      </c>
      <c r="X128" s="90">
        <f>IF(V128&gt;0,Ruimtestaat[[#This Row],[Prest. (m2 /jaar) werkdagen]]/Ruimtestaat[[#This Row],[Norm (m2/uur) werkdagen]],0)</f>
        <v>0</v>
      </c>
      <c r="Y128" s="91">
        <f>Ruimtestaat[[#This Row],[uren / jaar werkdagen]]*Tariefsopbouw!$E$35</f>
        <v>0</v>
      </c>
      <c r="Z128" s="88"/>
      <c r="AA128" s="92">
        <f>IF(Ruimtestaat[[#This Row],[Frequentie weekend]]&gt;0,VALUE(LEFT(Z128,1))*S128,0)</f>
        <v>0</v>
      </c>
      <c r="AB128" s="88">
        <f>IF($AA128&gt;0,VLOOKUP($K128,Ruimtegroepen[],3,FALSE)*VLOOKUP($M128,Vloersoorten[],3,FALSE)*VLOOKUP($Z128,Frequenties[],3,FALSE)*VLOOKUP(#REF!,Locaties[],3,FALSE),0)</f>
        <v>0</v>
      </c>
      <c r="AC128" s="90">
        <f>Ruimtestaat[[#This Row],[Uitvoeringen weekend]]*Ruimtestaat[[#This Row],[Oppervlak (netto)]]</f>
        <v>0</v>
      </c>
      <c r="AD128" s="93">
        <f>IF(AC128&gt;0,Ruimtestaat[[#This Row],[Prest. (m2 /jaar) weekend]]/Ruimtestaat[[#This Row],[Norm (m2/uur) weekend]],0)</f>
        <v>0</v>
      </c>
      <c r="AE128" s="94">
        <f>Ruimtestaat[[#This Row],[uren / jaar weekend]]*Tariefsopbouw!$D$40</f>
        <v>0</v>
      </c>
      <c r="AF128" s="66">
        <f>Ruimtestaat[[#This Row],[Prest. (m2 /jaar) weekend]]+Ruimtestaat[[#This Row],[Prest. (m2 /jaar) werkdagen]]</f>
        <v>10000</v>
      </c>
      <c r="AG128" s="66">
        <f>Ruimtestaat[[#This Row],[uren / jaar weekend]]+Ruimtestaat[[#This Row],[uren / jaar werkdagen]]</f>
        <v>0</v>
      </c>
      <c r="AH128" s="67">
        <f>Ruimtestaat[[#This Row],[kosten / jaar weekend]]+Ruimtestaat[[#This Row],[kosten / jaar werkdagen]]</f>
        <v>0</v>
      </c>
    </row>
    <row r="129" spans="1:34" ht="15" customHeight="1">
      <c r="A129" s="112">
        <v>1</v>
      </c>
      <c r="B129" s="23" t="str">
        <f>VLOOKUP(Ruimtestaat[[#This Row],[Code]],Locaties[#All],2,FALSE)</f>
        <v>RSG Levant</v>
      </c>
      <c r="C129" s="23" t="str">
        <f>VLOOKUP(Ruimtestaat[[#This Row],[Code]],Locaties[#All],4,FALSE)</f>
        <v>Horsterweg 192</v>
      </c>
      <c r="D129" s="23" t="str">
        <f>VLOOKUP(Ruimtestaat[[#This Row],[Code]],Locaties[#All],5,FALSE)</f>
        <v>3891 EV</v>
      </c>
      <c r="E129" s="23" t="str">
        <f>VLOOKUP(Ruimtestaat[[#This Row],[Code]],Locaties[#All],6,FALSE)</f>
        <v>Zeewolde</v>
      </c>
      <c r="F129" s="23"/>
      <c r="G129" s="60"/>
      <c r="H129" s="23" t="s">
        <v>573</v>
      </c>
      <c r="I129" s="27" t="s">
        <v>627</v>
      </c>
      <c r="J129" s="3" t="s">
        <v>546</v>
      </c>
      <c r="K129" s="23">
        <v>8</v>
      </c>
      <c r="L129" s="60" t="str">
        <f>VLOOKUP(K129,Ruimtegroepen[],2,FALSE)</f>
        <v>Mediatheek / OLC</v>
      </c>
      <c r="M129" s="23" t="s">
        <v>112</v>
      </c>
      <c r="N129" s="23" t="s">
        <v>137</v>
      </c>
      <c r="O129" s="86">
        <v>61</v>
      </c>
      <c r="P129" s="86"/>
      <c r="Q129" s="95" t="str">
        <f>LEFT(VLOOKUP(Ruimtestaat[[#This Row],[Ruimte code]],Ruimtegroepen[#All],4,1),2)</f>
        <v xml:space="preserve">L </v>
      </c>
      <c r="R129" s="95"/>
      <c r="S129" s="87">
        <v>40</v>
      </c>
      <c r="T129" s="87" t="s">
        <v>2</v>
      </c>
      <c r="U129" s="88">
        <f>IF(S129&gt;0,IF(RIGHT(Ruimtestaat[[#This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29" s="88">
        <f>IF(U129&gt;0,VLOOKUP($K129,Ruimtegroepen[],3,FALSE)*VLOOKUP($M129,Vloersoorten[],3,FALSE)*VLOOKUP($T129,Frequenties[],3,FALSE)*VLOOKUP($A129,Locaties[],3,FALSE),0)</f>
        <v>0</v>
      </c>
      <c r="W129" s="89">
        <f>Ruimtestaat[[#This Row],[Uitvoeringen werkdagen]]*Ruimtestaat[[#This Row],[Oppervlak (netto)]]</f>
        <v>12200</v>
      </c>
      <c r="X129" s="90">
        <f>IF(V129&gt;0,Ruimtestaat[[#This Row],[Prest. (m2 /jaar) werkdagen]]/Ruimtestaat[[#This Row],[Norm (m2/uur) werkdagen]],0)</f>
        <v>0</v>
      </c>
      <c r="Y129" s="91">
        <f>Ruimtestaat[[#This Row],[uren / jaar werkdagen]]*Tariefsopbouw!$E$35</f>
        <v>0</v>
      </c>
      <c r="Z129" s="88"/>
      <c r="AA129" s="92">
        <f>IF(Ruimtestaat[[#This Row],[Frequentie weekend]]&gt;0,VALUE(LEFT(Z129,1))*S129,0)</f>
        <v>0</v>
      </c>
      <c r="AB129" s="88">
        <f>IF($AA129&gt;0,VLOOKUP($K129,Ruimtegroepen[],3,FALSE)*VLOOKUP($M129,Vloersoorten[],3,FALSE)*VLOOKUP($Z129,Frequenties[],3,FALSE)*VLOOKUP(#REF!,Locaties[],3,FALSE),0)</f>
        <v>0</v>
      </c>
      <c r="AC129" s="90">
        <f>Ruimtestaat[[#This Row],[Uitvoeringen weekend]]*Ruimtestaat[[#This Row],[Oppervlak (netto)]]</f>
        <v>0</v>
      </c>
      <c r="AD129" s="93">
        <f>IF(AC129&gt;0,Ruimtestaat[[#This Row],[Prest. (m2 /jaar) weekend]]/Ruimtestaat[[#This Row],[Norm (m2/uur) weekend]],0)</f>
        <v>0</v>
      </c>
      <c r="AE129" s="94">
        <f>Ruimtestaat[[#This Row],[uren / jaar weekend]]*Tariefsopbouw!$D$40</f>
        <v>0</v>
      </c>
      <c r="AF129" s="66">
        <f>Ruimtestaat[[#This Row],[Prest. (m2 /jaar) weekend]]+Ruimtestaat[[#This Row],[Prest. (m2 /jaar) werkdagen]]</f>
        <v>12200</v>
      </c>
      <c r="AG129" s="66">
        <f>Ruimtestaat[[#This Row],[uren / jaar weekend]]+Ruimtestaat[[#This Row],[uren / jaar werkdagen]]</f>
        <v>0</v>
      </c>
      <c r="AH129" s="67">
        <f>Ruimtestaat[[#This Row],[kosten / jaar weekend]]+Ruimtestaat[[#This Row],[kosten / jaar werkdagen]]</f>
        <v>0</v>
      </c>
    </row>
    <row r="130" spans="1:34" ht="15" customHeight="1">
      <c r="A130" s="112">
        <v>1</v>
      </c>
      <c r="B130" s="23" t="str">
        <f>VLOOKUP(Ruimtestaat[[#This Row],[Code]],Locaties[#All],2,FALSE)</f>
        <v>RSG Levant</v>
      </c>
      <c r="C130" s="23" t="str">
        <f>VLOOKUP(Ruimtestaat[[#This Row],[Code]],Locaties[#All],4,FALSE)</f>
        <v>Horsterweg 192</v>
      </c>
      <c r="D130" s="23" t="str">
        <f>VLOOKUP(Ruimtestaat[[#This Row],[Code]],Locaties[#All],5,FALSE)</f>
        <v>3891 EV</v>
      </c>
      <c r="E130" s="23" t="str">
        <f>VLOOKUP(Ruimtestaat[[#This Row],[Code]],Locaties[#All],6,FALSE)</f>
        <v>Zeewolde</v>
      </c>
      <c r="F130" s="23"/>
      <c r="G130" s="60"/>
      <c r="H130" s="23" t="s">
        <v>573</v>
      </c>
      <c r="I130" s="27" t="s">
        <v>628</v>
      </c>
      <c r="J130" s="3" t="s">
        <v>542</v>
      </c>
      <c r="K130" s="23">
        <v>16</v>
      </c>
      <c r="L130" s="60" t="str">
        <f>VLOOKUP(K130,Ruimtegroepen[],2,FALSE)</f>
        <v>Leslokalen theorie</v>
      </c>
      <c r="M130" s="23" t="s">
        <v>112</v>
      </c>
      <c r="N130" s="23" t="s">
        <v>137</v>
      </c>
      <c r="O130" s="86">
        <v>50</v>
      </c>
      <c r="P130" s="86"/>
      <c r="Q130" s="95" t="str">
        <f>LEFT(VLOOKUP(Ruimtestaat[[#This Row],[Ruimte code]],Ruimtegroepen[#All],4,1),2)</f>
        <v xml:space="preserve">L </v>
      </c>
      <c r="R130" s="95"/>
      <c r="S130" s="87">
        <v>40</v>
      </c>
      <c r="T130" s="87" t="s">
        <v>2</v>
      </c>
      <c r="U130" s="88">
        <f>IF(S130&gt;0,IF(RIGHT(Ruimtestaat[[#This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30" s="88">
        <f>IF(U130&gt;0,VLOOKUP($K130,Ruimtegroepen[],3,FALSE)*VLOOKUP($M130,Vloersoorten[],3,FALSE)*VLOOKUP($T130,Frequenties[],3,FALSE)*VLOOKUP($A130,Locaties[],3,FALSE),0)</f>
        <v>0</v>
      </c>
      <c r="W130" s="89">
        <f>Ruimtestaat[[#This Row],[Uitvoeringen werkdagen]]*Ruimtestaat[[#This Row],[Oppervlak (netto)]]</f>
        <v>10000</v>
      </c>
      <c r="X130" s="90">
        <f>IF(V130&gt;0,Ruimtestaat[[#This Row],[Prest. (m2 /jaar) werkdagen]]/Ruimtestaat[[#This Row],[Norm (m2/uur) werkdagen]],0)</f>
        <v>0</v>
      </c>
      <c r="Y130" s="91">
        <f>Ruimtestaat[[#This Row],[uren / jaar werkdagen]]*Tariefsopbouw!$E$35</f>
        <v>0</v>
      </c>
      <c r="Z130" s="88"/>
      <c r="AA130" s="92">
        <f>IF(Ruimtestaat[[#This Row],[Frequentie weekend]]&gt;0,VALUE(LEFT(Z130,1))*S130,0)</f>
        <v>0</v>
      </c>
      <c r="AB130" s="88">
        <f>IF($AA130&gt;0,VLOOKUP($K130,Ruimtegroepen[],3,FALSE)*VLOOKUP($M130,Vloersoorten[],3,FALSE)*VLOOKUP($Z130,Frequenties[],3,FALSE)*VLOOKUP(#REF!,Locaties[],3,FALSE),0)</f>
        <v>0</v>
      </c>
      <c r="AC130" s="90">
        <f>Ruimtestaat[[#This Row],[Uitvoeringen weekend]]*Ruimtestaat[[#This Row],[Oppervlak (netto)]]</f>
        <v>0</v>
      </c>
      <c r="AD130" s="93">
        <f>IF(AC130&gt;0,Ruimtestaat[[#This Row],[Prest. (m2 /jaar) weekend]]/Ruimtestaat[[#This Row],[Norm (m2/uur) weekend]],0)</f>
        <v>0</v>
      </c>
      <c r="AE130" s="94">
        <f>Ruimtestaat[[#This Row],[uren / jaar weekend]]*Tariefsopbouw!$D$40</f>
        <v>0</v>
      </c>
      <c r="AF130" s="66">
        <f>Ruimtestaat[[#This Row],[Prest. (m2 /jaar) weekend]]+Ruimtestaat[[#This Row],[Prest. (m2 /jaar) werkdagen]]</f>
        <v>10000</v>
      </c>
      <c r="AG130" s="66">
        <f>Ruimtestaat[[#This Row],[uren / jaar weekend]]+Ruimtestaat[[#This Row],[uren / jaar werkdagen]]</f>
        <v>0</v>
      </c>
      <c r="AH130" s="67">
        <f>Ruimtestaat[[#This Row],[kosten / jaar weekend]]+Ruimtestaat[[#This Row],[kosten / jaar werkdagen]]</f>
        <v>0</v>
      </c>
    </row>
    <row r="131" spans="1:34" ht="15" customHeight="1">
      <c r="A131" s="112">
        <v>1</v>
      </c>
      <c r="B131" s="23" t="str">
        <f>VLOOKUP(Ruimtestaat[[#This Row],[Code]],Locaties[#All],2,FALSE)</f>
        <v>RSG Levant</v>
      </c>
      <c r="C131" s="23" t="str">
        <f>VLOOKUP(Ruimtestaat[[#This Row],[Code]],Locaties[#All],4,FALSE)</f>
        <v>Horsterweg 192</v>
      </c>
      <c r="D131" s="23" t="str">
        <f>VLOOKUP(Ruimtestaat[[#This Row],[Code]],Locaties[#All],5,FALSE)</f>
        <v>3891 EV</v>
      </c>
      <c r="E131" s="23" t="str">
        <f>VLOOKUP(Ruimtestaat[[#This Row],[Code]],Locaties[#All],6,FALSE)</f>
        <v>Zeewolde</v>
      </c>
      <c r="F131" s="23"/>
      <c r="G131" s="60"/>
      <c r="H131" s="23" t="s">
        <v>573</v>
      </c>
      <c r="I131" s="27" t="s">
        <v>629</v>
      </c>
      <c r="J131" s="3" t="s">
        <v>542</v>
      </c>
      <c r="K131" s="23">
        <v>16</v>
      </c>
      <c r="L131" s="60" t="str">
        <f>VLOOKUP(K131,Ruimtegroepen[],2,FALSE)</f>
        <v>Leslokalen theorie</v>
      </c>
      <c r="M131" s="23" t="s">
        <v>112</v>
      </c>
      <c r="N131" s="23" t="s">
        <v>137</v>
      </c>
      <c r="O131" s="86">
        <v>50</v>
      </c>
      <c r="P131" s="86"/>
      <c r="Q131" s="95" t="str">
        <f>LEFT(VLOOKUP(Ruimtestaat[[#This Row],[Ruimte code]],Ruimtegroepen[#All],4,1),2)</f>
        <v xml:space="preserve">L </v>
      </c>
      <c r="R131" s="95"/>
      <c r="S131" s="87">
        <v>40</v>
      </c>
      <c r="T131" s="87" t="s">
        <v>2</v>
      </c>
      <c r="U131" s="88">
        <f>IF(S131&gt;0,IF(RIGHT(Ruimtestaat[[#This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31" s="88">
        <f>IF(U131&gt;0,VLOOKUP($K131,Ruimtegroepen[],3,FALSE)*VLOOKUP($M131,Vloersoorten[],3,FALSE)*VLOOKUP($T131,Frequenties[],3,FALSE)*VLOOKUP($A131,Locaties[],3,FALSE),0)</f>
        <v>0</v>
      </c>
      <c r="W131" s="89">
        <f>Ruimtestaat[[#This Row],[Uitvoeringen werkdagen]]*Ruimtestaat[[#This Row],[Oppervlak (netto)]]</f>
        <v>10000</v>
      </c>
      <c r="X131" s="90">
        <f>IF(V131&gt;0,Ruimtestaat[[#This Row],[Prest. (m2 /jaar) werkdagen]]/Ruimtestaat[[#This Row],[Norm (m2/uur) werkdagen]],0)</f>
        <v>0</v>
      </c>
      <c r="Y131" s="91">
        <f>Ruimtestaat[[#This Row],[uren / jaar werkdagen]]*Tariefsopbouw!$E$35</f>
        <v>0</v>
      </c>
      <c r="Z131" s="88"/>
      <c r="AA131" s="92">
        <f>IF(Ruimtestaat[[#This Row],[Frequentie weekend]]&gt;0,VALUE(LEFT(Z131,1))*S131,0)</f>
        <v>0</v>
      </c>
      <c r="AB131" s="88">
        <f>IF($AA131&gt;0,VLOOKUP($K131,Ruimtegroepen[],3,FALSE)*VLOOKUP($M131,Vloersoorten[],3,FALSE)*VLOOKUP($Z131,Frequenties[],3,FALSE)*VLOOKUP(#REF!,Locaties[],3,FALSE),0)</f>
        <v>0</v>
      </c>
      <c r="AC131" s="90">
        <f>Ruimtestaat[[#This Row],[Uitvoeringen weekend]]*Ruimtestaat[[#This Row],[Oppervlak (netto)]]</f>
        <v>0</v>
      </c>
      <c r="AD131" s="93">
        <f>IF(AC131&gt;0,Ruimtestaat[[#This Row],[Prest. (m2 /jaar) weekend]]/Ruimtestaat[[#This Row],[Norm (m2/uur) weekend]],0)</f>
        <v>0</v>
      </c>
      <c r="AE131" s="94">
        <f>Ruimtestaat[[#This Row],[uren / jaar weekend]]*Tariefsopbouw!$D$40</f>
        <v>0</v>
      </c>
      <c r="AF131" s="66">
        <f>Ruimtestaat[[#This Row],[Prest. (m2 /jaar) weekend]]+Ruimtestaat[[#This Row],[Prest. (m2 /jaar) werkdagen]]</f>
        <v>10000</v>
      </c>
      <c r="AG131" s="66">
        <f>Ruimtestaat[[#This Row],[uren / jaar weekend]]+Ruimtestaat[[#This Row],[uren / jaar werkdagen]]</f>
        <v>0</v>
      </c>
      <c r="AH131" s="67">
        <f>Ruimtestaat[[#This Row],[kosten / jaar weekend]]+Ruimtestaat[[#This Row],[kosten / jaar werkdagen]]</f>
        <v>0</v>
      </c>
    </row>
    <row r="132" spans="1:34" ht="15" customHeight="1">
      <c r="A132" s="112">
        <v>1</v>
      </c>
      <c r="B132" s="23" t="str">
        <f>VLOOKUP(Ruimtestaat[[#This Row],[Code]],Locaties[#All],2,FALSE)</f>
        <v>RSG Levant</v>
      </c>
      <c r="C132" s="23" t="str">
        <f>VLOOKUP(Ruimtestaat[[#This Row],[Code]],Locaties[#All],4,FALSE)</f>
        <v>Horsterweg 192</v>
      </c>
      <c r="D132" s="23" t="str">
        <f>VLOOKUP(Ruimtestaat[[#This Row],[Code]],Locaties[#All],5,FALSE)</f>
        <v>3891 EV</v>
      </c>
      <c r="E132" s="23" t="str">
        <f>VLOOKUP(Ruimtestaat[[#This Row],[Code]],Locaties[#All],6,FALSE)</f>
        <v>Zeewolde</v>
      </c>
      <c r="F132" s="23"/>
      <c r="G132" s="60"/>
      <c r="H132" s="23" t="s">
        <v>573</v>
      </c>
      <c r="I132" s="27" t="s">
        <v>630</v>
      </c>
      <c r="J132" s="3" t="s">
        <v>658</v>
      </c>
      <c r="K132" s="23">
        <v>16</v>
      </c>
      <c r="L132" s="60" t="str">
        <f>VLOOKUP(K132,Ruimtegroepen[],2,FALSE)</f>
        <v>Leslokalen theorie</v>
      </c>
      <c r="M132" s="23" t="s">
        <v>112</v>
      </c>
      <c r="N132" s="23" t="s">
        <v>137</v>
      </c>
      <c r="O132" s="86">
        <v>9</v>
      </c>
      <c r="P132" s="86"/>
      <c r="Q132" s="95" t="str">
        <f>LEFT(VLOOKUP(Ruimtestaat[[#This Row],[Ruimte code]],Ruimtegroepen[#All],4,1),2)</f>
        <v xml:space="preserve">L </v>
      </c>
      <c r="R132" s="95"/>
      <c r="S132" s="87">
        <v>40</v>
      </c>
      <c r="T132" s="87" t="s">
        <v>2</v>
      </c>
      <c r="U132" s="88">
        <f>IF(S132&gt;0,IF(RIGHT(Ruimtestaat[[#This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32" s="88">
        <f>IF(U132&gt;0,VLOOKUP($K132,Ruimtegroepen[],3,FALSE)*VLOOKUP($M132,Vloersoorten[],3,FALSE)*VLOOKUP($T132,Frequenties[],3,FALSE)*VLOOKUP($A132,Locaties[],3,FALSE),0)</f>
        <v>0</v>
      </c>
      <c r="W132" s="89">
        <f>Ruimtestaat[[#This Row],[Uitvoeringen werkdagen]]*Ruimtestaat[[#This Row],[Oppervlak (netto)]]</f>
        <v>1800</v>
      </c>
      <c r="X132" s="90">
        <f>IF(V132&gt;0,Ruimtestaat[[#This Row],[Prest. (m2 /jaar) werkdagen]]/Ruimtestaat[[#This Row],[Norm (m2/uur) werkdagen]],0)</f>
        <v>0</v>
      </c>
      <c r="Y132" s="91">
        <f>Ruimtestaat[[#This Row],[uren / jaar werkdagen]]*Tariefsopbouw!$E$35</f>
        <v>0</v>
      </c>
      <c r="Z132" s="88"/>
      <c r="AA132" s="92">
        <f>IF(Ruimtestaat[[#This Row],[Frequentie weekend]]&gt;0,VALUE(LEFT(Z132,1))*S132,0)</f>
        <v>0</v>
      </c>
      <c r="AB132" s="88">
        <f>IF($AA132&gt;0,VLOOKUP($K132,Ruimtegroepen[],3,FALSE)*VLOOKUP($M132,Vloersoorten[],3,FALSE)*VLOOKUP($Z132,Frequenties[],3,FALSE)*VLOOKUP(#REF!,Locaties[],3,FALSE),0)</f>
        <v>0</v>
      </c>
      <c r="AC132" s="90">
        <f>Ruimtestaat[[#This Row],[Uitvoeringen weekend]]*Ruimtestaat[[#This Row],[Oppervlak (netto)]]</f>
        <v>0</v>
      </c>
      <c r="AD132" s="93">
        <f>IF(AC132&gt;0,Ruimtestaat[[#This Row],[Prest. (m2 /jaar) weekend]]/Ruimtestaat[[#This Row],[Norm (m2/uur) weekend]],0)</f>
        <v>0</v>
      </c>
      <c r="AE132" s="94">
        <f>Ruimtestaat[[#This Row],[uren / jaar weekend]]*Tariefsopbouw!$D$40</f>
        <v>0</v>
      </c>
      <c r="AF132" s="66">
        <f>Ruimtestaat[[#This Row],[Prest. (m2 /jaar) weekend]]+Ruimtestaat[[#This Row],[Prest. (m2 /jaar) werkdagen]]</f>
        <v>1800</v>
      </c>
      <c r="AG132" s="66">
        <f>Ruimtestaat[[#This Row],[uren / jaar weekend]]+Ruimtestaat[[#This Row],[uren / jaar werkdagen]]</f>
        <v>0</v>
      </c>
      <c r="AH132" s="67">
        <f>Ruimtestaat[[#This Row],[kosten / jaar weekend]]+Ruimtestaat[[#This Row],[kosten / jaar werkdagen]]</f>
        <v>0</v>
      </c>
    </row>
    <row r="133" spans="1:34" ht="15" customHeight="1">
      <c r="A133" s="112">
        <v>1</v>
      </c>
      <c r="B133" s="23" t="str">
        <f>VLOOKUP(Ruimtestaat[[#This Row],[Code]],Locaties[#All],2,FALSE)</f>
        <v>RSG Levant</v>
      </c>
      <c r="C133" s="23" t="str">
        <f>VLOOKUP(Ruimtestaat[[#This Row],[Code]],Locaties[#All],4,FALSE)</f>
        <v>Horsterweg 192</v>
      </c>
      <c r="D133" s="23" t="str">
        <f>VLOOKUP(Ruimtestaat[[#This Row],[Code]],Locaties[#All],5,FALSE)</f>
        <v>3891 EV</v>
      </c>
      <c r="E133" s="23" t="str">
        <f>VLOOKUP(Ruimtestaat[[#This Row],[Code]],Locaties[#All],6,FALSE)</f>
        <v>Zeewolde</v>
      </c>
      <c r="F133" s="23"/>
      <c r="G133" s="60"/>
      <c r="H133" s="23" t="s">
        <v>573</v>
      </c>
      <c r="I133" s="27" t="s">
        <v>631</v>
      </c>
      <c r="J133" s="3" t="s">
        <v>642</v>
      </c>
      <c r="K133" s="23">
        <v>5</v>
      </c>
      <c r="L133" s="60" t="str">
        <f>VLOOKUP(K133,Ruimtegroepen[],2,FALSE)</f>
        <v>Sanitair</v>
      </c>
      <c r="M133" s="23" t="s">
        <v>112</v>
      </c>
      <c r="N133" s="23" t="s">
        <v>137</v>
      </c>
      <c r="O133" s="86">
        <v>13</v>
      </c>
      <c r="P133" s="86"/>
      <c r="Q133" s="95" t="str">
        <f>LEFT(VLOOKUP(Ruimtestaat[[#This Row],[Ruimte code]],Ruimtegroepen[#All],4,1),2)</f>
        <v xml:space="preserve">S </v>
      </c>
      <c r="R133" s="95"/>
      <c r="S133" s="87">
        <v>40</v>
      </c>
      <c r="T133" s="87" t="s">
        <v>2</v>
      </c>
      <c r="U133" s="88">
        <f>IF(S133&gt;0,IF(RIGHT(Ruimtestaat[[#This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33" s="88">
        <f>IF(U133&gt;0,VLOOKUP($K133,Ruimtegroepen[],3,FALSE)*VLOOKUP($M133,Vloersoorten[],3,FALSE)*VLOOKUP($T133,Frequenties[],3,FALSE)*VLOOKUP($A133,Locaties[],3,FALSE),0)</f>
        <v>0</v>
      </c>
      <c r="W133" s="89">
        <f>Ruimtestaat[[#This Row],[Uitvoeringen werkdagen]]*Ruimtestaat[[#This Row],[Oppervlak (netto)]]</f>
        <v>2600</v>
      </c>
      <c r="X133" s="90">
        <f>IF(V133&gt;0,Ruimtestaat[[#This Row],[Prest. (m2 /jaar) werkdagen]]/Ruimtestaat[[#This Row],[Norm (m2/uur) werkdagen]],0)</f>
        <v>0</v>
      </c>
      <c r="Y133" s="91">
        <f>Ruimtestaat[[#This Row],[uren / jaar werkdagen]]*Tariefsopbouw!$E$35</f>
        <v>0</v>
      </c>
      <c r="Z133" s="88"/>
      <c r="AA133" s="92">
        <f>IF(Ruimtestaat[[#This Row],[Frequentie weekend]]&gt;0,VALUE(LEFT(Z133,1))*S133,0)</f>
        <v>0</v>
      </c>
      <c r="AB133" s="88">
        <f>IF($AA133&gt;0,VLOOKUP($K133,Ruimtegroepen[],3,FALSE)*VLOOKUP($M133,Vloersoorten[],3,FALSE)*VLOOKUP($Z133,Frequenties[],3,FALSE)*VLOOKUP(#REF!,Locaties[],3,FALSE),0)</f>
        <v>0</v>
      </c>
      <c r="AC133" s="90">
        <f>Ruimtestaat[[#This Row],[Uitvoeringen weekend]]*Ruimtestaat[[#This Row],[Oppervlak (netto)]]</f>
        <v>0</v>
      </c>
      <c r="AD133" s="93">
        <f>IF(AC133&gt;0,Ruimtestaat[[#This Row],[Prest. (m2 /jaar) weekend]]/Ruimtestaat[[#This Row],[Norm (m2/uur) weekend]],0)</f>
        <v>0</v>
      </c>
      <c r="AE133" s="94">
        <f>Ruimtestaat[[#This Row],[uren / jaar weekend]]*Tariefsopbouw!$D$40</f>
        <v>0</v>
      </c>
      <c r="AF133" s="66">
        <f>Ruimtestaat[[#This Row],[Prest. (m2 /jaar) weekend]]+Ruimtestaat[[#This Row],[Prest. (m2 /jaar) werkdagen]]</f>
        <v>2600</v>
      </c>
      <c r="AG133" s="66">
        <f>Ruimtestaat[[#This Row],[uren / jaar weekend]]+Ruimtestaat[[#This Row],[uren / jaar werkdagen]]</f>
        <v>0</v>
      </c>
      <c r="AH133" s="67">
        <f>Ruimtestaat[[#This Row],[kosten / jaar weekend]]+Ruimtestaat[[#This Row],[kosten / jaar werkdagen]]</f>
        <v>0</v>
      </c>
    </row>
    <row r="134" spans="1:34" ht="15" customHeight="1">
      <c r="A134" s="112">
        <v>1</v>
      </c>
      <c r="B134" s="23" t="str">
        <f>VLOOKUP(Ruimtestaat[[#This Row],[Code]],Locaties[#All],2,FALSE)</f>
        <v>RSG Levant</v>
      </c>
      <c r="C134" s="23" t="str">
        <f>VLOOKUP(Ruimtestaat[[#This Row],[Code]],Locaties[#All],4,FALSE)</f>
        <v>Horsterweg 192</v>
      </c>
      <c r="D134" s="23" t="str">
        <f>VLOOKUP(Ruimtestaat[[#This Row],[Code]],Locaties[#All],5,FALSE)</f>
        <v>3891 EV</v>
      </c>
      <c r="E134" s="23" t="str">
        <f>VLOOKUP(Ruimtestaat[[#This Row],[Code]],Locaties[#All],6,FALSE)</f>
        <v>Zeewolde</v>
      </c>
      <c r="F134" s="23"/>
      <c r="G134" s="60"/>
      <c r="H134" s="23" t="s">
        <v>573</v>
      </c>
      <c r="I134" s="27" t="s">
        <v>632</v>
      </c>
      <c r="J134" s="3" t="s">
        <v>643</v>
      </c>
      <c r="K134" s="23">
        <v>5</v>
      </c>
      <c r="L134" s="60" t="str">
        <f>VLOOKUP(K134,Ruimtegroepen[],2,FALSE)</f>
        <v>Sanitair</v>
      </c>
      <c r="M134" s="23" t="s">
        <v>112</v>
      </c>
      <c r="N134" s="23" t="s">
        <v>137</v>
      </c>
      <c r="O134" s="86">
        <v>9</v>
      </c>
      <c r="P134" s="86"/>
      <c r="Q134" s="95" t="str">
        <f>LEFT(VLOOKUP(Ruimtestaat[[#This Row],[Ruimte code]],Ruimtegroepen[#All],4,1),2)</f>
        <v xml:space="preserve">S </v>
      </c>
      <c r="R134" s="95"/>
      <c r="S134" s="87">
        <v>40</v>
      </c>
      <c r="T134" s="87" t="s">
        <v>2</v>
      </c>
      <c r="U134" s="88">
        <f>IF(S134&gt;0,IF(RIGHT(Ruimtestaat[[#This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34" s="88">
        <f>IF(U134&gt;0,VLOOKUP($K134,Ruimtegroepen[],3,FALSE)*VLOOKUP($M134,Vloersoorten[],3,FALSE)*VLOOKUP($T134,Frequenties[],3,FALSE)*VLOOKUP($A134,Locaties[],3,FALSE),0)</f>
        <v>0</v>
      </c>
      <c r="W134" s="89">
        <f>Ruimtestaat[[#This Row],[Uitvoeringen werkdagen]]*Ruimtestaat[[#This Row],[Oppervlak (netto)]]</f>
        <v>1800</v>
      </c>
      <c r="X134" s="90">
        <f>IF(V134&gt;0,Ruimtestaat[[#This Row],[Prest. (m2 /jaar) werkdagen]]/Ruimtestaat[[#This Row],[Norm (m2/uur) werkdagen]],0)</f>
        <v>0</v>
      </c>
      <c r="Y134" s="91">
        <f>Ruimtestaat[[#This Row],[uren / jaar werkdagen]]*Tariefsopbouw!$E$35</f>
        <v>0</v>
      </c>
      <c r="Z134" s="88"/>
      <c r="AA134" s="92">
        <f>IF(Ruimtestaat[[#This Row],[Frequentie weekend]]&gt;0,VALUE(LEFT(Z134,1))*S134,0)</f>
        <v>0</v>
      </c>
      <c r="AB134" s="88">
        <f>IF($AA134&gt;0,VLOOKUP($K134,Ruimtegroepen[],3,FALSE)*VLOOKUP($M134,Vloersoorten[],3,FALSE)*VLOOKUP($Z134,Frequenties[],3,FALSE)*VLOOKUP(#REF!,Locaties[],3,FALSE),0)</f>
        <v>0</v>
      </c>
      <c r="AC134" s="90">
        <f>Ruimtestaat[[#This Row],[Uitvoeringen weekend]]*Ruimtestaat[[#This Row],[Oppervlak (netto)]]</f>
        <v>0</v>
      </c>
      <c r="AD134" s="93">
        <f>IF(AC134&gt;0,Ruimtestaat[[#This Row],[Prest. (m2 /jaar) weekend]]/Ruimtestaat[[#This Row],[Norm (m2/uur) weekend]],0)</f>
        <v>0</v>
      </c>
      <c r="AE134" s="94">
        <f>Ruimtestaat[[#This Row],[uren / jaar weekend]]*Tariefsopbouw!$D$40</f>
        <v>0</v>
      </c>
      <c r="AF134" s="66">
        <f>Ruimtestaat[[#This Row],[Prest. (m2 /jaar) weekend]]+Ruimtestaat[[#This Row],[Prest. (m2 /jaar) werkdagen]]</f>
        <v>1800</v>
      </c>
      <c r="AG134" s="66">
        <f>Ruimtestaat[[#This Row],[uren / jaar weekend]]+Ruimtestaat[[#This Row],[uren / jaar werkdagen]]</f>
        <v>0</v>
      </c>
      <c r="AH134" s="67">
        <f>Ruimtestaat[[#This Row],[kosten / jaar weekend]]+Ruimtestaat[[#This Row],[kosten / jaar werkdagen]]</f>
        <v>0</v>
      </c>
    </row>
    <row r="135" spans="1:34" ht="15" customHeight="1">
      <c r="A135" s="112">
        <v>1</v>
      </c>
      <c r="B135" s="23" t="str">
        <f>VLOOKUP(Ruimtestaat[[#This Row],[Code]],Locaties[#All],2,FALSE)</f>
        <v>RSG Levant</v>
      </c>
      <c r="C135" s="23" t="str">
        <f>VLOOKUP(Ruimtestaat[[#This Row],[Code]],Locaties[#All],4,FALSE)</f>
        <v>Horsterweg 192</v>
      </c>
      <c r="D135" s="23" t="str">
        <f>VLOOKUP(Ruimtestaat[[#This Row],[Code]],Locaties[#All],5,FALSE)</f>
        <v>3891 EV</v>
      </c>
      <c r="E135" s="23" t="str">
        <f>VLOOKUP(Ruimtestaat[[#This Row],[Code]],Locaties[#All],6,FALSE)</f>
        <v>Zeewolde</v>
      </c>
      <c r="F135" s="23"/>
      <c r="G135" s="60"/>
      <c r="H135" s="23" t="s">
        <v>573</v>
      </c>
      <c r="I135" s="27" t="s">
        <v>633</v>
      </c>
      <c r="J135" s="3" t="s">
        <v>542</v>
      </c>
      <c r="K135" s="23">
        <v>16</v>
      </c>
      <c r="L135" s="60" t="str">
        <f>VLOOKUP(K135,Ruimtegroepen[],2,FALSE)</f>
        <v>Leslokalen theorie</v>
      </c>
      <c r="M135" s="23" t="s">
        <v>112</v>
      </c>
      <c r="N135" s="23" t="s">
        <v>137</v>
      </c>
      <c r="O135" s="86">
        <v>50</v>
      </c>
      <c r="P135" s="86"/>
      <c r="Q135" s="95" t="str">
        <f>LEFT(VLOOKUP(Ruimtestaat[[#This Row],[Ruimte code]],Ruimtegroepen[#All],4,1),2)</f>
        <v xml:space="preserve">L </v>
      </c>
      <c r="R135" s="95"/>
      <c r="S135" s="87">
        <v>40</v>
      </c>
      <c r="T135" s="87" t="s">
        <v>2</v>
      </c>
      <c r="U135" s="88">
        <f>IF(S135&gt;0,IF(RIGHT(Ruimtestaat[[#This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35" s="88">
        <f>IF(U135&gt;0,VLOOKUP($K135,Ruimtegroepen[],3,FALSE)*VLOOKUP($M135,Vloersoorten[],3,FALSE)*VLOOKUP($T135,Frequenties[],3,FALSE)*VLOOKUP($A135,Locaties[],3,FALSE),0)</f>
        <v>0</v>
      </c>
      <c r="W135" s="89">
        <f>Ruimtestaat[[#This Row],[Uitvoeringen werkdagen]]*Ruimtestaat[[#This Row],[Oppervlak (netto)]]</f>
        <v>10000</v>
      </c>
      <c r="X135" s="90">
        <f>IF(V135&gt;0,Ruimtestaat[[#This Row],[Prest. (m2 /jaar) werkdagen]]/Ruimtestaat[[#This Row],[Norm (m2/uur) werkdagen]],0)</f>
        <v>0</v>
      </c>
      <c r="Y135" s="91">
        <f>Ruimtestaat[[#This Row],[uren / jaar werkdagen]]*Tariefsopbouw!$E$35</f>
        <v>0</v>
      </c>
      <c r="Z135" s="88"/>
      <c r="AA135" s="92">
        <f>IF(Ruimtestaat[[#This Row],[Frequentie weekend]]&gt;0,VALUE(LEFT(Z135,1))*S135,0)</f>
        <v>0</v>
      </c>
      <c r="AB135" s="88">
        <f>IF($AA135&gt;0,VLOOKUP($K135,Ruimtegroepen[],3,FALSE)*VLOOKUP($M135,Vloersoorten[],3,FALSE)*VLOOKUP($Z135,Frequenties[],3,FALSE)*VLOOKUP(#REF!,Locaties[],3,FALSE),0)</f>
        <v>0</v>
      </c>
      <c r="AC135" s="90">
        <f>Ruimtestaat[[#This Row],[Uitvoeringen weekend]]*Ruimtestaat[[#This Row],[Oppervlak (netto)]]</f>
        <v>0</v>
      </c>
      <c r="AD135" s="93">
        <f>IF(AC135&gt;0,Ruimtestaat[[#This Row],[Prest. (m2 /jaar) weekend]]/Ruimtestaat[[#This Row],[Norm (m2/uur) weekend]],0)</f>
        <v>0</v>
      </c>
      <c r="AE135" s="94">
        <f>Ruimtestaat[[#This Row],[uren / jaar weekend]]*Tariefsopbouw!$D$40</f>
        <v>0</v>
      </c>
      <c r="AF135" s="66">
        <f>Ruimtestaat[[#This Row],[Prest. (m2 /jaar) weekend]]+Ruimtestaat[[#This Row],[Prest. (m2 /jaar) werkdagen]]</f>
        <v>10000</v>
      </c>
      <c r="AG135" s="66">
        <f>Ruimtestaat[[#This Row],[uren / jaar weekend]]+Ruimtestaat[[#This Row],[uren / jaar werkdagen]]</f>
        <v>0</v>
      </c>
      <c r="AH135" s="67">
        <f>Ruimtestaat[[#This Row],[kosten / jaar weekend]]+Ruimtestaat[[#This Row],[kosten / jaar werkdagen]]</f>
        <v>0</v>
      </c>
    </row>
    <row r="136" spans="1:34" ht="15" customHeight="1">
      <c r="A136" s="112">
        <v>1</v>
      </c>
      <c r="B136" s="23" t="str">
        <f>VLOOKUP(Ruimtestaat[[#This Row],[Code]],Locaties[#All],2,FALSE)</f>
        <v>RSG Levant</v>
      </c>
      <c r="C136" s="23" t="str">
        <f>VLOOKUP(Ruimtestaat[[#This Row],[Code]],Locaties[#All],4,FALSE)</f>
        <v>Horsterweg 192</v>
      </c>
      <c r="D136" s="23" t="str">
        <f>VLOOKUP(Ruimtestaat[[#This Row],[Code]],Locaties[#All],5,FALSE)</f>
        <v>3891 EV</v>
      </c>
      <c r="E136" s="23" t="str">
        <f>VLOOKUP(Ruimtestaat[[#This Row],[Code]],Locaties[#All],6,FALSE)</f>
        <v>Zeewolde</v>
      </c>
      <c r="F136" s="23"/>
      <c r="G136" s="60"/>
      <c r="H136" s="23" t="s">
        <v>573</v>
      </c>
      <c r="I136" s="27" t="s">
        <v>634</v>
      </c>
      <c r="J136" s="3" t="s">
        <v>542</v>
      </c>
      <c r="K136" s="23">
        <v>16</v>
      </c>
      <c r="L136" s="60" t="str">
        <f>VLOOKUP(K136,Ruimtegroepen[],2,FALSE)</f>
        <v>Leslokalen theorie</v>
      </c>
      <c r="M136" s="23" t="s">
        <v>112</v>
      </c>
      <c r="N136" s="23" t="s">
        <v>137</v>
      </c>
      <c r="O136" s="86">
        <v>50</v>
      </c>
      <c r="P136" s="86"/>
      <c r="Q136" s="95" t="str">
        <f>LEFT(VLOOKUP(Ruimtestaat[[#This Row],[Ruimte code]],Ruimtegroepen[#All],4,1),2)</f>
        <v xml:space="preserve">L </v>
      </c>
      <c r="R136" s="95"/>
      <c r="S136" s="87">
        <v>40</v>
      </c>
      <c r="T136" s="87" t="s">
        <v>2</v>
      </c>
      <c r="U136" s="88">
        <f>IF(S136&gt;0,IF(RIGHT(Ruimtestaat[[#This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36" s="88">
        <f>IF(U136&gt;0,VLOOKUP($K136,Ruimtegroepen[],3,FALSE)*VLOOKUP($M136,Vloersoorten[],3,FALSE)*VLOOKUP($T136,Frequenties[],3,FALSE)*VLOOKUP($A136,Locaties[],3,FALSE),0)</f>
        <v>0</v>
      </c>
      <c r="W136" s="89">
        <f>Ruimtestaat[[#This Row],[Uitvoeringen werkdagen]]*Ruimtestaat[[#This Row],[Oppervlak (netto)]]</f>
        <v>10000</v>
      </c>
      <c r="X136" s="90">
        <f>IF(V136&gt;0,Ruimtestaat[[#This Row],[Prest. (m2 /jaar) werkdagen]]/Ruimtestaat[[#This Row],[Norm (m2/uur) werkdagen]],0)</f>
        <v>0</v>
      </c>
      <c r="Y136" s="91">
        <f>Ruimtestaat[[#This Row],[uren / jaar werkdagen]]*Tariefsopbouw!$E$35</f>
        <v>0</v>
      </c>
      <c r="Z136" s="88"/>
      <c r="AA136" s="92">
        <f>IF(Ruimtestaat[[#This Row],[Frequentie weekend]]&gt;0,VALUE(LEFT(Z136,1))*S136,0)</f>
        <v>0</v>
      </c>
      <c r="AB136" s="88">
        <f>IF($AA136&gt;0,VLOOKUP($K136,Ruimtegroepen[],3,FALSE)*VLOOKUP($M136,Vloersoorten[],3,FALSE)*VLOOKUP($Z136,Frequenties[],3,FALSE)*VLOOKUP(#REF!,Locaties[],3,FALSE),0)</f>
        <v>0</v>
      </c>
      <c r="AC136" s="90">
        <f>Ruimtestaat[[#This Row],[Uitvoeringen weekend]]*Ruimtestaat[[#This Row],[Oppervlak (netto)]]</f>
        <v>0</v>
      </c>
      <c r="AD136" s="93">
        <f>IF(AC136&gt;0,Ruimtestaat[[#This Row],[Prest. (m2 /jaar) weekend]]/Ruimtestaat[[#This Row],[Norm (m2/uur) weekend]],0)</f>
        <v>0</v>
      </c>
      <c r="AE136" s="94">
        <f>Ruimtestaat[[#This Row],[uren / jaar weekend]]*Tariefsopbouw!$D$40</f>
        <v>0</v>
      </c>
      <c r="AF136" s="66">
        <f>Ruimtestaat[[#This Row],[Prest. (m2 /jaar) weekend]]+Ruimtestaat[[#This Row],[Prest. (m2 /jaar) werkdagen]]</f>
        <v>10000</v>
      </c>
      <c r="AG136" s="66">
        <f>Ruimtestaat[[#This Row],[uren / jaar weekend]]+Ruimtestaat[[#This Row],[uren / jaar werkdagen]]</f>
        <v>0</v>
      </c>
      <c r="AH136" s="67">
        <f>Ruimtestaat[[#This Row],[kosten / jaar weekend]]+Ruimtestaat[[#This Row],[kosten / jaar werkdagen]]</f>
        <v>0</v>
      </c>
    </row>
    <row r="137" spans="1:34" ht="15" customHeight="1">
      <c r="A137" s="112">
        <v>1</v>
      </c>
      <c r="B137" s="23" t="str">
        <f>VLOOKUP(Ruimtestaat[[#This Row],[Code]],Locaties[#All],2,FALSE)</f>
        <v>RSG Levant</v>
      </c>
      <c r="C137" s="23" t="str">
        <f>VLOOKUP(Ruimtestaat[[#This Row],[Code]],Locaties[#All],4,FALSE)</f>
        <v>Horsterweg 192</v>
      </c>
      <c r="D137" s="23" t="str">
        <f>VLOOKUP(Ruimtestaat[[#This Row],[Code]],Locaties[#All],5,FALSE)</f>
        <v>3891 EV</v>
      </c>
      <c r="E137" s="23" t="str">
        <f>VLOOKUP(Ruimtestaat[[#This Row],[Code]],Locaties[#All],6,FALSE)</f>
        <v>Zeewolde</v>
      </c>
      <c r="F137" s="23"/>
      <c r="G137" s="60"/>
      <c r="H137" s="23" t="s">
        <v>573</v>
      </c>
      <c r="I137" s="27" t="s">
        <v>635</v>
      </c>
      <c r="J137" s="3" t="s">
        <v>542</v>
      </c>
      <c r="K137" s="23">
        <v>16</v>
      </c>
      <c r="L137" s="60" t="str">
        <f>VLOOKUP(K137,Ruimtegroepen[],2,FALSE)</f>
        <v>Leslokalen theorie</v>
      </c>
      <c r="M137" s="23" t="s">
        <v>112</v>
      </c>
      <c r="N137" s="23" t="s">
        <v>137</v>
      </c>
      <c r="O137" s="86">
        <v>52</v>
      </c>
      <c r="P137" s="86"/>
      <c r="Q137" s="95" t="str">
        <f>LEFT(VLOOKUP(Ruimtestaat[[#This Row],[Ruimte code]],Ruimtegroepen[#All],4,1),2)</f>
        <v xml:space="preserve">L </v>
      </c>
      <c r="R137" s="95"/>
      <c r="S137" s="87">
        <v>40</v>
      </c>
      <c r="T137" s="87" t="s">
        <v>2</v>
      </c>
      <c r="U137" s="88">
        <f>IF(S137&gt;0,IF(RIGHT(Ruimtestaat[[#This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37" s="88">
        <f>IF(U137&gt;0,VLOOKUP($K137,Ruimtegroepen[],3,FALSE)*VLOOKUP($M137,Vloersoorten[],3,FALSE)*VLOOKUP($T137,Frequenties[],3,FALSE)*VLOOKUP($A137,Locaties[],3,FALSE),0)</f>
        <v>0</v>
      </c>
      <c r="W137" s="89">
        <f>Ruimtestaat[[#This Row],[Uitvoeringen werkdagen]]*Ruimtestaat[[#This Row],[Oppervlak (netto)]]</f>
        <v>10400</v>
      </c>
      <c r="X137" s="90">
        <f>IF(V137&gt;0,Ruimtestaat[[#This Row],[Prest. (m2 /jaar) werkdagen]]/Ruimtestaat[[#This Row],[Norm (m2/uur) werkdagen]],0)</f>
        <v>0</v>
      </c>
      <c r="Y137" s="91">
        <f>Ruimtestaat[[#This Row],[uren / jaar werkdagen]]*Tariefsopbouw!$E$35</f>
        <v>0</v>
      </c>
      <c r="Z137" s="88"/>
      <c r="AA137" s="92">
        <f>IF(Ruimtestaat[[#This Row],[Frequentie weekend]]&gt;0,VALUE(LEFT(Z137,1))*S137,0)</f>
        <v>0</v>
      </c>
      <c r="AB137" s="88">
        <f>IF($AA137&gt;0,VLOOKUP($K137,Ruimtegroepen[],3,FALSE)*VLOOKUP($M137,Vloersoorten[],3,FALSE)*VLOOKUP($Z137,Frequenties[],3,FALSE)*VLOOKUP(#REF!,Locaties[],3,FALSE),0)</f>
        <v>0</v>
      </c>
      <c r="AC137" s="90">
        <f>Ruimtestaat[[#This Row],[Uitvoeringen weekend]]*Ruimtestaat[[#This Row],[Oppervlak (netto)]]</f>
        <v>0</v>
      </c>
      <c r="AD137" s="93">
        <f>IF(AC137&gt;0,Ruimtestaat[[#This Row],[Prest. (m2 /jaar) weekend]]/Ruimtestaat[[#This Row],[Norm (m2/uur) weekend]],0)</f>
        <v>0</v>
      </c>
      <c r="AE137" s="94">
        <f>Ruimtestaat[[#This Row],[uren / jaar weekend]]*Tariefsopbouw!$D$40</f>
        <v>0</v>
      </c>
      <c r="AF137" s="66">
        <f>Ruimtestaat[[#This Row],[Prest. (m2 /jaar) weekend]]+Ruimtestaat[[#This Row],[Prest. (m2 /jaar) werkdagen]]</f>
        <v>10400</v>
      </c>
      <c r="AG137" s="66">
        <f>Ruimtestaat[[#This Row],[uren / jaar weekend]]+Ruimtestaat[[#This Row],[uren / jaar werkdagen]]</f>
        <v>0</v>
      </c>
      <c r="AH137" s="67">
        <f>Ruimtestaat[[#This Row],[kosten / jaar weekend]]+Ruimtestaat[[#This Row],[kosten / jaar werkdagen]]</f>
        <v>0</v>
      </c>
    </row>
    <row r="138" spans="1:34" ht="15" customHeight="1">
      <c r="A138" s="112">
        <v>1</v>
      </c>
      <c r="B138" s="23" t="str">
        <f>VLOOKUP(Ruimtestaat[[#This Row],[Code]],Locaties[#All],2,FALSE)</f>
        <v>RSG Levant</v>
      </c>
      <c r="C138" s="23" t="str">
        <f>VLOOKUP(Ruimtestaat[[#This Row],[Code]],Locaties[#All],4,FALSE)</f>
        <v>Horsterweg 192</v>
      </c>
      <c r="D138" s="23" t="str">
        <f>VLOOKUP(Ruimtestaat[[#This Row],[Code]],Locaties[#All],5,FALSE)</f>
        <v>3891 EV</v>
      </c>
      <c r="E138" s="23" t="str">
        <f>VLOOKUP(Ruimtestaat[[#This Row],[Code]],Locaties[#All],6,FALSE)</f>
        <v>Zeewolde</v>
      </c>
      <c r="F138" s="23"/>
      <c r="G138" s="60"/>
      <c r="H138" s="23" t="s">
        <v>573</v>
      </c>
      <c r="I138" s="27" t="s">
        <v>636</v>
      </c>
      <c r="J138" s="3" t="s">
        <v>543</v>
      </c>
      <c r="K138" s="23">
        <v>8</v>
      </c>
      <c r="L138" s="60" t="str">
        <f>VLOOKUP(K138,Ruimtegroepen[],2,FALSE)</f>
        <v>Mediatheek / OLC</v>
      </c>
      <c r="M138" s="23" t="s">
        <v>112</v>
      </c>
      <c r="N138" s="23" t="s">
        <v>137</v>
      </c>
      <c r="O138" s="86">
        <v>52</v>
      </c>
      <c r="P138" s="86"/>
      <c r="Q138" s="95" t="str">
        <f>LEFT(VLOOKUP(Ruimtestaat[[#This Row],[Ruimte code]],Ruimtegroepen[#All],4,1),2)</f>
        <v xml:space="preserve">L </v>
      </c>
      <c r="R138" s="95"/>
      <c r="S138" s="87">
        <v>40</v>
      </c>
      <c r="T138" s="87" t="s">
        <v>2</v>
      </c>
      <c r="U138" s="88">
        <f>IF(S138&gt;0,IF(RIGHT(Ruimtestaat[[#This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38" s="88">
        <f>IF(U138&gt;0,VLOOKUP($K138,Ruimtegroepen[],3,FALSE)*VLOOKUP($M138,Vloersoorten[],3,FALSE)*VLOOKUP($T138,Frequenties[],3,FALSE)*VLOOKUP($A138,Locaties[],3,FALSE),0)</f>
        <v>0</v>
      </c>
      <c r="W138" s="89">
        <f>Ruimtestaat[[#This Row],[Uitvoeringen werkdagen]]*Ruimtestaat[[#This Row],[Oppervlak (netto)]]</f>
        <v>10400</v>
      </c>
      <c r="X138" s="90">
        <f>IF(V138&gt;0,Ruimtestaat[[#This Row],[Prest. (m2 /jaar) werkdagen]]/Ruimtestaat[[#This Row],[Norm (m2/uur) werkdagen]],0)</f>
        <v>0</v>
      </c>
      <c r="Y138" s="91">
        <f>Ruimtestaat[[#This Row],[uren / jaar werkdagen]]*Tariefsopbouw!$E$35</f>
        <v>0</v>
      </c>
      <c r="Z138" s="88"/>
      <c r="AA138" s="92">
        <f>IF(Ruimtestaat[[#This Row],[Frequentie weekend]]&gt;0,VALUE(LEFT(Z138,1))*S138,0)</f>
        <v>0</v>
      </c>
      <c r="AB138" s="88">
        <f>IF($AA138&gt;0,VLOOKUP($K138,Ruimtegroepen[],3,FALSE)*VLOOKUP($M138,Vloersoorten[],3,FALSE)*VLOOKUP($Z138,Frequenties[],3,FALSE)*VLOOKUP(#REF!,Locaties[],3,FALSE),0)</f>
        <v>0</v>
      </c>
      <c r="AC138" s="90">
        <f>Ruimtestaat[[#This Row],[Uitvoeringen weekend]]*Ruimtestaat[[#This Row],[Oppervlak (netto)]]</f>
        <v>0</v>
      </c>
      <c r="AD138" s="93">
        <f>IF(AC138&gt;0,Ruimtestaat[[#This Row],[Prest. (m2 /jaar) weekend]]/Ruimtestaat[[#This Row],[Norm (m2/uur) weekend]],0)</f>
        <v>0</v>
      </c>
      <c r="AE138" s="94">
        <f>Ruimtestaat[[#This Row],[uren / jaar weekend]]*Tariefsopbouw!$D$40</f>
        <v>0</v>
      </c>
      <c r="AF138" s="66">
        <f>Ruimtestaat[[#This Row],[Prest. (m2 /jaar) weekend]]+Ruimtestaat[[#This Row],[Prest. (m2 /jaar) werkdagen]]</f>
        <v>10400</v>
      </c>
      <c r="AG138" s="66">
        <f>Ruimtestaat[[#This Row],[uren / jaar weekend]]+Ruimtestaat[[#This Row],[uren / jaar werkdagen]]</f>
        <v>0</v>
      </c>
      <c r="AH138" s="67">
        <f>Ruimtestaat[[#This Row],[kosten / jaar weekend]]+Ruimtestaat[[#This Row],[kosten / jaar werkdagen]]</f>
        <v>0</v>
      </c>
    </row>
    <row r="139" spans="1:34" ht="15" customHeight="1">
      <c r="A139" s="112">
        <v>1</v>
      </c>
      <c r="B139" s="23" t="str">
        <f>VLOOKUP(Ruimtestaat[[#This Row],[Code]],Locaties[#All],2,FALSE)</f>
        <v>RSG Levant</v>
      </c>
      <c r="C139" s="23" t="str">
        <f>VLOOKUP(Ruimtestaat[[#This Row],[Code]],Locaties[#All],4,FALSE)</f>
        <v>Horsterweg 192</v>
      </c>
      <c r="D139" s="23" t="str">
        <f>VLOOKUP(Ruimtestaat[[#This Row],[Code]],Locaties[#All],5,FALSE)</f>
        <v>3891 EV</v>
      </c>
      <c r="E139" s="23" t="str">
        <f>VLOOKUP(Ruimtestaat[[#This Row],[Code]],Locaties[#All],6,FALSE)</f>
        <v>Zeewolde</v>
      </c>
      <c r="F139" s="23"/>
      <c r="G139" s="60"/>
      <c r="H139" s="23" t="s">
        <v>573</v>
      </c>
      <c r="I139" s="27" t="s">
        <v>637</v>
      </c>
      <c r="J139" s="3" t="s">
        <v>659</v>
      </c>
      <c r="K139" s="23">
        <v>23</v>
      </c>
      <c r="L139" s="60" t="str">
        <f>VLOOKUP(K139,Ruimtegroepen[],2,FALSE)</f>
        <v>Niet in onderhoud</v>
      </c>
      <c r="M139" s="23" t="s">
        <v>112</v>
      </c>
      <c r="N139" s="23" t="s">
        <v>137</v>
      </c>
      <c r="O139" s="86"/>
      <c r="P139" s="86">
        <v>6</v>
      </c>
      <c r="Q139" s="95" t="str">
        <f>LEFT(VLOOKUP(Ruimtestaat[[#This Row],[Ruimte code]],Ruimtegroepen[#All],4,1),2)</f>
        <v/>
      </c>
      <c r="R139" s="95"/>
      <c r="S139" s="87"/>
      <c r="T139" s="87"/>
      <c r="U139" s="88">
        <f>IF(S139&gt;0,IF(RIGHT(Ruimtestaat[[#This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139" s="88">
        <f>IF(U139&gt;0,VLOOKUP($K139,Ruimtegroepen[],3,FALSE)*VLOOKUP($M139,Vloersoorten[],3,FALSE)*VLOOKUP($T139,Frequenties[],3,FALSE)*VLOOKUP($A139,Locaties[],3,FALSE),0)</f>
        <v>0</v>
      </c>
      <c r="W139" s="89">
        <f>Ruimtestaat[[#This Row],[Uitvoeringen werkdagen]]*Ruimtestaat[[#This Row],[Oppervlak (netto)]]</f>
        <v>0</v>
      </c>
      <c r="X139" s="90">
        <f>IF(V139&gt;0,Ruimtestaat[[#This Row],[Prest. (m2 /jaar) werkdagen]]/Ruimtestaat[[#This Row],[Norm (m2/uur) werkdagen]],0)</f>
        <v>0</v>
      </c>
      <c r="Y139" s="91">
        <f>Ruimtestaat[[#This Row],[uren / jaar werkdagen]]*Tariefsopbouw!$E$35</f>
        <v>0</v>
      </c>
      <c r="Z139" s="88"/>
      <c r="AA139" s="92">
        <f>IF(Ruimtestaat[[#This Row],[Frequentie weekend]]&gt;0,VALUE(LEFT(Z139,1))*S139,0)</f>
        <v>0</v>
      </c>
      <c r="AB139" s="88">
        <f>IF($AA139&gt;0,VLOOKUP($K139,Ruimtegroepen[],3,FALSE)*VLOOKUP($M139,Vloersoorten[],3,FALSE)*VLOOKUP($Z139,Frequenties[],3,FALSE)*VLOOKUP(#REF!,Locaties[],3,FALSE),0)</f>
        <v>0</v>
      </c>
      <c r="AC139" s="90">
        <f>Ruimtestaat[[#This Row],[Uitvoeringen weekend]]*Ruimtestaat[[#This Row],[Oppervlak (netto)]]</f>
        <v>0</v>
      </c>
      <c r="AD139" s="93">
        <f>IF(AC139&gt;0,Ruimtestaat[[#This Row],[Prest. (m2 /jaar) weekend]]/Ruimtestaat[[#This Row],[Norm (m2/uur) weekend]],0)</f>
        <v>0</v>
      </c>
      <c r="AE139" s="94">
        <f>Ruimtestaat[[#This Row],[uren / jaar weekend]]*Tariefsopbouw!$D$40</f>
        <v>0</v>
      </c>
      <c r="AF139" s="66">
        <f>Ruimtestaat[[#This Row],[Prest. (m2 /jaar) weekend]]+Ruimtestaat[[#This Row],[Prest. (m2 /jaar) werkdagen]]</f>
        <v>0</v>
      </c>
      <c r="AG139" s="66">
        <f>Ruimtestaat[[#This Row],[uren / jaar weekend]]+Ruimtestaat[[#This Row],[uren / jaar werkdagen]]</f>
        <v>0</v>
      </c>
      <c r="AH139" s="67">
        <f>Ruimtestaat[[#This Row],[kosten / jaar weekend]]+Ruimtestaat[[#This Row],[kosten / jaar werkdagen]]</f>
        <v>0</v>
      </c>
    </row>
    <row r="140" spans="1:34" ht="15" customHeight="1">
      <c r="A140" s="112">
        <v>1</v>
      </c>
      <c r="B140" s="23" t="str">
        <f>VLOOKUP(Ruimtestaat[[#This Row],[Code]],Locaties[#All],2,FALSE)</f>
        <v>RSG Levant</v>
      </c>
      <c r="C140" s="23" t="str">
        <f>VLOOKUP(Ruimtestaat[[#This Row],[Code]],Locaties[#All],4,FALSE)</f>
        <v>Horsterweg 192</v>
      </c>
      <c r="D140" s="23" t="str">
        <f>VLOOKUP(Ruimtestaat[[#This Row],[Code]],Locaties[#All],5,FALSE)</f>
        <v>3891 EV</v>
      </c>
      <c r="E140" s="23" t="str">
        <f>VLOOKUP(Ruimtestaat[[#This Row],[Code]],Locaties[#All],6,FALSE)</f>
        <v>Zeewolde</v>
      </c>
      <c r="F140" s="23"/>
      <c r="G140" s="60"/>
      <c r="H140" s="23" t="s">
        <v>573</v>
      </c>
      <c r="I140" s="27" t="s">
        <v>638</v>
      </c>
      <c r="J140" s="3" t="s">
        <v>542</v>
      </c>
      <c r="K140" s="23">
        <v>16</v>
      </c>
      <c r="L140" s="60" t="str">
        <f>VLOOKUP(K140,Ruimtegroepen[],2,FALSE)</f>
        <v>Leslokalen theorie</v>
      </c>
      <c r="M140" s="23" t="s">
        <v>112</v>
      </c>
      <c r="N140" s="23" t="s">
        <v>137</v>
      </c>
      <c r="O140" s="86">
        <v>50</v>
      </c>
      <c r="P140" s="86"/>
      <c r="Q140" s="95" t="str">
        <f>LEFT(VLOOKUP(Ruimtestaat[[#This Row],[Ruimte code]],Ruimtegroepen[#All],4,1),2)</f>
        <v xml:space="preserve">L </v>
      </c>
      <c r="R140" s="95"/>
      <c r="S140" s="87">
        <v>40</v>
      </c>
      <c r="T140" s="87" t="s">
        <v>2</v>
      </c>
      <c r="U140" s="88">
        <f>IF(S140&gt;0,IF(RIGHT(Ruimtestaat[[#This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40" s="88">
        <f>IF(U140&gt;0,VLOOKUP($K140,Ruimtegroepen[],3,FALSE)*VLOOKUP($M140,Vloersoorten[],3,FALSE)*VLOOKUP($T140,Frequenties[],3,FALSE)*VLOOKUP($A140,Locaties[],3,FALSE),0)</f>
        <v>0</v>
      </c>
      <c r="W140" s="89">
        <f>Ruimtestaat[[#This Row],[Uitvoeringen werkdagen]]*Ruimtestaat[[#This Row],[Oppervlak (netto)]]</f>
        <v>10000</v>
      </c>
      <c r="X140" s="90">
        <f>IF(V140&gt;0,Ruimtestaat[[#This Row],[Prest. (m2 /jaar) werkdagen]]/Ruimtestaat[[#This Row],[Norm (m2/uur) werkdagen]],0)</f>
        <v>0</v>
      </c>
      <c r="Y140" s="91">
        <f>Ruimtestaat[[#This Row],[uren / jaar werkdagen]]*Tariefsopbouw!$E$35</f>
        <v>0</v>
      </c>
      <c r="Z140" s="88"/>
      <c r="AA140" s="92">
        <f>IF(Ruimtestaat[[#This Row],[Frequentie weekend]]&gt;0,VALUE(LEFT(Z140,1))*S140,0)</f>
        <v>0</v>
      </c>
      <c r="AB140" s="88">
        <f>IF($AA140&gt;0,VLOOKUP($K140,Ruimtegroepen[],3,FALSE)*VLOOKUP($M140,Vloersoorten[],3,FALSE)*VLOOKUP($Z140,Frequenties[],3,FALSE)*VLOOKUP(#REF!,Locaties[],3,FALSE),0)</f>
        <v>0</v>
      </c>
      <c r="AC140" s="90">
        <f>Ruimtestaat[[#This Row],[Uitvoeringen weekend]]*Ruimtestaat[[#This Row],[Oppervlak (netto)]]</f>
        <v>0</v>
      </c>
      <c r="AD140" s="93">
        <f>IF(AC140&gt;0,Ruimtestaat[[#This Row],[Prest. (m2 /jaar) weekend]]/Ruimtestaat[[#This Row],[Norm (m2/uur) weekend]],0)</f>
        <v>0</v>
      </c>
      <c r="AE140" s="94">
        <f>Ruimtestaat[[#This Row],[uren / jaar weekend]]*Tariefsopbouw!$D$40</f>
        <v>0</v>
      </c>
      <c r="AF140" s="66">
        <f>Ruimtestaat[[#This Row],[Prest. (m2 /jaar) weekend]]+Ruimtestaat[[#This Row],[Prest. (m2 /jaar) werkdagen]]</f>
        <v>10000</v>
      </c>
      <c r="AG140" s="66">
        <f>Ruimtestaat[[#This Row],[uren / jaar weekend]]+Ruimtestaat[[#This Row],[uren / jaar werkdagen]]</f>
        <v>0</v>
      </c>
      <c r="AH140" s="67">
        <f>Ruimtestaat[[#This Row],[kosten / jaar weekend]]+Ruimtestaat[[#This Row],[kosten / jaar werkdagen]]</f>
        <v>0</v>
      </c>
    </row>
    <row r="141" spans="1:34" ht="15" customHeight="1">
      <c r="A141" s="112">
        <v>1</v>
      </c>
      <c r="B141" s="23" t="str">
        <f>VLOOKUP(Ruimtestaat[[#This Row],[Code]],Locaties[#All],2,FALSE)</f>
        <v>RSG Levant</v>
      </c>
      <c r="C141" s="23" t="str">
        <f>VLOOKUP(Ruimtestaat[[#This Row],[Code]],Locaties[#All],4,FALSE)</f>
        <v>Horsterweg 192</v>
      </c>
      <c r="D141" s="23" t="str">
        <f>VLOOKUP(Ruimtestaat[[#This Row],[Code]],Locaties[#All],5,FALSE)</f>
        <v>3891 EV</v>
      </c>
      <c r="E141" s="23" t="str">
        <f>VLOOKUP(Ruimtestaat[[#This Row],[Code]],Locaties[#All],6,FALSE)</f>
        <v>Zeewolde</v>
      </c>
      <c r="F141" s="23"/>
      <c r="G141" s="60"/>
      <c r="H141" s="23" t="s">
        <v>573</v>
      </c>
      <c r="I141" s="27" t="s">
        <v>639</v>
      </c>
      <c r="J141" s="3" t="s">
        <v>660</v>
      </c>
      <c r="K141" s="23">
        <v>16</v>
      </c>
      <c r="L141" s="60" t="str">
        <f>VLOOKUP(K141,Ruimtegroepen[],2,FALSE)</f>
        <v>Leslokalen theorie</v>
      </c>
      <c r="M141" s="23" t="s">
        <v>112</v>
      </c>
      <c r="N141" s="23" t="s">
        <v>137</v>
      </c>
      <c r="O141" s="86">
        <v>52</v>
      </c>
      <c r="P141" s="86"/>
      <c r="Q141" s="95" t="str">
        <f>LEFT(VLOOKUP(Ruimtestaat[[#This Row],[Ruimte code]],Ruimtegroepen[#All],4,1),2)</f>
        <v xml:space="preserve">L </v>
      </c>
      <c r="R141" s="95"/>
      <c r="S141" s="87">
        <v>40</v>
      </c>
      <c r="T141" s="87" t="s">
        <v>2</v>
      </c>
      <c r="U141" s="88">
        <f>IF(S141&gt;0,IF(RIGHT(Ruimtestaat[[#This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41" s="88">
        <f>IF(U141&gt;0,VLOOKUP($K141,Ruimtegroepen[],3,FALSE)*VLOOKUP($M141,Vloersoorten[],3,FALSE)*VLOOKUP($T141,Frequenties[],3,FALSE)*VLOOKUP($A141,Locaties[],3,FALSE),0)</f>
        <v>0</v>
      </c>
      <c r="W141" s="89">
        <f>Ruimtestaat[[#This Row],[Uitvoeringen werkdagen]]*Ruimtestaat[[#This Row],[Oppervlak (netto)]]</f>
        <v>10400</v>
      </c>
      <c r="X141" s="90">
        <f>IF(V141&gt;0,Ruimtestaat[[#This Row],[Prest. (m2 /jaar) werkdagen]]/Ruimtestaat[[#This Row],[Norm (m2/uur) werkdagen]],0)</f>
        <v>0</v>
      </c>
      <c r="Y141" s="91">
        <f>Ruimtestaat[[#This Row],[uren / jaar werkdagen]]*Tariefsopbouw!$E$35</f>
        <v>0</v>
      </c>
      <c r="Z141" s="88"/>
      <c r="AA141" s="92">
        <f>IF(Ruimtestaat[[#This Row],[Frequentie weekend]]&gt;0,VALUE(LEFT(Z141,1))*S141,0)</f>
        <v>0</v>
      </c>
      <c r="AB141" s="88">
        <f>IF($AA141&gt;0,VLOOKUP($K141,Ruimtegroepen[],3,FALSE)*VLOOKUP($M141,Vloersoorten[],3,FALSE)*VLOOKUP($Z141,Frequenties[],3,FALSE)*VLOOKUP(#REF!,Locaties[],3,FALSE),0)</f>
        <v>0</v>
      </c>
      <c r="AC141" s="90">
        <f>Ruimtestaat[[#This Row],[Uitvoeringen weekend]]*Ruimtestaat[[#This Row],[Oppervlak (netto)]]</f>
        <v>0</v>
      </c>
      <c r="AD141" s="93">
        <f>IF(AC141&gt;0,Ruimtestaat[[#This Row],[Prest. (m2 /jaar) weekend]]/Ruimtestaat[[#This Row],[Norm (m2/uur) weekend]],0)</f>
        <v>0</v>
      </c>
      <c r="AE141" s="94">
        <f>Ruimtestaat[[#This Row],[uren / jaar weekend]]*Tariefsopbouw!$D$40</f>
        <v>0</v>
      </c>
      <c r="AF141" s="66">
        <f>Ruimtestaat[[#This Row],[Prest. (m2 /jaar) weekend]]+Ruimtestaat[[#This Row],[Prest. (m2 /jaar) werkdagen]]</f>
        <v>10400</v>
      </c>
      <c r="AG141" s="66">
        <f>Ruimtestaat[[#This Row],[uren / jaar weekend]]+Ruimtestaat[[#This Row],[uren / jaar werkdagen]]</f>
        <v>0</v>
      </c>
      <c r="AH141" s="67">
        <f>Ruimtestaat[[#This Row],[kosten / jaar weekend]]+Ruimtestaat[[#This Row],[kosten / jaar werkdagen]]</f>
        <v>0</v>
      </c>
    </row>
    <row r="142" spans="1:34" ht="15" customHeight="1">
      <c r="A142" s="112">
        <v>2</v>
      </c>
      <c r="B142" s="23" t="str">
        <f>VLOOKUP(Ruimtestaat[[#This Row],[Code]],Locaties[#All],2,FALSE)</f>
        <v>RSG Slingerbos</v>
      </c>
      <c r="C142" s="23" t="str">
        <f>VLOOKUP(Ruimtestaat[[#This Row],[Code]],Locaties[#All],4,FALSE)</f>
        <v>Eisenhowerlaan 59</v>
      </c>
      <c r="D142" s="23" t="str">
        <f>VLOOKUP(Ruimtestaat[[#This Row],[Code]],Locaties[#All],5,FALSE)</f>
        <v>3844 AS</v>
      </c>
      <c r="E142" s="23" t="str">
        <f>VLOOKUP(Ruimtestaat[[#This Row],[Code]],Locaties[#All],6,FALSE)</f>
        <v>Harderwijk</v>
      </c>
      <c r="F142" s="23"/>
      <c r="G142" s="60" t="s">
        <v>838</v>
      </c>
      <c r="H142" s="23" t="s">
        <v>535</v>
      </c>
      <c r="I142" s="27" t="s">
        <v>687</v>
      </c>
      <c r="J142" s="3" t="s">
        <v>70</v>
      </c>
      <c r="K142" s="23">
        <v>18</v>
      </c>
      <c r="L142" s="60" t="str">
        <f>VLOOKUP(K142,Ruimtegroepen[],2,FALSE)</f>
        <v>Gymzaal</v>
      </c>
      <c r="M142" s="23" t="s">
        <v>114</v>
      </c>
      <c r="N142" s="23" t="s">
        <v>1088</v>
      </c>
      <c r="O142" s="86">
        <v>251.6</v>
      </c>
      <c r="P142" s="86"/>
      <c r="Q142" s="95" t="str">
        <f>LEFT(VLOOKUP(Ruimtestaat[[#This Row],[Ruimte code]],Ruimtegroepen[#All],4,1),2)</f>
        <v>Sp</v>
      </c>
      <c r="R142" s="95"/>
      <c r="S142" s="87">
        <v>40</v>
      </c>
      <c r="T142" s="87" t="s">
        <v>2</v>
      </c>
      <c r="U142" s="88">
        <f>IF(S142&gt;0,IF(RIGHT(Ruimtestaat[[#This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42" s="88">
        <f>IF(U142&gt;0,VLOOKUP($K142,Ruimtegroepen[],3,FALSE)*VLOOKUP($M142,Vloersoorten[],3,FALSE)*VLOOKUP($T142,Frequenties[],3,FALSE)*VLOOKUP($A142,Locaties[],3,FALSE),0)</f>
        <v>0</v>
      </c>
      <c r="W142" s="89">
        <f>Ruimtestaat[[#This Row],[Uitvoeringen werkdagen]]*Ruimtestaat[[#This Row],[Oppervlak (netto)]]</f>
        <v>50320</v>
      </c>
      <c r="X142" s="90">
        <f>IF(V142&gt;0,Ruimtestaat[[#This Row],[Prest. (m2 /jaar) werkdagen]]/Ruimtestaat[[#This Row],[Norm (m2/uur) werkdagen]],0)</f>
        <v>0</v>
      </c>
      <c r="Y142" s="91">
        <f>Ruimtestaat[[#This Row],[uren / jaar werkdagen]]*Tariefsopbouw!$E$35</f>
        <v>0</v>
      </c>
      <c r="Z142" s="88"/>
      <c r="AA142" s="92">
        <f>IF(Ruimtestaat[[#This Row],[Frequentie weekend]]&gt;0,VALUE(LEFT(Z142,1))*S142,0)</f>
        <v>0</v>
      </c>
      <c r="AB142" s="88">
        <f>IF($AA142&gt;0,VLOOKUP($K142,Ruimtegroepen[],3,FALSE)*VLOOKUP($M142,Vloersoorten[],3,FALSE)*VLOOKUP($Z142,Frequenties[],3,FALSE)*VLOOKUP(#REF!,Locaties[],3,FALSE),0)</f>
        <v>0</v>
      </c>
      <c r="AC142" s="90">
        <f>Ruimtestaat[[#This Row],[Uitvoeringen weekend]]*Ruimtestaat[[#This Row],[Oppervlak (netto)]]</f>
        <v>0</v>
      </c>
      <c r="AD142" s="93">
        <f>IF(AC142&gt;0,Ruimtestaat[[#This Row],[Prest. (m2 /jaar) weekend]]/Ruimtestaat[[#This Row],[Norm (m2/uur) weekend]],0)</f>
        <v>0</v>
      </c>
      <c r="AE142" s="94">
        <f>Ruimtestaat[[#This Row],[uren / jaar weekend]]*Tariefsopbouw!$D$40</f>
        <v>0</v>
      </c>
      <c r="AF142" s="66">
        <f>Ruimtestaat[[#This Row],[Prest. (m2 /jaar) weekend]]+Ruimtestaat[[#This Row],[Prest. (m2 /jaar) werkdagen]]</f>
        <v>50320</v>
      </c>
      <c r="AG142" s="66">
        <f>Ruimtestaat[[#This Row],[uren / jaar weekend]]+Ruimtestaat[[#This Row],[uren / jaar werkdagen]]</f>
        <v>0</v>
      </c>
      <c r="AH142" s="67">
        <f>Ruimtestaat[[#This Row],[kosten / jaar weekend]]+Ruimtestaat[[#This Row],[kosten / jaar werkdagen]]</f>
        <v>0</v>
      </c>
    </row>
    <row r="143" spans="1:34" ht="15" customHeight="1">
      <c r="A143" s="112">
        <v>2</v>
      </c>
      <c r="B143" s="23" t="str">
        <f>VLOOKUP(Ruimtestaat[[#This Row],[Code]],Locaties[#All],2,FALSE)</f>
        <v>RSG Slingerbos</v>
      </c>
      <c r="C143" s="23" t="str">
        <f>VLOOKUP(Ruimtestaat[[#This Row],[Code]],Locaties[#All],4,FALSE)</f>
        <v>Eisenhowerlaan 59</v>
      </c>
      <c r="D143" s="23" t="str">
        <f>VLOOKUP(Ruimtestaat[[#This Row],[Code]],Locaties[#All],5,FALSE)</f>
        <v>3844 AS</v>
      </c>
      <c r="E143" s="23" t="str">
        <f>VLOOKUP(Ruimtestaat[[#This Row],[Code]],Locaties[#All],6,FALSE)</f>
        <v>Harderwijk</v>
      </c>
      <c r="F143" s="23"/>
      <c r="G143" s="60" t="s">
        <v>839</v>
      </c>
      <c r="H143" s="23" t="s">
        <v>535</v>
      </c>
      <c r="I143" s="27" t="s">
        <v>688</v>
      </c>
      <c r="J143" s="3" t="s">
        <v>70</v>
      </c>
      <c r="K143" s="23">
        <v>18</v>
      </c>
      <c r="L143" s="60" t="str">
        <f>VLOOKUP(K143,Ruimtegroepen[],2,FALSE)</f>
        <v>Gymzaal</v>
      </c>
      <c r="M143" s="23" t="s">
        <v>114</v>
      </c>
      <c r="N143" s="23" t="s">
        <v>1088</v>
      </c>
      <c r="O143" s="86">
        <v>251.6</v>
      </c>
      <c r="P143" s="86"/>
      <c r="Q143" s="95" t="str">
        <f>LEFT(VLOOKUP(Ruimtestaat[[#This Row],[Ruimte code]],Ruimtegroepen[#All],4,1),2)</f>
        <v>Sp</v>
      </c>
      <c r="R143" s="95"/>
      <c r="S143" s="87">
        <v>40</v>
      </c>
      <c r="T143" s="87" t="s">
        <v>2</v>
      </c>
      <c r="U143" s="88">
        <f>IF(S143&gt;0,IF(RIGHT(Ruimtestaat[[#This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43" s="88">
        <f>IF(U143&gt;0,VLOOKUP($K143,Ruimtegroepen[],3,FALSE)*VLOOKUP($M143,Vloersoorten[],3,FALSE)*VLOOKUP($T143,Frequenties[],3,FALSE)*VLOOKUP($A143,Locaties[],3,FALSE),0)</f>
        <v>0</v>
      </c>
      <c r="W143" s="89">
        <f>Ruimtestaat[[#This Row],[Uitvoeringen werkdagen]]*Ruimtestaat[[#This Row],[Oppervlak (netto)]]</f>
        <v>50320</v>
      </c>
      <c r="X143" s="90">
        <f>IF(V143&gt;0,Ruimtestaat[[#This Row],[Prest. (m2 /jaar) werkdagen]]/Ruimtestaat[[#This Row],[Norm (m2/uur) werkdagen]],0)</f>
        <v>0</v>
      </c>
      <c r="Y143" s="91">
        <f>Ruimtestaat[[#This Row],[uren / jaar werkdagen]]*Tariefsopbouw!$E$35</f>
        <v>0</v>
      </c>
      <c r="Z143" s="88"/>
      <c r="AA143" s="92">
        <f>IF(Ruimtestaat[[#This Row],[Frequentie weekend]]&gt;0,VALUE(LEFT(Z143,1))*S143,0)</f>
        <v>0</v>
      </c>
      <c r="AB143" s="88">
        <f>IF($AA143&gt;0,VLOOKUP($K143,Ruimtegroepen[],3,FALSE)*VLOOKUP($M143,Vloersoorten[],3,FALSE)*VLOOKUP($Z143,Frequenties[],3,FALSE)*VLOOKUP(#REF!,Locaties[],3,FALSE),0)</f>
        <v>0</v>
      </c>
      <c r="AC143" s="90">
        <f>Ruimtestaat[[#This Row],[Uitvoeringen weekend]]*Ruimtestaat[[#This Row],[Oppervlak (netto)]]</f>
        <v>0</v>
      </c>
      <c r="AD143" s="93">
        <f>IF(AC143&gt;0,Ruimtestaat[[#This Row],[Prest. (m2 /jaar) weekend]]/Ruimtestaat[[#This Row],[Norm (m2/uur) weekend]],0)</f>
        <v>0</v>
      </c>
      <c r="AE143" s="94">
        <f>Ruimtestaat[[#This Row],[uren / jaar weekend]]*Tariefsopbouw!$D$40</f>
        <v>0</v>
      </c>
      <c r="AF143" s="66">
        <f>Ruimtestaat[[#This Row],[Prest. (m2 /jaar) weekend]]+Ruimtestaat[[#This Row],[Prest. (m2 /jaar) werkdagen]]</f>
        <v>50320</v>
      </c>
      <c r="AG143" s="66">
        <f>Ruimtestaat[[#This Row],[uren / jaar weekend]]+Ruimtestaat[[#This Row],[uren / jaar werkdagen]]</f>
        <v>0</v>
      </c>
      <c r="AH143" s="67">
        <f>Ruimtestaat[[#This Row],[kosten / jaar weekend]]+Ruimtestaat[[#This Row],[kosten / jaar werkdagen]]</f>
        <v>0</v>
      </c>
    </row>
    <row r="144" spans="1:34" ht="15" customHeight="1">
      <c r="A144" s="112">
        <v>2</v>
      </c>
      <c r="B144" s="23" t="str">
        <f>VLOOKUP(Ruimtestaat[[#This Row],[Code]],Locaties[#All],2,FALSE)</f>
        <v>RSG Slingerbos</v>
      </c>
      <c r="C144" s="23" t="str">
        <f>VLOOKUP(Ruimtestaat[[#This Row],[Code]],Locaties[#All],4,FALSE)</f>
        <v>Eisenhowerlaan 59</v>
      </c>
      <c r="D144" s="23" t="str">
        <f>VLOOKUP(Ruimtestaat[[#This Row],[Code]],Locaties[#All],5,FALSE)</f>
        <v>3844 AS</v>
      </c>
      <c r="E144" s="23" t="str">
        <f>VLOOKUP(Ruimtestaat[[#This Row],[Code]],Locaties[#All],6,FALSE)</f>
        <v>Harderwijk</v>
      </c>
      <c r="F144" s="23"/>
      <c r="G144" s="60" t="s">
        <v>840</v>
      </c>
      <c r="H144" s="23" t="s">
        <v>535</v>
      </c>
      <c r="I144" s="27" t="s">
        <v>689</v>
      </c>
      <c r="J144" s="3" t="s">
        <v>70</v>
      </c>
      <c r="K144" s="23">
        <v>18</v>
      </c>
      <c r="L144" s="60" t="str">
        <f>VLOOKUP(K144,Ruimtegroepen[],2,FALSE)</f>
        <v>Gymzaal</v>
      </c>
      <c r="M144" s="23" t="s">
        <v>114</v>
      </c>
      <c r="N144" s="23" t="s">
        <v>1088</v>
      </c>
      <c r="O144" s="86">
        <v>292.8</v>
      </c>
      <c r="P144" s="86"/>
      <c r="Q144" s="95" t="str">
        <f>LEFT(VLOOKUP(Ruimtestaat[[#This Row],[Ruimte code]],Ruimtegroepen[#All],4,1),2)</f>
        <v>Sp</v>
      </c>
      <c r="R144" s="95"/>
      <c r="S144" s="87">
        <v>40</v>
      </c>
      <c r="T144" s="87" t="s">
        <v>2</v>
      </c>
      <c r="U144" s="88">
        <f>IF(S144&gt;0,IF(RIGHT(Ruimtestaat[[#This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44" s="88">
        <f>IF(U144&gt;0,VLOOKUP($K144,Ruimtegroepen[],3,FALSE)*VLOOKUP($M144,Vloersoorten[],3,FALSE)*VLOOKUP($T144,Frequenties[],3,FALSE)*VLOOKUP($A144,Locaties[],3,FALSE),0)</f>
        <v>0</v>
      </c>
      <c r="W144" s="89">
        <f>Ruimtestaat[[#This Row],[Uitvoeringen werkdagen]]*Ruimtestaat[[#This Row],[Oppervlak (netto)]]</f>
        <v>58560</v>
      </c>
      <c r="X144" s="90">
        <f>IF(V144&gt;0,Ruimtestaat[[#This Row],[Prest. (m2 /jaar) werkdagen]]/Ruimtestaat[[#This Row],[Norm (m2/uur) werkdagen]],0)</f>
        <v>0</v>
      </c>
      <c r="Y144" s="91">
        <f>Ruimtestaat[[#This Row],[uren / jaar werkdagen]]*Tariefsopbouw!$E$35</f>
        <v>0</v>
      </c>
      <c r="Z144" s="88"/>
      <c r="AA144" s="92">
        <f>IF(Ruimtestaat[[#This Row],[Frequentie weekend]]&gt;0,VALUE(LEFT(Z144,1))*S144,0)</f>
        <v>0</v>
      </c>
      <c r="AB144" s="88">
        <f>IF($AA144&gt;0,VLOOKUP($K144,Ruimtegroepen[],3,FALSE)*VLOOKUP($M144,Vloersoorten[],3,FALSE)*VLOOKUP($Z144,Frequenties[],3,FALSE)*VLOOKUP(#REF!,Locaties[],3,FALSE),0)</f>
        <v>0</v>
      </c>
      <c r="AC144" s="90">
        <f>Ruimtestaat[[#This Row],[Uitvoeringen weekend]]*Ruimtestaat[[#This Row],[Oppervlak (netto)]]</f>
        <v>0</v>
      </c>
      <c r="AD144" s="93">
        <f>IF(AC144&gt;0,Ruimtestaat[[#This Row],[Prest. (m2 /jaar) weekend]]/Ruimtestaat[[#This Row],[Norm (m2/uur) weekend]],0)</f>
        <v>0</v>
      </c>
      <c r="AE144" s="94">
        <f>Ruimtestaat[[#This Row],[uren / jaar weekend]]*Tariefsopbouw!$D$40</f>
        <v>0</v>
      </c>
      <c r="AF144" s="66">
        <f>Ruimtestaat[[#This Row],[Prest. (m2 /jaar) weekend]]+Ruimtestaat[[#This Row],[Prest. (m2 /jaar) werkdagen]]</f>
        <v>58560</v>
      </c>
      <c r="AG144" s="66">
        <f>Ruimtestaat[[#This Row],[uren / jaar weekend]]+Ruimtestaat[[#This Row],[uren / jaar werkdagen]]</f>
        <v>0</v>
      </c>
      <c r="AH144" s="67">
        <f>Ruimtestaat[[#This Row],[kosten / jaar weekend]]+Ruimtestaat[[#This Row],[kosten / jaar werkdagen]]</f>
        <v>0</v>
      </c>
    </row>
    <row r="145" spans="1:34" ht="15" customHeight="1">
      <c r="A145" s="112">
        <v>2</v>
      </c>
      <c r="B145" s="23" t="str">
        <f>VLOOKUP(Ruimtestaat[[#This Row],[Code]],Locaties[#All],2,FALSE)</f>
        <v>RSG Slingerbos</v>
      </c>
      <c r="C145" s="23" t="str">
        <f>VLOOKUP(Ruimtestaat[[#This Row],[Code]],Locaties[#All],4,FALSE)</f>
        <v>Eisenhowerlaan 59</v>
      </c>
      <c r="D145" s="23" t="str">
        <f>VLOOKUP(Ruimtestaat[[#This Row],[Code]],Locaties[#All],5,FALSE)</f>
        <v>3844 AS</v>
      </c>
      <c r="E145" s="23" t="str">
        <f>VLOOKUP(Ruimtestaat[[#This Row],[Code]],Locaties[#All],6,FALSE)</f>
        <v>Harderwijk</v>
      </c>
      <c r="F145" s="23"/>
      <c r="G145" s="60" t="s">
        <v>841</v>
      </c>
      <c r="H145" s="23" t="s">
        <v>535</v>
      </c>
      <c r="I145" s="27" t="s">
        <v>690</v>
      </c>
      <c r="J145" s="3" t="s">
        <v>70</v>
      </c>
      <c r="K145" s="23">
        <v>18</v>
      </c>
      <c r="L145" s="60" t="str">
        <f>VLOOKUP(K145,Ruimtegroepen[],2,FALSE)</f>
        <v>Gymzaal</v>
      </c>
      <c r="M145" s="23" t="s">
        <v>114</v>
      </c>
      <c r="N145" s="23" t="s">
        <v>1088</v>
      </c>
      <c r="O145" s="86">
        <v>292.8</v>
      </c>
      <c r="P145" s="86"/>
      <c r="Q145" s="95" t="str">
        <f>LEFT(VLOOKUP(Ruimtestaat[[#This Row],[Ruimte code]],Ruimtegroepen[#All],4,1),2)</f>
        <v>Sp</v>
      </c>
      <c r="R145" s="95"/>
      <c r="S145" s="87">
        <v>40</v>
      </c>
      <c r="T145" s="87" t="s">
        <v>2</v>
      </c>
      <c r="U145" s="88">
        <f>IF(S145&gt;0,IF(RIGHT(Ruimtestaat[[#This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45" s="88">
        <f>IF(U145&gt;0,VLOOKUP($K145,Ruimtegroepen[],3,FALSE)*VLOOKUP($M145,Vloersoorten[],3,FALSE)*VLOOKUP($T145,Frequenties[],3,FALSE)*VLOOKUP($A145,Locaties[],3,FALSE),0)</f>
        <v>0</v>
      </c>
      <c r="W145" s="89">
        <f>Ruimtestaat[[#This Row],[Uitvoeringen werkdagen]]*Ruimtestaat[[#This Row],[Oppervlak (netto)]]</f>
        <v>58560</v>
      </c>
      <c r="X145" s="90">
        <f>IF(V145&gt;0,Ruimtestaat[[#This Row],[Prest. (m2 /jaar) werkdagen]]/Ruimtestaat[[#This Row],[Norm (m2/uur) werkdagen]],0)</f>
        <v>0</v>
      </c>
      <c r="Y145" s="91">
        <f>Ruimtestaat[[#This Row],[uren / jaar werkdagen]]*Tariefsopbouw!$E$35</f>
        <v>0</v>
      </c>
      <c r="Z145" s="88"/>
      <c r="AA145" s="92">
        <f>IF(Ruimtestaat[[#This Row],[Frequentie weekend]]&gt;0,VALUE(LEFT(Z145,1))*S145,0)</f>
        <v>0</v>
      </c>
      <c r="AB145" s="88">
        <f>IF($AA145&gt;0,VLOOKUP($K145,Ruimtegroepen[],3,FALSE)*VLOOKUP($M145,Vloersoorten[],3,FALSE)*VLOOKUP($Z145,Frequenties[],3,FALSE)*VLOOKUP(#REF!,Locaties[],3,FALSE),0)</f>
        <v>0</v>
      </c>
      <c r="AC145" s="90">
        <f>Ruimtestaat[[#This Row],[Uitvoeringen weekend]]*Ruimtestaat[[#This Row],[Oppervlak (netto)]]</f>
        <v>0</v>
      </c>
      <c r="AD145" s="93">
        <f>IF(AC145&gt;0,Ruimtestaat[[#This Row],[Prest. (m2 /jaar) weekend]]/Ruimtestaat[[#This Row],[Norm (m2/uur) weekend]],0)</f>
        <v>0</v>
      </c>
      <c r="AE145" s="94">
        <f>Ruimtestaat[[#This Row],[uren / jaar weekend]]*Tariefsopbouw!$D$40</f>
        <v>0</v>
      </c>
      <c r="AF145" s="66">
        <f>Ruimtestaat[[#This Row],[Prest. (m2 /jaar) weekend]]+Ruimtestaat[[#This Row],[Prest. (m2 /jaar) werkdagen]]</f>
        <v>58560</v>
      </c>
      <c r="AG145" s="66">
        <f>Ruimtestaat[[#This Row],[uren / jaar weekend]]+Ruimtestaat[[#This Row],[uren / jaar werkdagen]]</f>
        <v>0</v>
      </c>
      <c r="AH145" s="67">
        <f>Ruimtestaat[[#This Row],[kosten / jaar weekend]]+Ruimtestaat[[#This Row],[kosten / jaar werkdagen]]</f>
        <v>0</v>
      </c>
    </row>
    <row r="146" spans="1:34" ht="15" customHeight="1">
      <c r="A146" s="112">
        <v>2</v>
      </c>
      <c r="B146" s="23" t="str">
        <f>VLOOKUP(Ruimtestaat[[#This Row],[Code]],Locaties[#All],2,FALSE)</f>
        <v>RSG Slingerbos</v>
      </c>
      <c r="C146" s="23" t="str">
        <f>VLOOKUP(Ruimtestaat[[#This Row],[Code]],Locaties[#All],4,FALSE)</f>
        <v>Eisenhowerlaan 59</v>
      </c>
      <c r="D146" s="23" t="str">
        <f>VLOOKUP(Ruimtestaat[[#This Row],[Code]],Locaties[#All],5,FALSE)</f>
        <v>3844 AS</v>
      </c>
      <c r="E146" s="23" t="str">
        <f>VLOOKUP(Ruimtestaat[[#This Row],[Code]],Locaties[#All],6,FALSE)</f>
        <v>Harderwijk</v>
      </c>
      <c r="F146" s="23"/>
      <c r="G146" s="60" t="s">
        <v>842</v>
      </c>
      <c r="H146" s="23" t="s">
        <v>535</v>
      </c>
      <c r="I146" s="27" t="s">
        <v>691</v>
      </c>
      <c r="J146" s="3" t="s">
        <v>71</v>
      </c>
      <c r="K146" s="23">
        <v>17</v>
      </c>
      <c r="L146" s="60" t="str">
        <f>VLOOKUP(K146,Ruimtegroepen[],2,FALSE)</f>
        <v>Toestelberging</v>
      </c>
      <c r="M146" s="23" t="s">
        <v>114</v>
      </c>
      <c r="N146" s="23" t="s">
        <v>1089</v>
      </c>
      <c r="O146" s="86">
        <v>31.9</v>
      </c>
      <c r="P146" s="86"/>
      <c r="Q146" s="95" t="str">
        <f>LEFT(VLOOKUP(Ruimtestaat[[#This Row],[Ruimte code]],Ruimtegroepen[#All],4,1),2)</f>
        <v xml:space="preserve">V </v>
      </c>
      <c r="R146" s="95"/>
      <c r="S146" s="87">
        <v>40</v>
      </c>
      <c r="T146" s="87" t="s">
        <v>16</v>
      </c>
      <c r="U146" s="88">
        <f>IF(S146&gt;0,IF(RIGHT(Ruimtestaat[[#This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V146" s="88">
        <f>IF(U146&gt;0,VLOOKUP($K146,Ruimtegroepen[],3,FALSE)*VLOOKUP($M146,Vloersoorten[],3,FALSE)*VLOOKUP($T146,Frequenties[],3,FALSE)*VLOOKUP($A146,Locaties[],3,FALSE),0)</f>
        <v>0</v>
      </c>
      <c r="W146" s="89">
        <f>Ruimtestaat[[#This Row],[Uitvoeringen werkdagen]]*Ruimtestaat[[#This Row],[Oppervlak (netto)]]</f>
        <v>382.79999999999995</v>
      </c>
      <c r="X146" s="90">
        <f>IF(V146&gt;0,Ruimtestaat[[#This Row],[Prest. (m2 /jaar) werkdagen]]/Ruimtestaat[[#This Row],[Norm (m2/uur) werkdagen]],0)</f>
        <v>0</v>
      </c>
      <c r="Y146" s="91">
        <f>Ruimtestaat[[#This Row],[uren / jaar werkdagen]]*Tariefsopbouw!$E$35</f>
        <v>0</v>
      </c>
      <c r="Z146" s="88"/>
      <c r="AA146" s="92">
        <f>IF(Ruimtestaat[[#This Row],[Frequentie weekend]]&gt;0,VALUE(LEFT(Z146,1))*S146,0)</f>
        <v>0</v>
      </c>
      <c r="AB146" s="88">
        <f>IF($AA146&gt;0,VLOOKUP($K146,Ruimtegroepen[],3,FALSE)*VLOOKUP($M146,Vloersoorten[],3,FALSE)*VLOOKUP($Z146,Frequenties[],3,FALSE)*VLOOKUP(#REF!,Locaties[],3,FALSE),0)</f>
        <v>0</v>
      </c>
      <c r="AC146" s="90">
        <f>Ruimtestaat[[#This Row],[Uitvoeringen weekend]]*Ruimtestaat[[#This Row],[Oppervlak (netto)]]</f>
        <v>0</v>
      </c>
      <c r="AD146" s="93">
        <f>IF(AC146&gt;0,Ruimtestaat[[#This Row],[Prest. (m2 /jaar) weekend]]/Ruimtestaat[[#This Row],[Norm (m2/uur) weekend]],0)</f>
        <v>0</v>
      </c>
      <c r="AE146" s="94">
        <f>Ruimtestaat[[#This Row],[uren / jaar weekend]]*Tariefsopbouw!$D$40</f>
        <v>0</v>
      </c>
      <c r="AF146" s="66">
        <f>Ruimtestaat[[#This Row],[Prest. (m2 /jaar) weekend]]+Ruimtestaat[[#This Row],[Prest. (m2 /jaar) werkdagen]]</f>
        <v>382.79999999999995</v>
      </c>
      <c r="AG146" s="66">
        <f>Ruimtestaat[[#This Row],[uren / jaar weekend]]+Ruimtestaat[[#This Row],[uren / jaar werkdagen]]</f>
        <v>0</v>
      </c>
      <c r="AH146" s="67">
        <f>Ruimtestaat[[#This Row],[kosten / jaar weekend]]+Ruimtestaat[[#This Row],[kosten / jaar werkdagen]]</f>
        <v>0</v>
      </c>
    </row>
    <row r="147" spans="1:34" ht="15" customHeight="1">
      <c r="A147" s="112">
        <v>2</v>
      </c>
      <c r="B147" s="23" t="str">
        <f>VLOOKUP(Ruimtestaat[[#This Row],[Code]],Locaties[#All],2,FALSE)</f>
        <v>RSG Slingerbos</v>
      </c>
      <c r="C147" s="23" t="str">
        <f>VLOOKUP(Ruimtestaat[[#This Row],[Code]],Locaties[#All],4,FALSE)</f>
        <v>Eisenhowerlaan 59</v>
      </c>
      <c r="D147" s="23" t="str">
        <f>VLOOKUP(Ruimtestaat[[#This Row],[Code]],Locaties[#All],5,FALSE)</f>
        <v>3844 AS</v>
      </c>
      <c r="E147" s="23" t="str">
        <f>VLOOKUP(Ruimtestaat[[#This Row],[Code]],Locaties[#All],6,FALSE)</f>
        <v>Harderwijk</v>
      </c>
      <c r="F147" s="23"/>
      <c r="G147" s="60" t="s">
        <v>843</v>
      </c>
      <c r="H147" s="23" t="s">
        <v>535</v>
      </c>
      <c r="I147" s="27" t="s">
        <v>692</v>
      </c>
      <c r="J147" s="3" t="s">
        <v>1017</v>
      </c>
      <c r="K147" s="23">
        <v>23</v>
      </c>
      <c r="L147" s="60" t="str">
        <f>VLOOKUP(K147,Ruimtegroepen[],2,FALSE)</f>
        <v>Niet in onderhoud</v>
      </c>
      <c r="M147" s="23" t="s">
        <v>112</v>
      </c>
      <c r="N147" s="23" t="s">
        <v>1090</v>
      </c>
      <c r="O147" s="86"/>
      <c r="P147" s="86">
        <v>21.2</v>
      </c>
      <c r="Q147" s="95" t="str">
        <f>LEFT(VLOOKUP(Ruimtestaat[[#This Row],[Ruimte code]],Ruimtegroepen[#All],4,1),2)</f>
        <v/>
      </c>
      <c r="R147" s="95"/>
      <c r="S147" s="87"/>
      <c r="T147" s="87"/>
      <c r="U147" s="88">
        <f>IF(S147&gt;0,IF(RIGHT(Ruimtestaat[[#This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147" s="88">
        <f>IF(U147&gt;0,VLOOKUP($K147,Ruimtegroepen[],3,FALSE)*VLOOKUP($M147,Vloersoorten[],3,FALSE)*VLOOKUP($T147,Frequenties[],3,FALSE)*VLOOKUP($A147,Locaties[],3,FALSE),0)</f>
        <v>0</v>
      </c>
      <c r="W147" s="89">
        <f>Ruimtestaat[[#This Row],[Uitvoeringen werkdagen]]*Ruimtestaat[[#This Row],[Oppervlak (netto)]]</f>
        <v>0</v>
      </c>
      <c r="X147" s="90">
        <f>IF(V147&gt;0,Ruimtestaat[[#This Row],[Prest. (m2 /jaar) werkdagen]]/Ruimtestaat[[#This Row],[Norm (m2/uur) werkdagen]],0)</f>
        <v>0</v>
      </c>
      <c r="Y147" s="91">
        <f>Ruimtestaat[[#This Row],[uren / jaar werkdagen]]*Tariefsopbouw!$E$35</f>
        <v>0</v>
      </c>
      <c r="Z147" s="88"/>
      <c r="AA147" s="92">
        <f>IF(Ruimtestaat[[#This Row],[Frequentie weekend]]&gt;0,VALUE(LEFT(Z147,1))*S147,0)</f>
        <v>0</v>
      </c>
      <c r="AB147" s="88">
        <f>IF($AA147&gt;0,VLOOKUP($K147,Ruimtegroepen[],3,FALSE)*VLOOKUP($M147,Vloersoorten[],3,FALSE)*VLOOKUP($Z147,Frequenties[],3,FALSE)*VLOOKUP(#REF!,Locaties[],3,FALSE),0)</f>
        <v>0</v>
      </c>
      <c r="AC147" s="90">
        <f>Ruimtestaat[[#This Row],[Uitvoeringen weekend]]*Ruimtestaat[[#This Row],[Oppervlak (netto)]]</f>
        <v>0</v>
      </c>
      <c r="AD147" s="93">
        <f>IF(AC147&gt;0,Ruimtestaat[[#This Row],[Prest. (m2 /jaar) weekend]]/Ruimtestaat[[#This Row],[Norm (m2/uur) weekend]],0)</f>
        <v>0</v>
      </c>
      <c r="AE147" s="94">
        <f>Ruimtestaat[[#This Row],[uren / jaar weekend]]*Tariefsopbouw!$D$40</f>
        <v>0</v>
      </c>
      <c r="AF147" s="66">
        <f>Ruimtestaat[[#This Row],[Prest. (m2 /jaar) weekend]]+Ruimtestaat[[#This Row],[Prest. (m2 /jaar) werkdagen]]</f>
        <v>0</v>
      </c>
      <c r="AG147" s="66">
        <f>Ruimtestaat[[#This Row],[uren / jaar weekend]]+Ruimtestaat[[#This Row],[uren / jaar werkdagen]]</f>
        <v>0</v>
      </c>
      <c r="AH147" s="67">
        <f>Ruimtestaat[[#This Row],[kosten / jaar weekend]]+Ruimtestaat[[#This Row],[kosten / jaar werkdagen]]</f>
        <v>0</v>
      </c>
    </row>
    <row r="148" spans="1:34" ht="15" customHeight="1">
      <c r="A148" s="112">
        <v>2</v>
      </c>
      <c r="B148" s="23" t="str">
        <f>VLOOKUP(Ruimtestaat[[#This Row],[Code]],Locaties[#All],2,FALSE)</f>
        <v>RSG Slingerbos</v>
      </c>
      <c r="C148" s="23" t="str">
        <f>VLOOKUP(Ruimtestaat[[#This Row],[Code]],Locaties[#All],4,FALSE)</f>
        <v>Eisenhowerlaan 59</v>
      </c>
      <c r="D148" s="23" t="str">
        <f>VLOOKUP(Ruimtestaat[[#This Row],[Code]],Locaties[#All],5,FALSE)</f>
        <v>3844 AS</v>
      </c>
      <c r="E148" s="23" t="str">
        <f>VLOOKUP(Ruimtestaat[[#This Row],[Code]],Locaties[#All],6,FALSE)</f>
        <v>Harderwijk</v>
      </c>
      <c r="F148" s="23"/>
      <c r="G148" s="60" t="s">
        <v>844</v>
      </c>
      <c r="H148" s="23" t="s">
        <v>535</v>
      </c>
      <c r="I148" s="27" t="s">
        <v>693</v>
      </c>
      <c r="J148" s="3" t="s">
        <v>1018</v>
      </c>
      <c r="K148" s="23">
        <v>19</v>
      </c>
      <c r="L148" s="60" t="str">
        <f>VLOOKUP(K148,Ruimtegroepen[],2,FALSE)</f>
        <v>Kleedruimten</v>
      </c>
      <c r="M148" s="23" t="s">
        <v>113</v>
      </c>
      <c r="N148" s="23" t="s">
        <v>1091</v>
      </c>
      <c r="O148" s="86">
        <v>40.9</v>
      </c>
      <c r="P148" s="86"/>
      <c r="Q148" s="95" t="str">
        <f>LEFT(VLOOKUP(Ruimtestaat[[#This Row],[Ruimte code]],Ruimtegroepen[#All],4,1),2)</f>
        <v xml:space="preserve">V </v>
      </c>
      <c r="R148" s="95"/>
      <c r="S148" s="87">
        <v>40</v>
      </c>
      <c r="T148" s="87" t="s">
        <v>2</v>
      </c>
      <c r="U148" s="88">
        <f>IF(S148&gt;0,IF(RIGHT(Ruimtestaat[[#This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48" s="88">
        <f>IF(U148&gt;0,VLOOKUP($K148,Ruimtegroepen[],3,FALSE)*VLOOKUP($M148,Vloersoorten[],3,FALSE)*VLOOKUP($T148,Frequenties[],3,FALSE)*VLOOKUP($A148,Locaties[],3,FALSE),0)</f>
        <v>0</v>
      </c>
      <c r="W148" s="89">
        <f>Ruimtestaat[[#This Row],[Uitvoeringen werkdagen]]*Ruimtestaat[[#This Row],[Oppervlak (netto)]]</f>
        <v>8180</v>
      </c>
      <c r="X148" s="90">
        <f>IF(V148&gt;0,Ruimtestaat[[#This Row],[Prest. (m2 /jaar) werkdagen]]/Ruimtestaat[[#This Row],[Norm (m2/uur) werkdagen]],0)</f>
        <v>0</v>
      </c>
      <c r="Y148" s="91">
        <f>Ruimtestaat[[#This Row],[uren / jaar werkdagen]]*Tariefsopbouw!$E$35</f>
        <v>0</v>
      </c>
      <c r="Z148" s="88"/>
      <c r="AA148" s="92">
        <f>IF(Ruimtestaat[[#This Row],[Frequentie weekend]]&gt;0,VALUE(LEFT(Z148,1))*S148,0)</f>
        <v>0</v>
      </c>
      <c r="AB148" s="88">
        <f>IF($AA148&gt;0,VLOOKUP($K148,Ruimtegroepen[],3,FALSE)*VLOOKUP($M148,Vloersoorten[],3,FALSE)*VLOOKUP($Z148,Frequenties[],3,FALSE)*VLOOKUP(#REF!,Locaties[],3,FALSE),0)</f>
        <v>0</v>
      </c>
      <c r="AC148" s="90">
        <f>Ruimtestaat[[#This Row],[Uitvoeringen weekend]]*Ruimtestaat[[#This Row],[Oppervlak (netto)]]</f>
        <v>0</v>
      </c>
      <c r="AD148" s="93">
        <f>IF(AC148&gt;0,Ruimtestaat[[#This Row],[Prest. (m2 /jaar) weekend]]/Ruimtestaat[[#This Row],[Norm (m2/uur) weekend]],0)</f>
        <v>0</v>
      </c>
      <c r="AE148" s="94">
        <f>Ruimtestaat[[#This Row],[uren / jaar weekend]]*Tariefsopbouw!$D$40</f>
        <v>0</v>
      </c>
      <c r="AF148" s="66">
        <f>Ruimtestaat[[#This Row],[Prest. (m2 /jaar) weekend]]+Ruimtestaat[[#This Row],[Prest. (m2 /jaar) werkdagen]]</f>
        <v>8180</v>
      </c>
      <c r="AG148" s="66">
        <f>Ruimtestaat[[#This Row],[uren / jaar weekend]]+Ruimtestaat[[#This Row],[uren / jaar werkdagen]]</f>
        <v>0</v>
      </c>
      <c r="AH148" s="67">
        <f>Ruimtestaat[[#This Row],[kosten / jaar weekend]]+Ruimtestaat[[#This Row],[kosten / jaar werkdagen]]</f>
        <v>0</v>
      </c>
    </row>
    <row r="149" spans="1:34" ht="15" customHeight="1">
      <c r="A149" s="112">
        <v>2</v>
      </c>
      <c r="B149" s="23" t="str">
        <f>VLOOKUP(Ruimtestaat[[#This Row],[Code]],Locaties[#All],2,FALSE)</f>
        <v>RSG Slingerbos</v>
      </c>
      <c r="C149" s="23" t="str">
        <f>VLOOKUP(Ruimtestaat[[#This Row],[Code]],Locaties[#All],4,FALSE)</f>
        <v>Eisenhowerlaan 59</v>
      </c>
      <c r="D149" s="23" t="str">
        <f>VLOOKUP(Ruimtestaat[[#This Row],[Code]],Locaties[#All],5,FALSE)</f>
        <v>3844 AS</v>
      </c>
      <c r="E149" s="23" t="str">
        <f>VLOOKUP(Ruimtestaat[[#This Row],[Code]],Locaties[#All],6,FALSE)</f>
        <v>Harderwijk</v>
      </c>
      <c r="F149" s="23"/>
      <c r="G149" s="60" t="s">
        <v>845</v>
      </c>
      <c r="H149" s="23" t="s">
        <v>535</v>
      </c>
      <c r="I149" s="27" t="s">
        <v>694</v>
      </c>
      <c r="J149" s="3" t="s">
        <v>1019</v>
      </c>
      <c r="K149" s="23">
        <v>5</v>
      </c>
      <c r="L149" s="60" t="str">
        <f>VLOOKUP(K149,Ruimtegroepen[],2,FALSE)</f>
        <v>Sanitair</v>
      </c>
      <c r="M149" s="23" t="s">
        <v>113</v>
      </c>
      <c r="N149" s="23" t="s">
        <v>1091</v>
      </c>
      <c r="O149" s="86">
        <v>7.7</v>
      </c>
      <c r="P149" s="86"/>
      <c r="Q149" s="95" t="str">
        <f>LEFT(VLOOKUP(Ruimtestaat[[#This Row],[Ruimte code]],Ruimtegroepen[#All],4,1),2)</f>
        <v xml:space="preserve">S </v>
      </c>
      <c r="R149" s="95"/>
      <c r="S149" s="87">
        <v>40</v>
      </c>
      <c r="T149" s="87" t="s">
        <v>2</v>
      </c>
      <c r="U149" s="88">
        <f>IF(S149&gt;0,IF(RIGHT(Ruimtestaat[[#This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49" s="88">
        <f>IF(U149&gt;0,VLOOKUP($K149,Ruimtegroepen[],3,FALSE)*VLOOKUP($M149,Vloersoorten[],3,FALSE)*VLOOKUP($T149,Frequenties[],3,FALSE)*VLOOKUP($A149,Locaties[],3,FALSE),0)</f>
        <v>0</v>
      </c>
      <c r="W149" s="89">
        <f>Ruimtestaat[[#This Row],[Uitvoeringen werkdagen]]*Ruimtestaat[[#This Row],[Oppervlak (netto)]]</f>
        <v>1540</v>
      </c>
      <c r="X149" s="90">
        <f>IF(V149&gt;0,Ruimtestaat[[#This Row],[Prest. (m2 /jaar) werkdagen]]/Ruimtestaat[[#This Row],[Norm (m2/uur) werkdagen]],0)</f>
        <v>0</v>
      </c>
      <c r="Y149" s="91">
        <f>Ruimtestaat[[#This Row],[uren / jaar werkdagen]]*Tariefsopbouw!$E$35</f>
        <v>0</v>
      </c>
      <c r="Z149" s="88"/>
      <c r="AA149" s="92">
        <f>IF(Ruimtestaat[[#This Row],[Frequentie weekend]]&gt;0,VALUE(LEFT(Z149,1))*S149,0)</f>
        <v>0</v>
      </c>
      <c r="AB149" s="88">
        <f>IF($AA149&gt;0,VLOOKUP($K149,Ruimtegroepen[],3,FALSE)*VLOOKUP($M149,Vloersoorten[],3,FALSE)*VLOOKUP($Z149,Frequenties[],3,FALSE)*VLOOKUP(#REF!,Locaties[],3,FALSE),0)</f>
        <v>0</v>
      </c>
      <c r="AC149" s="90">
        <f>Ruimtestaat[[#This Row],[Uitvoeringen weekend]]*Ruimtestaat[[#This Row],[Oppervlak (netto)]]</f>
        <v>0</v>
      </c>
      <c r="AD149" s="93">
        <f>IF(AC149&gt;0,Ruimtestaat[[#This Row],[Prest. (m2 /jaar) weekend]]/Ruimtestaat[[#This Row],[Norm (m2/uur) weekend]],0)</f>
        <v>0</v>
      </c>
      <c r="AE149" s="94">
        <f>Ruimtestaat[[#This Row],[uren / jaar weekend]]*Tariefsopbouw!$D$40</f>
        <v>0</v>
      </c>
      <c r="AF149" s="66">
        <f>Ruimtestaat[[#This Row],[Prest. (m2 /jaar) weekend]]+Ruimtestaat[[#This Row],[Prest. (m2 /jaar) werkdagen]]</f>
        <v>1540</v>
      </c>
      <c r="AG149" s="66">
        <f>Ruimtestaat[[#This Row],[uren / jaar weekend]]+Ruimtestaat[[#This Row],[uren / jaar werkdagen]]</f>
        <v>0</v>
      </c>
      <c r="AH149" s="67">
        <f>Ruimtestaat[[#This Row],[kosten / jaar weekend]]+Ruimtestaat[[#This Row],[kosten / jaar werkdagen]]</f>
        <v>0</v>
      </c>
    </row>
    <row r="150" spans="1:34" ht="15" customHeight="1">
      <c r="A150" s="112">
        <v>2</v>
      </c>
      <c r="B150" s="23" t="str">
        <f>VLOOKUP(Ruimtestaat[[#This Row],[Code]],Locaties[#All],2,FALSE)</f>
        <v>RSG Slingerbos</v>
      </c>
      <c r="C150" s="23" t="str">
        <f>VLOOKUP(Ruimtestaat[[#This Row],[Code]],Locaties[#All],4,FALSE)</f>
        <v>Eisenhowerlaan 59</v>
      </c>
      <c r="D150" s="23" t="str">
        <f>VLOOKUP(Ruimtestaat[[#This Row],[Code]],Locaties[#All],5,FALSE)</f>
        <v>3844 AS</v>
      </c>
      <c r="E150" s="23" t="str">
        <f>VLOOKUP(Ruimtestaat[[#This Row],[Code]],Locaties[#All],6,FALSE)</f>
        <v>Harderwijk</v>
      </c>
      <c r="F150" s="23"/>
      <c r="G150" s="60" t="s">
        <v>846</v>
      </c>
      <c r="H150" s="23" t="s">
        <v>535</v>
      </c>
      <c r="I150" s="27" t="s">
        <v>695</v>
      </c>
      <c r="J150" s="3" t="s">
        <v>1020</v>
      </c>
      <c r="K150" s="23">
        <v>5</v>
      </c>
      <c r="L150" s="60" t="str">
        <f>VLOOKUP(K150,Ruimtegroepen[],2,FALSE)</f>
        <v>Sanitair</v>
      </c>
      <c r="M150" s="23" t="s">
        <v>113</v>
      </c>
      <c r="N150" s="23" t="s">
        <v>1091</v>
      </c>
      <c r="O150" s="86">
        <v>1.6</v>
      </c>
      <c r="P150" s="86"/>
      <c r="Q150" s="95" t="str">
        <f>LEFT(VLOOKUP(Ruimtestaat[[#This Row],[Ruimte code]],Ruimtegroepen[#All],4,1),2)</f>
        <v xml:space="preserve">S </v>
      </c>
      <c r="R150" s="95"/>
      <c r="S150" s="87">
        <v>40</v>
      </c>
      <c r="T150" s="87" t="s">
        <v>2</v>
      </c>
      <c r="U150" s="88">
        <f>IF(S150&gt;0,IF(RIGHT(Ruimtestaat[[#This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50" s="88">
        <f>IF(U150&gt;0,VLOOKUP($K150,Ruimtegroepen[],3,FALSE)*VLOOKUP($M150,Vloersoorten[],3,FALSE)*VLOOKUP($T150,Frequenties[],3,FALSE)*VLOOKUP($A150,Locaties[],3,FALSE),0)</f>
        <v>0</v>
      </c>
      <c r="W150" s="89">
        <f>Ruimtestaat[[#This Row],[Uitvoeringen werkdagen]]*Ruimtestaat[[#This Row],[Oppervlak (netto)]]</f>
        <v>320</v>
      </c>
      <c r="X150" s="90">
        <f>IF(V150&gt;0,Ruimtestaat[[#This Row],[Prest. (m2 /jaar) werkdagen]]/Ruimtestaat[[#This Row],[Norm (m2/uur) werkdagen]],0)</f>
        <v>0</v>
      </c>
      <c r="Y150" s="91">
        <f>Ruimtestaat[[#This Row],[uren / jaar werkdagen]]*Tariefsopbouw!$E$35</f>
        <v>0</v>
      </c>
      <c r="Z150" s="88"/>
      <c r="AA150" s="92">
        <f>IF(Ruimtestaat[[#This Row],[Frequentie weekend]]&gt;0,VALUE(LEFT(Z150,1))*S150,0)</f>
        <v>0</v>
      </c>
      <c r="AB150" s="88">
        <f>IF($AA150&gt;0,VLOOKUP($K150,Ruimtegroepen[],3,FALSE)*VLOOKUP($M150,Vloersoorten[],3,FALSE)*VLOOKUP($Z150,Frequenties[],3,FALSE)*VLOOKUP(#REF!,Locaties[],3,FALSE),0)</f>
        <v>0</v>
      </c>
      <c r="AC150" s="90">
        <f>Ruimtestaat[[#This Row],[Uitvoeringen weekend]]*Ruimtestaat[[#This Row],[Oppervlak (netto)]]</f>
        <v>0</v>
      </c>
      <c r="AD150" s="93">
        <f>IF(AC150&gt;0,Ruimtestaat[[#This Row],[Prest. (m2 /jaar) weekend]]/Ruimtestaat[[#This Row],[Norm (m2/uur) weekend]],0)</f>
        <v>0</v>
      </c>
      <c r="AE150" s="94">
        <f>Ruimtestaat[[#This Row],[uren / jaar weekend]]*Tariefsopbouw!$D$40</f>
        <v>0</v>
      </c>
      <c r="AF150" s="66">
        <f>Ruimtestaat[[#This Row],[Prest. (m2 /jaar) weekend]]+Ruimtestaat[[#This Row],[Prest. (m2 /jaar) werkdagen]]</f>
        <v>320</v>
      </c>
      <c r="AG150" s="66">
        <f>Ruimtestaat[[#This Row],[uren / jaar weekend]]+Ruimtestaat[[#This Row],[uren / jaar werkdagen]]</f>
        <v>0</v>
      </c>
      <c r="AH150" s="67">
        <f>Ruimtestaat[[#This Row],[kosten / jaar weekend]]+Ruimtestaat[[#This Row],[kosten / jaar werkdagen]]</f>
        <v>0</v>
      </c>
    </row>
    <row r="151" spans="1:34" ht="15" customHeight="1">
      <c r="A151" s="112">
        <v>2</v>
      </c>
      <c r="B151" s="23" t="str">
        <f>VLOOKUP(Ruimtestaat[[#This Row],[Code]],Locaties[#All],2,FALSE)</f>
        <v>RSG Slingerbos</v>
      </c>
      <c r="C151" s="23" t="str">
        <f>VLOOKUP(Ruimtestaat[[#This Row],[Code]],Locaties[#All],4,FALSE)</f>
        <v>Eisenhowerlaan 59</v>
      </c>
      <c r="D151" s="23" t="str">
        <f>VLOOKUP(Ruimtestaat[[#This Row],[Code]],Locaties[#All],5,FALSE)</f>
        <v>3844 AS</v>
      </c>
      <c r="E151" s="23" t="str">
        <f>VLOOKUP(Ruimtestaat[[#This Row],[Code]],Locaties[#All],6,FALSE)</f>
        <v>Harderwijk</v>
      </c>
      <c r="F151" s="23"/>
      <c r="G151" s="60" t="s">
        <v>847</v>
      </c>
      <c r="H151" s="23" t="s">
        <v>535</v>
      </c>
      <c r="I151" s="27" t="s">
        <v>696</v>
      </c>
      <c r="J151" s="3" t="s">
        <v>1019</v>
      </c>
      <c r="K151" s="23">
        <v>5</v>
      </c>
      <c r="L151" s="60" t="str">
        <f>VLOOKUP(K151,Ruimtegroepen[],2,FALSE)</f>
        <v>Sanitair</v>
      </c>
      <c r="M151" s="23" t="s">
        <v>113</v>
      </c>
      <c r="N151" s="23" t="s">
        <v>1091</v>
      </c>
      <c r="O151" s="86">
        <v>7.6</v>
      </c>
      <c r="P151" s="86"/>
      <c r="Q151" s="95" t="str">
        <f>LEFT(VLOOKUP(Ruimtestaat[[#This Row],[Ruimte code]],Ruimtegroepen[#All],4,1),2)</f>
        <v xml:space="preserve">S </v>
      </c>
      <c r="R151" s="95"/>
      <c r="S151" s="87">
        <v>40</v>
      </c>
      <c r="T151" s="87" t="s">
        <v>2</v>
      </c>
      <c r="U151" s="88">
        <f>IF(S151&gt;0,IF(RIGHT(Ruimtestaat[[#This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51" s="88">
        <f>IF(U151&gt;0,VLOOKUP($K151,Ruimtegroepen[],3,FALSE)*VLOOKUP($M151,Vloersoorten[],3,FALSE)*VLOOKUP($T151,Frequenties[],3,FALSE)*VLOOKUP($A151,Locaties[],3,FALSE),0)</f>
        <v>0</v>
      </c>
      <c r="W151" s="89">
        <f>Ruimtestaat[[#This Row],[Uitvoeringen werkdagen]]*Ruimtestaat[[#This Row],[Oppervlak (netto)]]</f>
        <v>1520</v>
      </c>
      <c r="X151" s="90">
        <f>IF(V151&gt;0,Ruimtestaat[[#This Row],[Prest. (m2 /jaar) werkdagen]]/Ruimtestaat[[#This Row],[Norm (m2/uur) werkdagen]],0)</f>
        <v>0</v>
      </c>
      <c r="Y151" s="91">
        <f>Ruimtestaat[[#This Row],[uren / jaar werkdagen]]*Tariefsopbouw!$E$35</f>
        <v>0</v>
      </c>
      <c r="Z151" s="88"/>
      <c r="AA151" s="92">
        <f>IF(Ruimtestaat[[#This Row],[Frequentie weekend]]&gt;0,VALUE(LEFT(Z151,1))*S151,0)</f>
        <v>0</v>
      </c>
      <c r="AB151" s="88">
        <f>IF($AA151&gt;0,VLOOKUP($K151,Ruimtegroepen[],3,FALSE)*VLOOKUP($M151,Vloersoorten[],3,FALSE)*VLOOKUP($Z151,Frequenties[],3,FALSE)*VLOOKUP(#REF!,Locaties[],3,FALSE),0)</f>
        <v>0</v>
      </c>
      <c r="AC151" s="90">
        <f>Ruimtestaat[[#This Row],[Uitvoeringen weekend]]*Ruimtestaat[[#This Row],[Oppervlak (netto)]]</f>
        <v>0</v>
      </c>
      <c r="AD151" s="93">
        <f>IF(AC151&gt;0,Ruimtestaat[[#This Row],[Prest. (m2 /jaar) weekend]]/Ruimtestaat[[#This Row],[Norm (m2/uur) weekend]],0)</f>
        <v>0</v>
      </c>
      <c r="AE151" s="94">
        <f>Ruimtestaat[[#This Row],[uren / jaar weekend]]*Tariefsopbouw!$D$40</f>
        <v>0</v>
      </c>
      <c r="AF151" s="66">
        <f>Ruimtestaat[[#This Row],[Prest. (m2 /jaar) weekend]]+Ruimtestaat[[#This Row],[Prest. (m2 /jaar) werkdagen]]</f>
        <v>1520</v>
      </c>
      <c r="AG151" s="66">
        <f>Ruimtestaat[[#This Row],[uren / jaar weekend]]+Ruimtestaat[[#This Row],[uren / jaar werkdagen]]</f>
        <v>0</v>
      </c>
      <c r="AH151" s="67">
        <f>Ruimtestaat[[#This Row],[kosten / jaar weekend]]+Ruimtestaat[[#This Row],[kosten / jaar werkdagen]]</f>
        <v>0</v>
      </c>
    </row>
    <row r="152" spans="1:34" ht="15" customHeight="1">
      <c r="A152" s="112">
        <v>2</v>
      </c>
      <c r="B152" s="23" t="str">
        <f>VLOOKUP(Ruimtestaat[[#This Row],[Code]],Locaties[#All],2,FALSE)</f>
        <v>RSG Slingerbos</v>
      </c>
      <c r="C152" s="23" t="str">
        <f>VLOOKUP(Ruimtestaat[[#This Row],[Code]],Locaties[#All],4,FALSE)</f>
        <v>Eisenhowerlaan 59</v>
      </c>
      <c r="D152" s="23" t="str">
        <f>VLOOKUP(Ruimtestaat[[#This Row],[Code]],Locaties[#All],5,FALSE)</f>
        <v>3844 AS</v>
      </c>
      <c r="E152" s="23" t="str">
        <f>VLOOKUP(Ruimtestaat[[#This Row],[Code]],Locaties[#All],6,FALSE)</f>
        <v>Harderwijk</v>
      </c>
      <c r="F152" s="23"/>
      <c r="G152" s="60" t="s">
        <v>848</v>
      </c>
      <c r="H152" s="23" t="s">
        <v>535</v>
      </c>
      <c r="I152" s="27" t="s">
        <v>697</v>
      </c>
      <c r="J152" s="3" t="s">
        <v>1020</v>
      </c>
      <c r="K152" s="23">
        <v>5</v>
      </c>
      <c r="L152" s="60" t="str">
        <f>VLOOKUP(K152,Ruimtegroepen[],2,FALSE)</f>
        <v>Sanitair</v>
      </c>
      <c r="M152" s="23" t="s">
        <v>113</v>
      </c>
      <c r="N152" s="23" t="s">
        <v>1091</v>
      </c>
      <c r="O152" s="86">
        <v>1.6</v>
      </c>
      <c r="P152" s="86"/>
      <c r="Q152" s="95" t="str">
        <f>LEFT(VLOOKUP(Ruimtestaat[[#This Row],[Ruimte code]],Ruimtegroepen[#All],4,1),2)</f>
        <v xml:space="preserve">S </v>
      </c>
      <c r="R152" s="95"/>
      <c r="S152" s="87">
        <v>40</v>
      </c>
      <c r="T152" s="87" t="s">
        <v>2</v>
      </c>
      <c r="U152" s="88">
        <f>IF(S152&gt;0,IF(RIGHT(Ruimtestaat[[#This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52" s="88">
        <f>IF(U152&gt;0,VLOOKUP($K152,Ruimtegroepen[],3,FALSE)*VLOOKUP($M152,Vloersoorten[],3,FALSE)*VLOOKUP($T152,Frequenties[],3,FALSE)*VLOOKUP($A152,Locaties[],3,FALSE),0)</f>
        <v>0</v>
      </c>
      <c r="W152" s="89">
        <f>Ruimtestaat[[#This Row],[Uitvoeringen werkdagen]]*Ruimtestaat[[#This Row],[Oppervlak (netto)]]</f>
        <v>320</v>
      </c>
      <c r="X152" s="90">
        <f>IF(V152&gt;0,Ruimtestaat[[#This Row],[Prest. (m2 /jaar) werkdagen]]/Ruimtestaat[[#This Row],[Norm (m2/uur) werkdagen]],0)</f>
        <v>0</v>
      </c>
      <c r="Y152" s="91">
        <f>Ruimtestaat[[#This Row],[uren / jaar werkdagen]]*Tariefsopbouw!$E$35</f>
        <v>0</v>
      </c>
      <c r="Z152" s="88"/>
      <c r="AA152" s="92">
        <f>IF(Ruimtestaat[[#This Row],[Frequentie weekend]]&gt;0,VALUE(LEFT(Z152,1))*S152,0)</f>
        <v>0</v>
      </c>
      <c r="AB152" s="88">
        <f>IF($AA152&gt;0,VLOOKUP($K152,Ruimtegroepen[],3,FALSE)*VLOOKUP($M152,Vloersoorten[],3,FALSE)*VLOOKUP($Z152,Frequenties[],3,FALSE)*VLOOKUP(#REF!,Locaties[],3,FALSE),0)</f>
        <v>0</v>
      </c>
      <c r="AC152" s="90">
        <f>Ruimtestaat[[#This Row],[Uitvoeringen weekend]]*Ruimtestaat[[#This Row],[Oppervlak (netto)]]</f>
        <v>0</v>
      </c>
      <c r="AD152" s="93">
        <f>IF(AC152&gt;0,Ruimtestaat[[#This Row],[Prest. (m2 /jaar) weekend]]/Ruimtestaat[[#This Row],[Norm (m2/uur) weekend]],0)</f>
        <v>0</v>
      </c>
      <c r="AE152" s="94">
        <f>Ruimtestaat[[#This Row],[uren / jaar weekend]]*Tariefsopbouw!$D$40</f>
        <v>0</v>
      </c>
      <c r="AF152" s="66">
        <f>Ruimtestaat[[#This Row],[Prest. (m2 /jaar) weekend]]+Ruimtestaat[[#This Row],[Prest. (m2 /jaar) werkdagen]]</f>
        <v>320</v>
      </c>
      <c r="AG152" s="66">
        <f>Ruimtestaat[[#This Row],[uren / jaar weekend]]+Ruimtestaat[[#This Row],[uren / jaar werkdagen]]</f>
        <v>0</v>
      </c>
      <c r="AH152" s="67">
        <f>Ruimtestaat[[#This Row],[kosten / jaar weekend]]+Ruimtestaat[[#This Row],[kosten / jaar werkdagen]]</f>
        <v>0</v>
      </c>
    </row>
    <row r="153" spans="1:34" ht="15" customHeight="1">
      <c r="A153" s="112">
        <v>2</v>
      </c>
      <c r="B153" s="23" t="str">
        <f>VLOOKUP(Ruimtestaat[[#This Row],[Code]],Locaties[#All],2,FALSE)</f>
        <v>RSG Slingerbos</v>
      </c>
      <c r="C153" s="23" t="str">
        <f>VLOOKUP(Ruimtestaat[[#This Row],[Code]],Locaties[#All],4,FALSE)</f>
        <v>Eisenhowerlaan 59</v>
      </c>
      <c r="D153" s="23" t="str">
        <f>VLOOKUP(Ruimtestaat[[#This Row],[Code]],Locaties[#All],5,FALSE)</f>
        <v>3844 AS</v>
      </c>
      <c r="E153" s="23" t="str">
        <f>VLOOKUP(Ruimtestaat[[#This Row],[Code]],Locaties[#All],6,FALSE)</f>
        <v>Harderwijk</v>
      </c>
      <c r="F153" s="23"/>
      <c r="G153" s="60" t="s">
        <v>849</v>
      </c>
      <c r="H153" s="23" t="s">
        <v>535</v>
      </c>
      <c r="I153" s="27" t="s">
        <v>698</v>
      </c>
      <c r="J153" s="3" t="s">
        <v>1020</v>
      </c>
      <c r="K153" s="23">
        <v>5</v>
      </c>
      <c r="L153" s="60" t="str">
        <f>VLOOKUP(K153,Ruimtegroepen[],2,FALSE)</f>
        <v>Sanitair</v>
      </c>
      <c r="M153" s="23" t="s">
        <v>113</v>
      </c>
      <c r="N153" s="23" t="s">
        <v>1091</v>
      </c>
      <c r="O153" s="86">
        <v>1.6</v>
      </c>
      <c r="P153" s="86"/>
      <c r="Q153" s="95" t="str">
        <f>LEFT(VLOOKUP(Ruimtestaat[[#This Row],[Ruimte code]],Ruimtegroepen[#All],4,1),2)</f>
        <v xml:space="preserve">S </v>
      </c>
      <c r="R153" s="95"/>
      <c r="S153" s="87">
        <v>40</v>
      </c>
      <c r="T153" s="87" t="s">
        <v>2</v>
      </c>
      <c r="U153" s="88">
        <f>IF(S153&gt;0,IF(RIGHT(Ruimtestaat[[#This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53" s="88">
        <f>IF(U153&gt;0,VLOOKUP($K153,Ruimtegroepen[],3,FALSE)*VLOOKUP($M153,Vloersoorten[],3,FALSE)*VLOOKUP($T153,Frequenties[],3,FALSE)*VLOOKUP($A153,Locaties[],3,FALSE),0)</f>
        <v>0</v>
      </c>
      <c r="W153" s="89">
        <f>Ruimtestaat[[#This Row],[Uitvoeringen werkdagen]]*Ruimtestaat[[#This Row],[Oppervlak (netto)]]</f>
        <v>320</v>
      </c>
      <c r="X153" s="90">
        <f>IF(V153&gt;0,Ruimtestaat[[#This Row],[Prest. (m2 /jaar) werkdagen]]/Ruimtestaat[[#This Row],[Norm (m2/uur) werkdagen]],0)</f>
        <v>0</v>
      </c>
      <c r="Y153" s="91">
        <f>Ruimtestaat[[#This Row],[uren / jaar werkdagen]]*Tariefsopbouw!$E$35</f>
        <v>0</v>
      </c>
      <c r="Z153" s="88"/>
      <c r="AA153" s="92">
        <f>IF(Ruimtestaat[[#This Row],[Frequentie weekend]]&gt;0,VALUE(LEFT(Z153,1))*S153,0)</f>
        <v>0</v>
      </c>
      <c r="AB153" s="88">
        <f>IF($AA153&gt;0,VLOOKUP($K153,Ruimtegroepen[],3,FALSE)*VLOOKUP($M153,Vloersoorten[],3,FALSE)*VLOOKUP($Z153,Frequenties[],3,FALSE)*VLOOKUP(#REF!,Locaties[],3,FALSE),0)</f>
        <v>0</v>
      </c>
      <c r="AC153" s="90">
        <f>Ruimtestaat[[#This Row],[Uitvoeringen weekend]]*Ruimtestaat[[#This Row],[Oppervlak (netto)]]</f>
        <v>0</v>
      </c>
      <c r="AD153" s="93">
        <f>IF(AC153&gt;0,Ruimtestaat[[#This Row],[Prest. (m2 /jaar) weekend]]/Ruimtestaat[[#This Row],[Norm (m2/uur) weekend]],0)</f>
        <v>0</v>
      </c>
      <c r="AE153" s="94">
        <f>Ruimtestaat[[#This Row],[uren / jaar weekend]]*Tariefsopbouw!$D$40</f>
        <v>0</v>
      </c>
      <c r="AF153" s="66">
        <f>Ruimtestaat[[#This Row],[Prest. (m2 /jaar) weekend]]+Ruimtestaat[[#This Row],[Prest. (m2 /jaar) werkdagen]]</f>
        <v>320</v>
      </c>
      <c r="AG153" s="66">
        <f>Ruimtestaat[[#This Row],[uren / jaar weekend]]+Ruimtestaat[[#This Row],[uren / jaar werkdagen]]</f>
        <v>0</v>
      </c>
      <c r="AH153" s="67">
        <f>Ruimtestaat[[#This Row],[kosten / jaar weekend]]+Ruimtestaat[[#This Row],[kosten / jaar werkdagen]]</f>
        <v>0</v>
      </c>
    </row>
    <row r="154" spans="1:34" ht="15" customHeight="1">
      <c r="A154" s="112">
        <v>2</v>
      </c>
      <c r="B154" s="23" t="str">
        <f>VLOOKUP(Ruimtestaat[[#This Row],[Code]],Locaties[#All],2,FALSE)</f>
        <v>RSG Slingerbos</v>
      </c>
      <c r="C154" s="23" t="str">
        <f>VLOOKUP(Ruimtestaat[[#This Row],[Code]],Locaties[#All],4,FALSE)</f>
        <v>Eisenhowerlaan 59</v>
      </c>
      <c r="D154" s="23" t="str">
        <f>VLOOKUP(Ruimtestaat[[#This Row],[Code]],Locaties[#All],5,FALSE)</f>
        <v>3844 AS</v>
      </c>
      <c r="E154" s="23" t="str">
        <f>VLOOKUP(Ruimtestaat[[#This Row],[Code]],Locaties[#All],6,FALSE)</f>
        <v>Harderwijk</v>
      </c>
      <c r="F154" s="23"/>
      <c r="G154" s="60" t="s">
        <v>850</v>
      </c>
      <c r="H154" s="23" t="s">
        <v>535</v>
      </c>
      <c r="I154" s="27" t="s">
        <v>699</v>
      </c>
      <c r="J154" s="3" t="s">
        <v>1021</v>
      </c>
      <c r="K154" s="23">
        <v>5</v>
      </c>
      <c r="L154" s="60" t="str">
        <f>VLOOKUP(K154,Ruimtegroepen[],2,FALSE)</f>
        <v>Sanitair</v>
      </c>
      <c r="M154" s="23" t="s">
        <v>113</v>
      </c>
      <c r="N154" s="23" t="s">
        <v>1091</v>
      </c>
      <c r="O154" s="86">
        <v>2.6</v>
      </c>
      <c r="P154" s="86"/>
      <c r="Q154" s="95" t="str">
        <f>LEFT(VLOOKUP(Ruimtestaat[[#This Row],[Ruimte code]],Ruimtegroepen[#All],4,1),2)</f>
        <v xml:space="preserve">S </v>
      </c>
      <c r="R154" s="95"/>
      <c r="S154" s="87">
        <v>40</v>
      </c>
      <c r="T154" s="87" t="s">
        <v>2</v>
      </c>
      <c r="U154" s="88">
        <f>IF(S154&gt;0,IF(RIGHT(Ruimtestaat[[#This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54" s="88">
        <f>IF(U154&gt;0,VLOOKUP($K154,Ruimtegroepen[],3,FALSE)*VLOOKUP($M154,Vloersoorten[],3,FALSE)*VLOOKUP($T154,Frequenties[],3,FALSE)*VLOOKUP($A154,Locaties[],3,FALSE),0)</f>
        <v>0</v>
      </c>
      <c r="W154" s="89">
        <f>Ruimtestaat[[#This Row],[Uitvoeringen werkdagen]]*Ruimtestaat[[#This Row],[Oppervlak (netto)]]</f>
        <v>520</v>
      </c>
      <c r="X154" s="90">
        <f>IF(V154&gt;0,Ruimtestaat[[#This Row],[Prest. (m2 /jaar) werkdagen]]/Ruimtestaat[[#This Row],[Norm (m2/uur) werkdagen]],0)</f>
        <v>0</v>
      </c>
      <c r="Y154" s="91">
        <f>Ruimtestaat[[#This Row],[uren / jaar werkdagen]]*Tariefsopbouw!$E$35</f>
        <v>0</v>
      </c>
      <c r="Z154" s="88"/>
      <c r="AA154" s="92">
        <f>IF(Ruimtestaat[[#This Row],[Frequentie weekend]]&gt;0,VALUE(LEFT(Z154,1))*S154,0)</f>
        <v>0</v>
      </c>
      <c r="AB154" s="88">
        <f>IF($AA154&gt;0,VLOOKUP($K154,Ruimtegroepen[],3,FALSE)*VLOOKUP($M154,Vloersoorten[],3,FALSE)*VLOOKUP($Z154,Frequenties[],3,FALSE)*VLOOKUP(#REF!,Locaties[],3,FALSE),0)</f>
        <v>0</v>
      </c>
      <c r="AC154" s="90">
        <f>Ruimtestaat[[#This Row],[Uitvoeringen weekend]]*Ruimtestaat[[#This Row],[Oppervlak (netto)]]</f>
        <v>0</v>
      </c>
      <c r="AD154" s="93">
        <f>IF(AC154&gt;0,Ruimtestaat[[#This Row],[Prest. (m2 /jaar) weekend]]/Ruimtestaat[[#This Row],[Norm (m2/uur) weekend]],0)</f>
        <v>0</v>
      </c>
      <c r="AE154" s="94">
        <f>Ruimtestaat[[#This Row],[uren / jaar weekend]]*Tariefsopbouw!$D$40</f>
        <v>0</v>
      </c>
      <c r="AF154" s="66">
        <f>Ruimtestaat[[#This Row],[Prest. (m2 /jaar) weekend]]+Ruimtestaat[[#This Row],[Prest. (m2 /jaar) werkdagen]]</f>
        <v>520</v>
      </c>
      <c r="AG154" s="66">
        <f>Ruimtestaat[[#This Row],[uren / jaar weekend]]+Ruimtestaat[[#This Row],[uren / jaar werkdagen]]</f>
        <v>0</v>
      </c>
      <c r="AH154" s="67">
        <f>Ruimtestaat[[#This Row],[kosten / jaar weekend]]+Ruimtestaat[[#This Row],[kosten / jaar werkdagen]]</f>
        <v>0</v>
      </c>
    </row>
    <row r="155" spans="1:34" ht="15" customHeight="1">
      <c r="A155" s="112">
        <v>2</v>
      </c>
      <c r="B155" s="23" t="str">
        <f>VLOOKUP(Ruimtestaat[[#This Row],[Code]],Locaties[#All],2,FALSE)</f>
        <v>RSG Slingerbos</v>
      </c>
      <c r="C155" s="23" t="str">
        <f>VLOOKUP(Ruimtestaat[[#This Row],[Code]],Locaties[#All],4,FALSE)</f>
        <v>Eisenhowerlaan 59</v>
      </c>
      <c r="D155" s="23" t="str">
        <f>VLOOKUP(Ruimtestaat[[#This Row],[Code]],Locaties[#All],5,FALSE)</f>
        <v>3844 AS</v>
      </c>
      <c r="E155" s="23" t="str">
        <f>VLOOKUP(Ruimtestaat[[#This Row],[Code]],Locaties[#All],6,FALSE)</f>
        <v>Harderwijk</v>
      </c>
      <c r="F155" s="23"/>
      <c r="G155" s="60" t="s">
        <v>851</v>
      </c>
      <c r="H155" s="23" t="s">
        <v>535</v>
      </c>
      <c r="I155" s="27" t="s">
        <v>700</v>
      </c>
      <c r="J155" s="3" t="s">
        <v>1017</v>
      </c>
      <c r="K155" s="23">
        <v>23</v>
      </c>
      <c r="L155" s="60" t="str">
        <f>VLOOKUP(K155,Ruimtegroepen[],2,FALSE)</f>
        <v>Niet in onderhoud</v>
      </c>
      <c r="M155" s="23" t="s">
        <v>113</v>
      </c>
      <c r="N155" s="23" t="s">
        <v>1091</v>
      </c>
      <c r="O155" s="86"/>
      <c r="P155" s="86">
        <v>3.1</v>
      </c>
      <c r="Q155" s="95" t="str">
        <f>LEFT(VLOOKUP(Ruimtestaat[[#This Row],[Ruimte code]],Ruimtegroepen[#All],4,1),2)</f>
        <v/>
      </c>
      <c r="R155" s="95"/>
      <c r="S155" s="87"/>
      <c r="T155" s="87"/>
      <c r="U155" s="88">
        <f>IF(S155&gt;0,IF(RIGHT(Ruimtestaat[[#This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155" s="88">
        <f>IF(U155&gt;0,VLOOKUP($K155,Ruimtegroepen[],3,FALSE)*VLOOKUP($M155,Vloersoorten[],3,FALSE)*VLOOKUP($T155,Frequenties[],3,FALSE)*VLOOKUP($A155,Locaties[],3,FALSE),0)</f>
        <v>0</v>
      </c>
      <c r="W155" s="89">
        <f>Ruimtestaat[[#This Row],[Uitvoeringen werkdagen]]*Ruimtestaat[[#This Row],[Oppervlak (netto)]]</f>
        <v>0</v>
      </c>
      <c r="X155" s="90">
        <f>IF(V155&gt;0,Ruimtestaat[[#This Row],[Prest. (m2 /jaar) werkdagen]]/Ruimtestaat[[#This Row],[Norm (m2/uur) werkdagen]],0)</f>
        <v>0</v>
      </c>
      <c r="Y155" s="91">
        <f>Ruimtestaat[[#This Row],[uren / jaar werkdagen]]*Tariefsopbouw!$E$35</f>
        <v>0</v>
      </c>
      <c r="Z155" s="88"/>
      <c r="AA155" s="92">
        <f>IF(Ruimtestaat[[#This Row],[Frequentie weekend]]&gt;0,VALUE(LEFT(Z155,1))*S155,0)</f>
        <v>0</v>
      </c>
      <c r="AB155" s="88">
        <f>IF($AA155&gt;0,VLOOKUP($K155,Ruimtegroepen[],3,FALSE)*VLOOKUP($M155,Vloersoorten[],3,FALSE)*VLOOKUP($Z155,Frequenties[],3,FALSE)*VLOOKUP(#REF!,Locaties[],3,FALSE),0)</f>
        <v>0</v>
      </c>
      <c r="AC155" s="90">
        <f>Ruimtestaat[[#This Row],[Uitvoeringen weekend]]*Ruimtestaat[[#This Row],[Oppervlak (netto)]]</f>
        <v>0</v>
      </c>
      <c r="AD155" s="93">
        <f>IF(AC155&gt;0,Ruimtestaat[[#This Row],[Prest. (m2 /jaar) weekend]]/Ruimtestaat[[#This Row],[Norm (m2/uur) weekend]],0)</f>
        <v>0</v>
      </c>
      <c r="AE155" s="94">
        <f>Ruimtestaat[[#This Row],[uren / jaar weekend]]*Tariefsopbouw!$D$40</f>
        <v>0</v>
      </c>
      <c r="AF155" s="66">
        <f>Ruimtestaat[[#This Row],[Prest. (m2 /jaar) weekend]]+Ruimtestaat[[#This Row],[Prest. (m2 /jaar) werkdagen]]</f>
        <v>0</v>
      </c>
      <c r="AG155" s="66">
        <f>Ruimtestaat[[#This Row],[uren / jaar weekend]]+Ruimtestaat[[#This Row],[uren / jaar werkdagen]]</f>
        <v>0</v>
      </c>
      <c r="AH155" s="67">
        <f>Ruimtestaat[[#This Row],[kosten / jaar weekend]]+Ruimtestaat[[#This Row],[kosten / jaar werkdagen]]</f>
        <v>0</v>
      </c>
    </row>
    <row r="156" spans="1:34" ht="15" customHeight="1">
      <c r="A156" s="112">
        <v>2</v>
      </c>
      <c r="B156" s="23" t="str">
        <f>VLOOKUP(Ruimtestaat[[#This Row],[Code]],Locaties[#All],2,FALSE)</f>
        <v>RSG Slingerbos</v>
      </c>
      <c r="C156" s="23" t="str">
        <f>VLOOKUP(Ruimtestaat[[#This Row],[Code]],Locaties[#All],4,FALSE)</f>
        <v>Eisenhowerlaan 59</v>
      </c>
      <c r="D156" s="23" t="str">
        <f>VLOOKUP(Ruimtestaat[[#This Row],[Code]],Locaties[#All],5,FALSE)</f>
        <v>3844 AS</v>
      </c>
      <c r="E156" s="23" t="str">
        <f>VLOOKUP(Ruimtestaat[[#This Row],[Code]],Locaties[#All],6,FALSE)</f>
        <v>Harderwijk</v>
      </c>
      <c r="F156" s="23"/>
      <c r="G156" s="60" t="s">
        <v>852</v>
      </c>
      <c r="H156" s="23" t="s">
        <v>535</v>
      </c>
      <c r="I156" s="27" t="s">
        <v>701</v>
      </c>
      <c r="J156" s="3" t="s">
        <v>1022</v>
      </c>
      <c r="K156" s="23">
        <v>19</v>
      </c>
      <c r="L156" s="60" t="str">
        <f>VLOOKUP(K156,Ruimtegroepen[],2,FALSE)</f>
        <v>Kleedruimten</v>
      </c>
      <c r="M156" s="23" t="s">
        <v>113</v>
      </c>
      <c r="N156" s="23" t="s">
        <v>1091</v>
      </c>
      <c r="O156" s="86">
        <v>43.1</v>
      </c>
      <c r="P156" s="86"/>
      <c r="Q156" s="95" t="str">
        <f>LEFT(VLOOKUP(Ruimtestaat[[#This Row],[Ruimte code]],Ruimtegroepen[#All],4,1),2)</f>
        <v xml:space="preserve">V </v>
      </c>
      <c r="R156" s="95"/>
      <c r="S156" s="87">
        <v>40</v>
      </c>
      <c r="T156" s="87" t="s">
        <v>2</v>
      </c>
      <c r="U156" s="88">
        <f>IF(S156&gt;0,IF(RIGHT(Ruimtestaat[[#This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56" s="88">
        <f>IF(U156&gt;0,VLOOKUP($K156,Ruimtegroepen[],3,FALSE)*VLOOKUP($M156,Vloersoorten[],3,FALSE)*VLOOKUP($T156,Frequenties[],3,FALSE)*VLOOKUP($A156,Locaties[],3,FALSE),0)</f>
        <v>0</v>
      </c>
      <c r="W156" s="89">
        <f>Ruimtestaat[[#This Row],[Uitvoeringen werkdagen]]*Ruimtestaat[[#This Row],[Oppervlak (netto)]]</f>
        <v>8620</v>
      </c>
      <c r="X156" s="90">
        <f>IF(V156&gt;0,Ruimtestaat[[#This Row],[Prest. (m2 /jaar) werkdagen]]/Ruimtestaat[[#This Row],[Norm (m2/uur) werkdagen]],0)</f>
        <v>0</v>
      </c>
      <c r="Y156" s="91">
        <f>Ruimtestaat[[#This Row],[uren / jaar werkdagen]]*Tariefsopbouw!$E$35</f>
        <v>0</v>
      </c>
      <c r="Z156" s="88"/>
      <c r="AA156" s="92">
        <f>IF(Ruimtestaat[[#This Row],[Frequentie weekend]]&gt;0,VALUE(LEFT(Z156,1))*S156,0)</f>
        <v>0</v>
      </c>
      <c r="AB156" s="88">
        <f>IF($AA156&gt;0,VLOOKUP($K156,Ruimtegroepen[],3,FALSE)*VLOOKUP($M156,Vloersoorten[],3,FALSE)*VLOOKUP($Z156,Frequenties[],3,FALSE)*VLOOKUP(#REF!,Locaties[],3,FALSE),0)</f>
        <v>0</v>
      </c>
      <c r="AC156" s="90">
        <f>Ruimtestaat[[#This Row],[Uitvoeringen weekend]]*Ruimtestaat[[#This Row],[Oppervlak (netto)]]</f>
        <v>0</v>
      </c>
      <c r="AD156" s="93">
        <f>IF(AC156&gt;0,Ruimtestaat[[#This Row],[Prest. (m2 /jaar) weekend]]/Ruimtestaat[[#This Row],[Norm (m2/uur) weekend]],0)</f>
        <v>0</v>
      </c>
      <c r="AE156" s="94">
        <f>Ruimtestaat[[#This Row],[uren / jaar weekend]]*Tariefsopbouw!$D$40</f>
        <v>0</v>
      </c>
      <c r="AF156" s="66">
        <f>Ruimtestaat[[#This Row],[Prest. (m2 /jaar) weekend]]+Ruimtestaat[[#This Row],[Prest. (m2 /jaar) werkdagen]]</f>
        <v>8620</v>
      </c>
      <c r="AG156" s="66">
        <f>Ruimtestaat[[#This Row],[uren / jaar weekend]]+Ruimtestaat[[#This Row],[uren / jaar werkdagen]]</f>
        <v>0</v>
      </c>
      <c r="AH156" s="67">
        <f>Ruimtestaat[[#This Row],[kosten / jaar weekend]]+Ruimtestaat[[#This Row],[kosten / jaar werkdagen]]</f>
        <v>0</v>
      </c>
    </row>
    <row r="157" spans="1:34" ht="15" customHeight="1">
      <c r="A157" s="112">
        <v>2</v>
      </c>
      <c r="B157" s="23" t="str">
        <f>VLOOKUP(Ruimtestaat[[#This Row],[Code]],Locaties[#All],2,FALSE)</f>
        <v>RSG Slingerbos</v>
      </c>
      <c r="C157" s="23" t="str">
        <f>VLOOKUP(Ruimtestaat[[#This Row],[Code]],Locaties[#All],4,FALSE)</f>
        <v>Eisenhowerlaan 59</v>
      </c>
      <c r="D157" s="23" t="str">
        <f>VLOOKUP(Ruimtestaat[[#This Row],[Code]],Locaties[#All],5,FALSE)</f>
        <v>3844 AS</v>
      </c>
      <c r="E157" s="23" t="str">
        <f>VLOOKUP(Ruimtestaat[[#This Row],[Code]],Locaties[#All],6,FALSE)</f>
        <v>Harderwijk</v>
      </c>
      <c r="F157" s="23"/>
      <c r="G157" s="60" t="s">
        <v>853</v>
      </c>
      <c r="H157" s="23" t="s">
        <v>535</v>
      </c>
      <c r="I157" s="27" t="s">
        <v>702</v>
      </c>
      <c r="J157" s="3" t="s">
        <v>1023</v>
      </c>
      <c r="K157" s="23">
        <v>6</v>
      </c>
      <c r="L157" s="60" t="str">
        <f>VLOOKUP(K157,Ruimtegroepen[],2,FALSE)</f>
        <v>Gangen/hallen</v>
      </c>
      <c r="M157" s="23" t="s">
        <v>112</v>
      </c>
      <c r="N157" s="23" t="s">
        <v>1090</v>
      </c>
      <c r="O157" s="86">
        <v>13.6</v>
      </c>
      <c r="P157" s="86"/>
      <c r="Q157" s="95" t="str">
        <f>LEFT(VLOOKUP(Ruimtestaat[[#This Row],[Ruimte code]],Ruimtegroepen[#All],4,1),2)</f>
        <v xml:space="preserve">V </v>
      </c>
      <c r="R157" s="95"/>
      <c r="S157" s="87">
        <v>40</v>
      </c>
      <c r="T157" s="87" t="s">
        <v>2</v>
      </c>
      <c r="U157" s="88">
        <f>IF(S157&gt;0,IF(RIGHT(Ruimtestaat[[#This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57" s="88">
        <f>IF(U157&gt;0,VLOOKUP($K157,Ruimtegroepen[],3,FALSE)*VLOOKUP($M157,Vloersoorten[],3,FALSE)*VLOOKUP($T157,Frequenties[],3,FALSE)*VLOOKUP($A157,Locaties[],3,FALSE),0)</f>
        <v>0</v>
      </c>
      <c r="W157" s="89">
        <f>Ruimtestaat[[#This Row],[Uitvoeringen werkdagen]]*Ruimtestaat[[#This Row],[Oppervlak (netto)]]</f>
        <v>2720</v>
      </c>
      <c r="X157" s="90">
        <f>IF(V157&gt;0,Ruimtestaat[[#This Row],[Prest. (m2 /jaar) werkdagen]]/Ruimtestaat[[#This Row],[Norm (m2/uur) werkdagen]],0)</f>
        <v>0</v>
      </c>
      <c r="Y157" s="91">
        <f>Ruimtestaat[[#This Row],[uren / jaar werkdagen]]*Tariefsopbouw!$E$35</f>
        <v>0</v>
      </c>
      <c r="Z157" s="88"/>
      <c r="AA157" s="92">
        <f>IF(Ruimtestaat[[#This Row],[Frequentie weekend]]&gt;0,VALUE(LEFT(Z157,1))*S157,0)</f>
        <v>0</v>
      </c>
      <c r="AB157" s="88">
        <f>IF($AA157&gt;0,VLOOKUP($K157,Ruimtegroepen[],3,FALSE)*VLOOKUP($M157,Vloersoorten[],3,FALSE)*VLOOKUP($Z157,Frequenties[],3,FALSE)*VLOOKUP(#REF!,Locaties[],3,FALSE),0)</f>
        <v>0</v>
      </c>
      <c r="AC157" s="90">
        <f>Ruimtestaat[[#This Row],[Uitvoeringen weekend]]*Ruimtestaat[[#This Row],[Oppervlak (netto)]]</f>
        <v>0</v>
      </c>
      <c r="AD157" s="93">
        <f>IF(AC157&gt;0,Ruimtestaat[[#This Row],[Prest. (m2 /jaar) weekend]]/Ruimtestaat[[#This Row],[Norm (m2/uur) weekend]],0)</f>
        <v>0</v>
      </c>
      <c r="AE157" s="94">
        <f>Ruimtestaat[[#This Row],[uren / jaar weekend]]*Tariefsopbouw!$D$40</f>
        <v>0</v>
      </c>
      <c r="AF157" s="66">
        <f>Ruimtestaat[[#This Row],[Prest. (m2 /jaar) weekend]]+Ruimtestaat[[#This Row],[Prest. (m2 /jaar) werkdagen]]</f>
        <v>2720</v>
      </c>
      <c r="AG157" s="66">
        <f>Ruimtestaat[[#This Row],[uren / jaar weekend]]+Ruimtestaat[[#This Row],[uren / jaar werkdagen]]</f>
        <v>0</v>
      </c>
      <c r="AH157" s="67">
        <f>Ruimtestaat[[#This Row],[kosten / jaar weekend]]+Ruimtestaat[[#This Row],[kosten / jaar werkdagen]]</f>
        <v>0</v>
      </c>
    </row>
    <row r="158" spans="1:34" ht="15" customHeight="1">
      <c r="A158" s="112">
        <v>2</v>
      </c>
      <c r="B158" s="23" t="str">
        <f>VLOOKUP(Ruimtestaat[[#This Row],[Code]],Locaties[#All],2,FALSE)</f>
        <v>RSG Slingerbos</v>
      </c>
      <c r="C158" s="23" t="str">
        <f>VLOOKUP(Ruimtestaat[[#This Row],[Code]],Locaties[#All],4,FALSE)</f>
        <v>Eisenhowerlaan 59</v>
      </c>
      <c r="D158" s="23" t="str">
        <f>VLOOKUP(Ruimtestaat[[#This Row],[Code]],Locaties[#All],5,FALSE)</f>
        <v>3844 AS</v>
      </c>
      <c r="E158" s="23" t="str">
        <f>VLOOKUP(Ruimtestaat[[#This Row],[Code]],Locaties[#All],6,FALSE)</f>
        <v>Harderwijk</v>
      </c>
      <c r="F158" s="23"/>
      <c r="G158" s="60" t="s">
        <v>854</v>
      </c>
      <c r="H158" s="23" t="s">
        <v>535</v>
      </c>
      <c r="I158" s="27" t="s">
        <v>703</v>
      </c>
      <c r="J158" s="3" t="s">
        <v>1018</v>
      </c>
      <c r="K158" s="23">
        <v>19</v>
      </c>
      <c r="L158" s="60" t="str">
        <f>VLOOKUP(K158,Ruimtegroepen[],2,FALSE)</f>
        <v>Kleedruimten</v>
      </c>
      <c r="M158" s="23" t="s">
        <v>113</v>
      </c>
      <c r="N158" s="23" t="s">
        <v>1091</v>
      </c>
      <c r="O158" s="86">
        <v>40.9</v>
      </c>
      <c r="P158" s="86"/>
      <c r="Q158" s="95" t="str">
        <f>LEFT(VLOOKUP(Ruimtestaat[[#This Row],[Ruimte code]],Ruimtegroepen[#All],4,1),2)</f>
        <v xml:space="preserve">V </v>
      </c>
      <c r="R158" s="95"/>
      <c r="S158" s="87">
        <v>40</v>
      </c>
      <c r="T158" s="87" t="s">
        <v>2</v>
      </c>
      <c r="U158" s="88">
        <f>IF(S158&gt;0,IF(RIGHT(Ruimtestaat[[#This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58" s="88">
        <f>IF(U158&gt;0,VLOOKUP($K158,Ruimtegroepen[],3,FALSE)*VLOOKUP($M158,Vloersoorten[],3,FALSE)*VLOOKUP($T158,Frequenties[],3,FALSE)*VLOOKUP($A158,Locaties[],3,FALSE),0)</f>
        <v>0</v>
      </c>
      <c r="W158" s="89">
        <f>Ruimtestaat[[#This Row],[Uitvoeringen werkdagen]]*Ruimtestaat[[#This Row],[Oppervlak (netto)]]</f>
        <v>8180</v>
      </c>
      <c r="X158" s="90">
        <f>IF(V158&gt;0,Ruimtestaat[[#This Row],[Prest. (m2 /jaar) werkdagen]]/Ruimtestaat[[#This Row],[Norm (m2/uur) werkdagen]],0)</f>
        <v>0</v>
      </c>
      <c r="Y158" s="91">
        <f>Ruimtestaat[[#This Row],[uren / jaar werkdagen]]*Tariefsopbouw!$E$35</f>
        <v>0</v>
      </c>
      <c r="Z158" s="88"/>
      <c r="AA158" s="92">
        <f>IF(Ruimtestaat[[#This Row],[Frequentie weekend]]&gt;0,VALUE(LEFT(Z158,1))*S158,0)</f>
        <v>0</v>
      </c>
      <c r="AB158" s="88">
        <f>IF($AA158&gt;0,VLOOKUP($K158,Ruimtegroepen[],3,FALSE)*VLOOKUP($M158,Vloersoorten[],3,FALSE)*VLOOKUP($Z158,Frequenties[],3,FALSE)*VLOOKUP(#REF!,Locaties[],3,FALSE),0)</f>
        <v>0</v>
      </c>
      <c r="AC158" s="90">
        <f>Ruimtestaat[[#This Row],[Uitvoeringen weekend]]*Ruimtestaat[[#This Row],[Oppervlak (netto)]]</f>
        <v>0</v>
      </c>
      <c r="AD158" s="93">
        <f>IF(AC158&gt;0,Ruimtestaat[[#This Row],[Prest. (m2 /jaar) weekend]]/Ruimtestaat[[#This Row],[Norm (m2/uur) weekend]],0)</f>
        <v>0</v>
      </c>
      <c r="AE158" s="94">
        <f>Ruimtestaat[[#This Row],[uren / jaar weekend]]*Tariefsopbouw!$D$40</f>
        <v>0</v>
      </c>
      <c r="AF158" s="66">
        <f>Ruimtestaat[[#This Row],[Prest. (m2 /jaar) weekend]]+Ruimtestaat[[#This Row],[Prest. (m2 /jaar) werkdagen]]</f>
        <v>8180</v>
      </c>
      <c r="AG158" s="66">
        <f>Ruimtestaat[[#This Row],[uren / jaar weekend]]+Ruimtestaat[[#This Row],[uren / jaar werkdagen]]</f>
        <v>0</v>
      </c>
      <c r="AH158" s="67">
        <f>Ruimtestaat[[#This Row],[kosten / jaar weekend]]+Ruimtestaat[[#This Row],[kosten / jaar werkdagen]]</f>
        <v>0</v>
      </c>
    </row>
    <row r="159" spans="1:34" ht="15" customHeight="1">
      <c r="A159" s="112">
        <v>2</v>
      </c>
      <c r="B159" s="23" t="str">
        <f>VLOOKUP(Ruimtestaat[[#This Row],[Code]],Locaties[#All],2,FALSE)</f>
        <v>RSG Slingerbos</v>
      </c>
      <c r="C159" s="23" t="str">
        <f>VLOOKUP(Ruimtestaat[[#This Row],[Code]],Locaties[#All],4,FALSE)</f>
        <v>Eisenhowerlaan 59</v>
      </c>
      <c r="D159" s="23" t="str">
        <f>VLOOKUP(Ruimtestaat[[#This Row],[Code]],Locaties[#All],5,FALSE)</f>
        <v>3844 AS</v>
      </c>
      <c r="E159" s="23" t="str">
        <f>VLOOKUP(Ruimtestaat[[#This Row],[Code]],Locaties[#All],6,FALSE)</f>
        <v>Harderwijk</v>
      </c>
      <c r="F159" s="23"/>
      <c r="G159" s="60" t="s">
        <v>855</v>
      </c>
      <c r="H159" s="23" t="s">
        <v>535</v>
      </c>
      <c r="I159" s="27" t="s">
        <v>704</v>
      </c>
      <c r="J159" s="3" t="s">
        <v>1019</v>
      </c>
      <c r="K159" s="23">
        <v>5</v>
      </c>
      <c r="L159" s="60" t="str">
        <f>VLOOKUP(K159,Ruimtegroepen[],2,FALSE)</f>
        <v>Sanitair</v>
      </c>
      <c r="M159" s="23" t="s">
        <v>113</v>
      </c>
      <c r="N159" s="23" t="s">
        <v>1091</v>
      </c>
      <c r="O159" s="86">
        <v>7.7</v>
      </c>
      <c r="P159" s="86"/>
      <c r="Q159" s="95" t="str">
        <f>LEFT(VLOOKUP(Ruimtestaat[[#This Row],[Ruimte code]],Ruimtegroepen[#All],4,1),2)</f>
        <v xml:space="preserve">S </v>
      </c>
      <c r="R159" s="95"/>
      <c r="S159" s="87">
        <v>40</v>
      </c>
      <c r="T159" s="87" t="s">
        <v>2</v>
      </c>
      <c r="U159" s="88">
        <f>IF(S159&gt;0,IF(RIGHT(Ruimtestaat[[#This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59" s="88">
        <f>IF(U159&gt;0,VLOOKUP($K159,Ruimtegroepen[],3,FALSE)*VLOOKUP($M159,Vloersoorten[],3,FALSE)*VLOOKUP($T159,Frequenties[],3,FALSE)*VLOOKUP($A159,Locaties[],3,FALSE),0)</f>
        <v>0</v>
      </c>
      <c r="W159" s="89">
        <f>Ruimtestaat[[#This Row],[Uitvoeringen werkdagen]]*Ruimtestaat[[#This Row],[Oppervlak (netto)]]</f>
        <v>1540</v>
      </c>
      <c r="X159" s="90">
        <f>IF(V159&gt;0,Ruimtestaat[[#This Row],[Prest. (m2 /jaar) werkdagen]]/Ruimtestaat[[#This Row],[Norm (m2/uur) werkdagen]],0)</f>
        <v>0</v>
      </c>
      <c r="Y159" s="91">
        <f>Ruimtestaat[[#This Row],[uren / jaar werkdagen]]*Tariefsopbouw!$E$35</f>
        <v>0</v>
      </c>
      <c r="Z159" s="88"/>
      <c r="AA159" s="92">
        <f>IF(Ruimtestaat[[#This Row],[Frequentie weekend]]&gt;0,VALUE(LEFT(Z159,1))*S159,0)</f>
        <v>0</v>
      </c>
      <c r="AB159" s="88">
        <f>IF($AA159&gt;0,VLOOKUP($K159,Ruimtegroepen[],3,FALSE)*VLOOKUP($M159,Vloersoorten[],3,FALSE)*VLOOKUP($Z159,Frequenties[],3,FALSE)*VLOOKUP(#REF!,Locaties[],3,FALSE),0)</f>
        <v>0</v>
      </c>
      <c r="AC159" s="90">
        <f>Ruimtestaat[[#This Row],[Uitvoeringen weekend]]*Ruimtestaat[[#This Row],[Oppervlak (netto)]]</f>
        <v>0</v>
      </c>
      <c r="AD159" s="93">
        <f>IF(AC159&gt;0,Ruimtestaat[[#This Row],[Prest. (m2 /jaar) weekend]]/Ruimtestaat[[#This Row],[Norm (m2/uur) weekend]],0)</f>
        <v>0</v>
      </c>
      <c r="AE159" s="94">
        <f>Ruimtestaat[[#This Row],[uren / jaar weekend]]*Tariefsopbouw!$D$40</f>
        <v>0</v>
      </c>
      <c r="AF159" s="66">
        <f>Ruimtestaat[[#This Row],[Prest. (m2 /jaar) weekend]]+Ruimtestaat[[#This Row],[Prest. (m2 /jaar) werkdagen]]</f>
        <v>1540</v>
      </c>
      <c r="AG159" s="66">
        <f>Ruimtestaat[[#This Row],[uren / jaar weekend]]+Ruimtestaat[[#This Row],[uren / jaar werkdagen]]</f>
        <v>0</v>
      </c>
      <c r="AH159" s="67">
        <f>Ruimtestaat[[#This Row],[kosten / jaar weekend]]+Ruimtestaat[[#This Row],[kosten / jaar werkdagen]]</f>
        <v>0</v>
      </c>
    </row>
    <row r="160" spans="1:34" ht="15" customHeight="1">
      <c r="A160" s="112">
        <v>2</v>
      </c>
      <c r="B160" s="23" t="str">
        <f>VLOOKUP(Ruimtestaat[[#This Row],[Code]],Locaties[#All],2,FALSE)</f>
        <v>RSG Slingerbos</v>
      </c>
      <c r="C160" s="23" t="str">
        <f>VLOOKUP(Ruimtestaat[[#This Row],[Code]],Locaties[#All],4,FALSE)</f>
        <v>Eisenhowerlaan 59</v>
      </c>
      <c r="D160" s="23" t="str">
        <f>VLOOKUP(Ruimtestaat[[#This Row],[Code]],Locaties[#All],5,FALSE)</f>
        <v>3844 AS</v>
      </c>
      <c r="E160" s="23" t="str">
        <f>VLOOKUP(Ruimtestaat[[#This Row],[Code]],Locaties[#All],6,FALSE)</f>
        <v>Harderwijk</v>
      </c>
      <c r="F160" s="23"/>
      <c r="G160" s="60" t="s">
        <v>856</v>
      </c>
      <c r="H160" s="23" t="s">
        <v>535</v>
      </c>
      <c r="I160" s="27" t="s">
        <v>705</v>
      </c>
      <c r="J160" s="3" t="s">
        <v>71</v>
      </c>
      <c r="K160" s="23">
        <v>17</v>
      </c>
      <c r="L160" s="60" t="str">
        <f>VLOOKUP(K160,Ruimtegroepen[],2,FALSE)</f>
        <v>Toestelberging</v>
      </c>
      <c r="M160" s="23" t="s">
        <v>114</v>
      </c>
      <c r="N160" s="23" t="s">
        <v>1089</v>
      </c>
      <c r="O160" s="86">
        <v>31.9</v>
      </c>
      <c r="P160" s="86"/>
      <c r="Q160" s="95" t="str">
        <f>LEFT(VLOOKUP(Ruimtestaat[[#This Row],[Ruimte code]],Ruimtegroepen[#All],4,1),2)</f>
        <v xml:space="preserve">V </v>
      </c>
      <c r="R160" s="95"/>
      <c r="S160" s="87">
        <v>40</v>
      </c>
      <c r="T160" s="87" t="s">
        <v>16</v>
      </c>
      <c r="U160" s="88">
        <f>IF(S160&gt;0,IF(RIGHT(Ruimtestaat[[#This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V160" s="88">
        <f>IF(U160&gt;0,VLOOKUP($K160,Ruimtegroepen[],3,FALSE)*VLOOKUP($M160,Vloersoorten[],3,FALSE)*VLOOKUP($T160,Frequenties[],3,FALSE)*VLOOKUP($A160,Locaties[],3,FALSE),0)</f>
        <v>0</v>
      </c>
      <c r="W160" s="89">
        <f>Ruimtestaat[[#This Row],[Uitvoeringen werkdagen]]*Ruimtestaat[[#This Row],[Oppervlak (netto)]]</f>
        <v>382.79999999999995</v>
      </c>
      <c r="X160" s="90">
        <f>IF(V160&gt;0,Ruimtestaat[[#This Row],[Prest. (m2 /jaar) werkdagen]]/Ruimtestaat[[#This Row],[Norm (m2/uur) werkdagen]],0)</f>
        <v>0</v>
      </c>
      <c r="Y160" s="91">
        <f>Ruimtestaat[[#This Row],[uren / jaar werkdagen]]*Tariefsopbouw!$E$35</f>
        <v>0</v>
      </c>
      <c r="Z160" s="88"/>
      <c r="AA160" s="92">
        <f>IF(Ruimtestaat[[#This Row],[Frequentie weekend]]&gt;0,VALUE(LEFT(Z160,1))*S160,0)</f>
        <v>0</v>
      </c>
      <c r="AB160" s="88">
        <f>IF($AA160&gt;0,VLOOKUP($K160,Ruimtegroepen[],3,FALSE)*VLOOKUP($M160,Vloersoorten[],3,FALSE)*VLOOKUP($Z160,Frequenties[],3,FALSE)*VLOOKUP(#REF!,Locaties[],3,FALSE),0)</f>
        <v>0</v>
      </c>
      <c r="AC160" s="90">
        <f>Ruimtestaat[[#This Row],[Uitvoeringen weekend]]*Ruimtestaat[[#This Row],[Oppervlak (netto)]]</f>
        <v>0</v>
      </c>
      <c r="AD160" s="93">
        <f>IF(AC160&gt;0,Ruimtestaat[[#This Row],[Prest. (m2 /jaar) weekend]]/Ruimtestaat[[#This Row],[Norm (m2/uur) weekend]],0)</f>
        <v>0</v>
      </c>
      <c r="AE160" s="94">
        <f>Ruimtestaat[[#This Row],[uren / jaar weekend]]*Tariefsopbouw!$D$40</f>
        <v>0</v>
      </c>
      <c r="AF160" s="66">
        <f>Ruimtestaat[[#This Row],[Prest. (m2 /jaar) weekend]]+Ruimtestaat[[#This Row],[Prest. (m2 /jaar) werkdagen]]</f>
        <v>382.79999999999995</v>
      </c>
      <c r="AG160" s="66">
        <f>Ruimtestaat[[#This Row],[uren / jaar weekend]]+Ruimtestaat[[#This Row],[uren / jaar werkdagen]]</f>
        <v>0</v>
      </c>
      <c r="AH160" s="67">
        <f>Ruimtestaat[[#This Row],[kosten / jaar weekend]]+Ruimtestaat[[#This Row],[kosten / jaar werkdagen]]</f>
        <v>0</v>
      </c>
    </row>
    <row r="161" spans="1:34" ht="15" customHeight="1">
      <c r="A161" s="112">
        <v>2</v>
      </c>
      <c r="B161" s="23" t="str">
        <f>VLOOKUP(Ruimtestaat[[#This Row],[Code]],Locaties[#All],2,FALSE)</f>
        <v>RSG Slingerbos</v>
      </c>
      <c r="C161" s="23" t="str">
        <f>VLOOKUP(Ruimtestaat[[#This Row],[Code]],Locaties[#All],4,FALSE)</f>
        <v>Eisenhowerlaan 59</v>
      </c>
      <c r="D161" s="23" t="str">
        <f>VLOOKUP(Ruimtestaat[[#This Row],[Code]],Locaties[#All],5,FALSE)</f>
        <v>3844 AS</v>
      </c>
      <c r="E161" s="23" t="str">
        <f>VLOOKUP(Ruimtestaat[[#This Row],[Code]],Locaties[#All],6,FALSE)</f>
        <v>Harderwijk</v>
      </c>
      <c r="F161" s="23"/>
      <c r="G161" s="60" t="s">
        <v>857</v>
      </c>
      <c r="H161" s="23" t="s">
        <v>535</v>
      </c>
      <c r="I161" s="27" t="s">
        <v>706</v>
      </c>
      <c r="J161" s="3" t="s">
        <v>1024</v>
      </c>
      <c r="K161" s="23">
        <v>23</v>
      </c>
      <c r="L161" s="60" t="str">
        <f>VLOOKUP(K161,Ruimtegroepen[],2,FALSE)</f>
        <v>Niet in onderhoud</v>
      </c>
      <c r="M161" s="23" t="s">
        <v>112</v>
      </c>
      <c r="N161" s="23" t="s">
        <v>1090</v>
      </c>
      <c r="O161" s="86"/>
      <c r="P161" s="86">
        <v>12.5</v>
      </c>
      <c r="Q161" s="95" t="str">
        <f>LEFT(VLOOKUP(Ruimtestaat[[#This Row],[Ruimte code]],Ruimtegroepen[#All],4,1),2)</f>
        <v/>
      </c>
      <c r="R161" s="95"/>
      <c r="S161" s="87"/>
      <c r="T161" s="87"/>
      <c r="U161" s="88">
        <f>IF(S161&gt;0,IF(RIGHT(Ruimtestaat[[#This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161" s="88">
        <f>IF(U161&gt;0,VLOOKUP($K161,Ruimtegroepen[],3,FALSE)*VLOOKUP($M161,Vloersoorten[],3,FALSE)*VLOOKUP($T161,Frequenties[],3,FALSE)*VLOOKUP($A161,Locaties[],3,FALSE),0)</f>
        <v>0</v>
      </c>
      <c r="W161" s="89">
        <f>Ruimtestaat[[#This Row],[Uitvoeringen werkdagen]]*Ruimtestaat[[#This Row],[Oppervlak (netto)]]</f>
        <v>0</v>
      </c>
      <c r="X161" s="90">
        <f>IF(V161&gt;0,Ruimtestaat[[#This Row],[Prest. (m2 /jaar) werkdagen]]/Ruimtestaat[[#This Row],[Norm (m2/uur) werkdagen]],0)</f>
        <v>0</v>
      </c>
      <c r="Y161" s="91">
        <f>Ruimtestaat[[#This Row],[uren / jaar werkdagen]]*Tariefsopbouw!$E$35</f>
        <v>0</v>
      </c>
      <c r="Z161" s="88"/>
      <c r="AA161" s="92">
        <f>IF(Ruimtestaat[[#This Row],[Frequentie weekend]]&gt;0,VALUE(LEFT(Z161,1))*S161,0)</f>
        <v>0</v>
      </c>
      <c r="AB161" s="88">
        <f>IF($AA161&gt;0,VLOOKUP($K161,Ruimtegroepen[],3,FALSE)*VLOOKUP($M161,Vloersoorten[],3,FALSE)*VLOOKUP($Z161,Frequenties[],3,FALSE)*VLOOKUP(#REF!,Locaties[],3,FALSE),0)</f>
        <v>0</v>
      </c>
      <c r="AC161" s="90">
        <f>Ruimtestaat[[#This Row],[Uitvoeringen weekend]]*Ruimtestaat[[#This Row],[Oppervlak (netto)]]</f>
        <v>0</v>
      </c>
      <c r="AD161" s="93">
        <f>IF(AC161&gt;0,Ruimtestaat[[#This Row],[Prest. (m2 /jaar) weekend]]/Ruimtestaat[[#This Row],[Norm (m2/uur) weekend]],0)</f>
        <v>0</v>
      </c>
      <c r="AE161" s="94">
        <f>Ruimtestaat[[#This Row],[uren / jaar weekend]]*Tariefsopbouw!$D$40</f>
        <v>0</v>
      </c>
      <c r="AF161" s="66">
        <f>Ruimtestaat[[#This Row],[Prest. (m2 /jaar) weekend]]+Ruimtestaat[[#This Row],[Prest. (m2 /jaar) werkdagen]]</f>
        <v>0</v>
      </c>
      <c r="AG161" s="66">
        <f>Ruimtestaat[[#This Row],[uren / jaar weekend]]+Ruimtestaat[[#This Row],[uren / jaar werkdagen]]</f>
        <v>0</v>
      </c>
      <c r="AH161" s="67">
        <f>Ruimtestaat[[#This Row],[kosten / jaar weekend]]+Ruimtestaat[[#This Row],[kosten / jaar werkdagen]]</f>
        <v>0</v>
      </c>
    </row>
    <row r="162" spans="1:34" ht="15" customHeight="1">
      <c r="A162" s="112">
        <v>2</v>
      </c>
      <c r="B162" s="23" t="str">
        <f>VLOOKUP(Ruimtestaat[[#This Row],[Code]],Locaties[#All],2,FALSE)</f>
        <v>RSG Slingerbos</v>
      </c>
      <c r="C162" s="23" t="str">
        <f>VLOOKUP(Ruimtestaat[[#This Row],[Code]],Locaties[#All],4,FALSE)</f>
        <v>Eisenhowerlaan 59</v>
      </c>
      <c r="D162" s="23" t="str">
        <f>VLOOKUP(Ruimtestaat[[#This Row],[Code]],Locaties[#All],5,FALSE)</f>
        <v>3844 AS</v>
      </c>
      <c r="E162" s="23" t="str">
        <f>VLOOKUP(Ruimtestaat[[#This Row],[Code]],Locaties[#All],6,FALSE)</f>
        <v>Harderwijk</v>
      </c>
      <c r="F162" s="23"/>
      <c r="G162" s="60" t="s">
        <v>858</v>
      </c>
      <c r="H162" s="23" t="s">
        <v>535</v>
      </c>
      <c r="I162" s="27" t="s">
        <v>707</v>
      </c>
      <c r="J162" s="3" t="s">
        <v>1019</v>
      </c>
      <c r="K162" s="23">
        <v>5</v>
      </c>
      <c r="L162" s="60" t="str">
        <f>VLOOKUP(K162,Ruimtegroepen[],2,FALSE)</f>
        <v>Sanitair</v>
      </c>
      <c r="M162" s="23" t="s">
        <v>113</v>
      </c>
      <c r="N162" s="23" t="s">
        <v>1091</v>
      </c>
      <c r="O162" s="86">
        <v>8.1</v>
      </c>
      <c r="P162" s="86"/>
      <c r="Q162" s="95" t="str">
        <f>LEFT(VLOOKUP(Ruimtestaat[[#This Row],[Ruimte code]],Ruimtegroepen[#All],4,1),2)</f>
        <v xml:space="preserve">S </v>
      </c>
      <c r="R162" s="95"/>
      <c r="S162" s="87">
        <v>40</v>
      </c>
      <c r="T162" s="87" t="s">
        <v>2</v>
      </c>
      <c r="U162" s="88">
        <f>IF(S162&gt;0,IF(RIGHT(Ruimtestaat[[#This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62" s="88">
        <f>IF(U162&gt;0,VLOOKUP($K162,Ruimtegroepen[],3,FALSE)*VLOOKUP($M162,Vloersoorten[],3,FALSE)*VLOOKUP($T162,Frequenties[],3,FALSE)*VLOOKUP($A162,Locaties[],3,FALSE),0)</f>
        <v>0</v>
      </c>
      <c r="W162" s="89">
        <f>Ruimtestaat[[#This Row],[Uitvoeringen werkdagen]]*Ruimtestaat[[#This Row],[Oppervlak (netto)]]</f>
        <v>1620</v>
      </c>
      <c r="X162" s="90">
        <f>IF(V162&gt;0,Ruimtestaat[[#This Row],[Prest. (m2 /jaar) werkdagen]]/Ruimtestaat[[#This Row],[Norm (m2/uur) werkdagen]],0)</f>
        <v>0</v>
      </c>
      <c r="Y162" s="91">
        <f>Ruimtestaat[[#This Row],[uren / jaar werkdagen]]*Tariefsopbouw!$E$35</f>
        <v>0</v>
      </c>
      <c r="Z162" s="88"/>
      <c r="AA162" s="92">
        <f>IF(Ruimtestaat[[#This Row],[Frequentie weekend]]&gt;0,VALUE(LEFT(Z162,1))*S162,0)</f>
        <v>0</v>
      </c>
      <c r="AB162" s="88">
        <f>IF($AA162&gt;0,VLOOKUP($K162,Ruimtegroepen[],3,FALSE)*VLOOKUP($M162,Vloersoorten[],3,FALSE)*VLOOKUP($Z162,Frequenties[],3,FALSE)*VLOOKUP(#REF!,Locaties[],3,FALSE),0)</f>
        <v>0</v>
      </c>
      <c r="AC162" s="90">
        <f>Ruimtestaat[[#This Row],[Uitvoeringen weekend]]*Ruimtestaat[[#This Row],[Oppervlak (netto)]]</f>
        <v>0</v>
      </c>
      <c r="AD162" s="93">
        <f>IF(AC162&gt;0,Ruimtestaat[[#This Row],[Prest. (m2 /jaar) weekend]]/Ruimtestaat[[#This Row],[Norm (m2/uur) weekend]],0)</f>
        <v>0</v>
      </c>
      <c r="AE162" s="94">
        <f>Ruimtestaat[[#This Row],[uren / jaar weekend]]*Tariefsopbouw!$D$40</f>
        <v>0</v>
      </c>
      <c r="AF162" s="66">
        <f>Ruimtestaat[[#This Row],[Prest. (m2 /jaar) weekend]]+Ruimtestaat[[#This Row],[Prest. (m2 /jaar) werkdagen]]</f>
        <v>1620</v>
      </c>
      <c r="AG162" s="66">
        <f>Ruimtestaat[[#This Row],[uren / jaar weekend]]+Ruimtestaat[[#This Row],[uren / jaar werkdagen]]</f>
        <v>0</v>
      </c>
      <c r="AH162" s="67">
        <f>Ruimtestaat[[#This Row],[kosten / jaar weekend]]+Ruimtestaat[[#This Row],[kosten / jaar werkdagen]]</f>
        <v>0</v>
      </c>
    </row>
    <row r="163" spans="1:34" ht="15" customHeight="1">
      <c r="A163" s="112">
        <v>2</v>
      </c>
      <c r="B163" s="23" t="str">
        <f>VLOOKUP(Ruimtestaat[[#This Row],[Code]],Locaties[#All],2,FALSE)</f>
        <v>RSG Slingerbos</v>
      </c>
      <c r="C163" s="23" t="str">
        <f>VLOOKUP(Ruimtestaat[[#This Row],[Code]],Locaties[#All],4,FALSE)</f>
        <v>Eisenhowerlaan 59</v>
      </c>
      <c r="D163" s="23" t="str">
        <f>VLOOKUP(Ruimtestaat[[#This Row],[Code]],Locaties[#All],5,FALSE)</f>
        <v>3844 AS</v>
      </c>
      <c r="E163" s="23" t="str">
        <f>VLOOKUP(Ruimtestaat[[#This Row],[Code]],Locaties[#All],6,FALSE)</f>
        <v>Harderwijk</v>
      </c>
      <c r="F163" s="23"/>
      <c r="G163" s="60" t="s">
        <v>859</v>
      </c>
      <c r="H163" s="23" t="s">
        <v>535</v>
      </c>
      <c r="I163" s="27" t="s">
        <v>707</v>
      </c>
      <c r="J163" s="3" t="s">
        <v>1018</v>
      </c>
      <c r="K163" s="23">
        <v>19</v>
      </c>
      <c r="L163" s="60" t="str">
        <f>VLOOKUP(K163,Ruimtegroepen[],2,FALSE)</f>
        <v>Kleedruimten</v>
      </c>
      <c r="M163" s="23" t="s">
        <v>113</v>
      </c>
      <c r="N163" s="23" t="s">
        <v>1091</v>
      </c>
      <c r="O163" s="86">
        <v>37.1</v>
      </c>
      <c r="P163" s="86"/>
      <c r="Q163" s="95" t="str">
        <f>LEFT(VLOOKUP(Ruimtestaat[[#This Row],[Ruimte code]],Ruimtegroepen[#All],4,1),2)</f>
        <v xml:space="preserve">V </v>
      </c>
      <c r="R163" s="95"/>
      <c r="S163" s="87">
        <v>40</v>
      </c>
      <c r="T163" s="87" t="s">
        <v>2</v>
      </c>
      <c r="U163" s="88">
        <f>IF(S163&gt;0,IF(RIGHT(Ruimtestaat[[#This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63" s="88">
        <f>IF(U163&gt;0,VLOOKUP($K163,Ruimtegroepen[],3,FALSE)*VLOOKUP($M163,Vloersoorten[],3,FALSE)*VLOOKUP($T163,Frequenties[],3,FALSE)*VLOOKUP($A163,Locaties[],3,FALSE),0)</f>
        <v>0</v>
      </c>
      <c r="W163" s="89">
        <f>Ruimtestaat[[#This Row],[Uitvoeringen werkdagen]]*Ruimtestaat[[#This Row],[Oppervlak (netto)]]</f>
        <v>7420</v>
      </c>
      <c r="X163" s="90">
        <f>IF(V163&gt;0,Ruimtestaat[[#This Row],[Prest. (m2 /jaar) werkdagen]]/Ruimtestaat[[#This Row],[Norm (m2/uur) werkdagen]],0)</f>
        <v>0</v>
      </c>
      <c r="Y163" s="91">
        <f>Ruimtestaat[[#This Row],[uren / jaar werkdagen]]*Tariefsopbouw!$E$35</f>
        <v>0</v>
      </c>
      <c r="Z163" s="88"/>
      <c r="AA163" s="92">
        <f>IF(Ruimtestaat[[#This Row],[Frequentie weekend]]&gt;0,VALUE(LEFT(Z163,1))*S163,0)</f>
        <v>0</v>
      </c>
      <c r="AB163" s="88">
        <f>IF($AA163&gt;0,VLOOKUP($K163,Ruimtegroepen[],3,FALSE)*VLOOKUP($M163,Vloersoorten[],3,FALSE)*VLOOKUP($Z163,Frequenties[],3,FALSE)*VLOOKUP(#REF!,Locaties[],3,FALSE),0)</f>
        <v>0</v>
      </c>
      <c r="AC163" s="90">
        <f>Ruimtestaat[[#This Row],[Uitvoeringen weekend]]*Ruimtestaat[[#This Row],[Oppervlak (netto)]]</f>
        <v>0</v>
      </c>
      <c r="AD163" s="93">
        <f>IF(AC163&gt;0,Ruimtestaat[[#This Row],[Prest. (m2 /jaar) weekend]]/Ruimtestaat[[#This Row],[Norm (m2/uur) weekend]],0)</f>
        <v>0</v>
      </c>
      <c r="AE163" s="94">
        <f>Ruimtestaat[[#This Row],[uren / jaar weekend]]*Tariefsopbouw!$D$40</f>
        <v>0</v>
      </c>
      <c r="AF163" s="66">
        <f>Ruimtestaat[[#This Row],[Prest. (m2 /jaar) weekend]]+Ruimtestaat[[#This Row],[Prest. (m2 /jaar) werkdagen]]</f>
        <v>7420</v>
      </c>
      <c r="AG163" s="66">
        <f>Ruimtestaat[[#This Row],[uren / jaar weekend]]+Ruimtestaat[[#This Row],[uren / jaar werkdagen]]</f>
        <v>0</v>
      </c>
      <c r="AH163" s="67">
        <f>Ruimtestaat[[#This Row],[kosten / jaar weekend]]+Ruimtestaat[[#This Row],[kosten / jaar werkdagen]]</f>
        <v>0</v>
      </c>
    </row>
    <row r="164" spans="1:34" ht="15" customHeight="1">
      <c r="A164" s="112">
        <v>2</v>
      </c>
      <c r="B164" s="23" t="str">
        <f>VLOOKUP(Ruimtestaat[[#This Row],[Code]],Locaties[#All],2,FALSE)</f>
        <v>RSG Slingerbos</v>
      </c>
      <c r="C164" s="23" t="str">
        <f>VLOOKUP(Ruimtestaat[[#This Row],[Code]],Locaties[#All],4,FALSE)</f>
        <v>Eisenhowerlaan 59</v>
      </c>
      <c r="D164" s="23" t="str">
        <f>VLOOKUP(Ruimtestaat[[#This Row],[Code]],Locaties[#All],5,FALSE)</f>
        <v>3844 AS</v>
      </c>
      <c r="E164" s="23" t="str">
        <f>VLOOKUP(Ruimtestaat[[#This Row],[Code]],Locaties[#All],6,FALSE)</f>
        <v>Harderwijk</v>
      </c>
      <c r="F164" s="23"/>
      <c r="G164" s="60" t="s">
        <v>860</v>
      </c>
      <c r="H164" s="23" t="s">
        <v>535</v>
      </c>
      <c r="I164" s="27" t="s">
        <v>708</v>
      </c>
      <c r="J164" s="3" t="s">
        <v>71</v>
      </c>
      <c r="K164" s="23">
        <v>17</v>
      </c>
      <c r="L164" s="60" t="str">
        <f>VLOOKUP(K164,Ruimtegroepen[],2,FALSE)</f>
        <v>Toestelberging</v>
      </c>
      <c r="M164" s="23" t="s">
        <v>114</v>
      </c>
      <c r="N164" s="23" t="s">
        <v>1089</v>
      </c>
      <c r="O164" s="86">
        <v>29.5</v>
      </c>
      <c r="P164" s="86"/>
      <c r="Q164" s="95" t="str">
        <f>LEFT(VLOOKUP(Ruimtestaat[[#This Row],[Ruimte code]],Ruimtegroepen[#All],4,1),2)</f>
        <v xml:space="preserve">V </v>
      </c>
      <c r="R164" s="95"/>
      <c r="S164" s="87">
        <v>40</v>
      </c>
      <c r="T164" s="87" t="s">
        <v>16</v>
      </c>
      <c r="U164" s="88">
        <f>IF(S164&gt;0,IF(RIGHT(Ruimtestaat[[#This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V164" s="88">
        <f>IF(U164&gt;0,VLOOKUP($K164,Ruimtegroepen[],3,FALSE)*VLOOKUP($M164,Vloersoorten[],3,FALSE)*VLOOKUP($T164,Frequenties[],3,FALSE)*VLOOKUP($A164,Locaties[],3,FALSE),0)</f>
        <v>0</v>
      </c>
      <c r="W164" s="89">
        <f>Ruimtestaat[[#This Row],[Uitvoeringen werkdagen]]*Ruimtestaat[[#This Row],[Oppervlak (netto)]]</f>
        <v>354</v>
      </c>
      <c r="X164" s="90">
        <f>IF(V164&gt;0,Ruimtestaat[[#This Row],[Prest. (m2 /jaar) werkdagen]]/Ruimtestaat[[#This Row],[Norm (m2/uur) werkdagen]],0)</f>
        <v>0</v>
      </c>
      <c r="Y164" s="91">
        <f>Ruimtestaat[[#This Row],[uren / jaar werkdagen]]*Tariefsopbouw!$E$35</f>
        <v>0</v>
      </c>
      <c r="Z164" s="88"/>
      <c r="AA164" s="92">
        <f>IF(Ruimtestaat[[#This Row],[Frequentie weekend]]&gt;0,VALUE(LEFT(Z164,1))*S164,0)</f>
        <v>0</v>
      </c>
      <c r="AB164" s="88">
        <f>IF($AA164&gt;0,VLOOKUP($K164,Ruimtegroepen[],3,FALSE)*VLOOKUP($M164,Vloersoorten[],3,FALSE)*VLOOKUP($Z164,Frequenties[],3,FALSE)*VLOOKUP(#REF!,Locaties[],3,FALSE),0)</f>
        <v>0</v>
      </c>
      <c r="AC164" s="90">
        <f>Ruimtestaat[[#This Row],[Uitvoeringen weekend]]*Ruimtestaat[[#This Row],[Oppervlak (netto)]]</f>
        <v>0</v>
      </c>
      <c r="AD164" s="93">
        <f>IF(AC164&gt;0,Ruimtestaat[[#This Row],[Prest. (m2 /jaar) weekend]]/Ruimtestaat[[#This Row],[Norm (m2/uur) weekend]],0)</f>
        <v>0</v>
      </c>
      <c r="AE164" s="94">
        <f>Ruimtestaat[[#This Row],[uren / jaar weekend]]*Tariefsopbouw!$D$40</f>
        <v>0</v>
      </c>
      <c r="AF164" s="66">
        <f>Ruimtestaat[[#This Row],[Prest. (m2 /jaar) weekend]]+Ruimtestaat[[#This Row],[Prest. (m2 /jaar) werkdagen]]</f>
        <v>354</v>
      </c>
      <c r="AG164" s="66">
        <f>Ruimtestaat[[#This Row],[uren / jaar weekend]]+Ruimtestaat[[#This Row],[uren / jaar werkdagen]]</f>
        <v>0</v>
      </c>
      <c r="AH164" s="67">
        <f>Ruimtestaat[[#This Row],[kosten / jaar weekend]]+Ruimtestaat[[#This Row],[kosten / jaar werkdagen]]</f>
        <v>0</v>
      </c>
    </row>
    <row r="165" spans="1:34" ht="15" customHeight="1">
      <c r="A165" s="112">
        <v>2</v>
      </c>
      <c r="B165" s="23" t="str">
        <f>VLOOKUP(Ruimtestaat[[#This Row],[Code]],Locaties[#All],2,FALSE)</f>
        <v>RSG Slingerbos</v>
      </c>
      <c r="C165" s="23" t="str">
        <f>VLOOKUP(Ruimtestaat[[#This Row],[Code]],Locaties[#All],4,FALSE)</f>
        <v>Eisenhowerlaan 59</v>
      </c>
      <c r="D165" s="23" t="str">
        <f>VLOOKUP(Ruimtestaat[[#This Row],[Code]],Locaties[#All],5,FALSE)</f>
        <v>3844 AS</v>
      </c>
      <c r="E165" s="23" t="str">
        <f>VLOOKUP(Ruimtestaat[[#This Row],[Code]],Locaties[#All],6,FALSE)</f>
        <v>Harderwijk</v>
      </c>
      <c r="F165" s="23"/>
      <c r="G165" s="60" t="s">
        <v>861</v>
      </c>
      <c r="H165" s="23" t="s">
        <v>535</v>
      </c>
      <c r="I165" s="27" t="s">
        <v>709</v>
      </c>
      <c r="J165" s="3" t="s">
        <v>1025</v>
      </c>
      <c r="K165" s="23">
        <v>6</v>
      </c>
      <c r="L165" s="60" t="str">
        <f>VLOOKUP(K165,Ruimtegroepen[],2,FALSE)</f>
        <v>Gangen/hallen</v>
      </c>
      <c r="M165" s="23" t="s">
        <v>112</v>
      </c>
      <c r="N165" s="23" t="s">
        <v>1090</v>
      </c>
      <c r="O165" s="86">
        <v>120.7</v>
      </c>
      <c r="P165" s="86"/>
      <c r="Q165" s="95" t="str">
        <f>LEFT(VLOOKUP(Ruimtestaat[[#This Row],[Ruimte code]],Ruimtegroepen[#All],4,1),2)</f>
        <v xml:space="preserve">V </v>
      </c>
      <c r="R165" s="95"/>
      <c r="S165" s="87">
        <v>40</v>
      </c>
      <c r="T165" s="87" t="s">
        <v>2</v>
      </c>
      <c r="U165" s="88">
        <f>IF(S165&gt;0,IF(RIGHT(Ruimtestaat[[#This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65" s="88">
        <f>IF(U165&gt;0,VLOOKUP($K165,Ruimtegroepen[],3,FALSE)*VLOOKUP($M165,Vloersoorten[],3,FALSE)*VLOOKUP($T165,Frequenties[],3,FALSE)*VLOOKUP($A165,Locaties[],3,FALSE),0)</f>
        <v>0</v>
      </c>
      <c r="W165" s="89">
        <f>Ruimtestaat[[#This Row],[Uitvoeringen werkdagen]]*Ruimtestaat[[#This Row],[Oppervlak (netto)]]</f>
        <v>24140</v>
      </c>
      <c r="X165" s="90">
        <f>IF(V165&gt;0,Ruimtestaat[[#This Row],[Prest. (m2 /jaar) werkdagen]]/Ruimtestaat[[#This Row],[Norm (m2/uur) werkdagen]],0)</f>
        <v>0</v>
      </c>
      <c r="Y165" s="91">
        <f>Ruimtestaat[[#This Row],[uren / jaar werkdagen]]*Tariefsopbouw!$E$35</f>
        <v>0</v>
      </c>
      <c r="Z165" s="88"/>
      <c r="AA165" s="92">
        <f>IF(Ruimtestaat[[#This Row],[Frequentie weekend]]&gt;0,VALUE(LEFT(Z165,1))*S165,0)</f>
        <v>0</v>
      </c>
      <c r="AB165" s="88">
        <f>IF($AA165&gt;0,VLOOKUP($K165,Ruimtegroepen[],3,FALSE)*VLOOKUP($M165,Vloersoorten[],3,FALSE)*VLOOKUP($Z165,Frequenties[],3,FALSE)*VLOOKUP(#REF!,Locaties[],3,FALSE),0)</f>
        <v>0</v>
      </c>
      <c r="AC165" s="90">
        <f>Ruimtestaat[[#This Row],[Uitvoeringen weekend]]*Ruimtestaat[[#This Row],[Oppervlak (netto)]]</f>
        <v>0</v>
      </c>
      <c r="AD165" s="93">
        <f>IF(AC165&gt;0,Ruimtestaat[[#This Row],[Prest. (m2 /jaar) weekend]]/Ruimtestaat[[#This Row],[Norm (m2/uur) weekend]],0)</f>
        <v>0</v>
      </c>
      <c r="AE165" s="94">
        <f>Ruimtestaat[[#This Row],[uren / jaar weekend]]*Tariefsopbouw!$D$40</f>
        <v>0</v>
      </c>
      <c r="AF165" s="66">
        <f>Ruimtestaat[[#This Row],[Prest. (m2 /jaar) weekend]]+Ruimtestaat[[#This Row],[Prest. (m2 /jaar) werkdagen]]</f>
        <v>24140</v>
      </c>
      <c r="AG165" s="66">
        <f>Ruimtestaat[[#This Row],[uren / jaar weekend]]+Ruimtestaat[[#This Row],[uren / jaar werkdagen]]</f>
        <v>0</v>
      </c>
      <c r="AH165" s="67">
        <f>Ruimtestaat[[#This Row],[kosten / jaar weekend]]+Ruimtestaat[[#This Row],[kosten / jaar werkdagen]]</f>
        <v>0</v>
      </c>
    </row>
    <row r="166" spans="1:34" ht="15" customHeight="1">
      <c r="A166" s="112">
        <v>2</v>
      </c>
      <c r="B166" s="23" t="str">
        <f>VLOOKUP(Ruimtestaat[[#This Row],[Code]],Locaties[#All],2,FALSE)</f>
        <v>RSG Slingerbos</v>
      </c>
      <c r="C166" s="23" t="str">
        <f>VLOOKUP(Ruimtestaat[[#This Row],[Code]],Locaties[#All],4,FALSE)</f>
        <v>Eisenhowerlaan 59</v>
      </c>
      <c r="D166" s="23" t="str">
        <f>VLOOKUP(Ruimtestaat[[#This Row],[Code]],Locaties[#All],5,FALSE)</f>
        <v>3844 AS</v>
      </c>
      <c r="E166" s="23" t="str">
        <f>VLOOKUP(Ruimtestaat[[#This Row],[Code]],Locaties[#All],6,FALSE)</f>
        <v>Harderwijk</v>
      </c>
      <c r="F166" s="23"/>
      <c r="G166" s="60" t="s">
        <v>862</v>
      </c>
      <c r="H166" s="23" t="s">
        <v>535</v>
      </c>
      <c r="I166" s="27" t="s">
        <v>710</v>
      </c>
      <c r="J166" s="3" t="s">
        <v>71</v>
      </c>
      <c r="K166" s="23">
        <v>17</v>
      </c>
      <c r="L166" s="60" t="str">
        <f>VLOOKUP(K166,Ruimtegroepen[],2,FALSE)</f>
        <v>Toestelberging</v>
      </c>
      <c r="M166" s="23" t="s">
        <v>114</v>
      </c>
      <c r="N166" s="23" t="s">
        <v>1089</v>
      </c>
      <c r="O166" s="86">
        <v>48.4</v>
      </c>
      <c r="P166" s="86"/>
      <c r="Q166" s="95" t="str">
        <f>LEFT(VLOOKUP(Ruimtestaat[[#This Row],[Ruimte code]],Ruimtegroepen[#All],4,1),2)</f>
        <v xml:space="preserve">V </v>
      </c>
      <c r="R166" s="95"/>
      <c r="S166" s="87">
        <v>40</v>
      </c>
      <c r="T166" s="87" t="s">
        <v>16</v>
      </c>
      <c r="U166" s="88">
        <f>IF(S166&gt;0,IF(RIGHT(Ruimtestaat[[#This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V166" s="88">
        <f>IF(U166&gt;0,VLOOKUP($K166,Ruimtegroepen[],3,FALSE)*VLOOKUP($M166,Vloersoorten[],3,FALSE)*VLOOKUP($T166,Frequenties[],3,FALSE)*VLOOKUP($A166,Locaties[],3,FALSE),0)</f>
        <v>0</v>
      </c>
      <c r="W166" s="89">
        <f>Ruimtestaat[[#This Row],[Uitvoeringen werkdagen]]*Ruimtestaat[[#This Row],[Oppervlak (netto)]]</f>
        <v>580.79999999999995</v>
      </c>
      <c r="X166" s="90">
        <f>IF(V166&gt;0,Ruimtestaat[[#This Row],[Prest. (m2 /jaar) werkdagen]]/Ruimtestaat[[#This Row],[Norm (m2/uur) werkdagen]],0)</f>
        <v>0</v>
      </c>
      <c r="Y166" s="91">
        <f>Ruimtestaat[[#This Row],[uren / jaar werkdagen]]*Tariefsopbouw!$E$35</f>
        <v>0</v>
      </c>
      <c r="Z166" s="88"/>
      <c r="AA166" s="92">
        <f>IF(Ruimtestaat[[#This Row],[Frequentie weekend]]&gt;0,VALUE(LEFT(Z166,1))*S166,0)</f>
        <v>0</v>
      </c>
      <c r="AB166" s="88">
        <f>IF($AA166&gt;0,VLOOKUP($K166,Ruimtegroepen[],3,FALSE)*VLOOKUP($M166,Vloersoorten[],3,FALSE)*VLOOKUP($Z166,Frequenties[],3,FALSE)*VLOOKUP(#REF!,Locaties[],3,FALSE),0)</f>
        <v>0</v>
      </c>
      <c r="AC166" s="90">
        <f>Ruimtestaat[[#This Row],[Uitvoeringen weekend]]*Ruimtestaat[[#This Row],[Oppervlak (netto)]]</f>
        <v>0</v>
      </c>
      <c r="AD166" s="93">
        <f>IF(AC166&gt;0,Ruimtestaat[[#This Row],[Prest. (m2 /jaar) weekend]]/Ruimtestaat[[#This Row],[Norm (m2/uur) weekend]],0)</f>
        <v>0</v>
      </c>
      <c r="AE166" s="94">
        <f>Ruimtestaat[[#This Row],[uren / jaar weekend]]*Tariefsopbouw!$D$40</f>
        <v>0</v>
      </c>
      <c r="AF166" s="66">
        <f>Ruimtestaat[[#This Row],[Prest. (m2 /jaar) weekend]]+Ruimtestaat[[#This Row],[Prest. (m2 /jaar) werkdagen]]</f>
        <v>580.79999999999995</v>
      </c>
      <c r="AG166" s="66">
        <f>Ruimtestaat[[#This Row],[uren / jaar weekend]]+Ruimtestaat[[#This Row],[uren / jaar werkdagen]]</f>
        <v>0</v>
      </c>
      <c r="AH166" s="67">
        <f>Ruimtestaat[[#This Row],[kosten / jaar weekend]]+Ruimtestaat[[#This Row],[kosten / jaar werkdagen]]</f>
        <v>0</v>
      </c>
    </row>
    <row r="167" spans="1:34" ht="15" customHeight="1">
      <c r="A167" s="112">
        <v>2</v>
      </c>
      <c r="B167" s="23" t="str">
        <f>VLOOKUP(Ruimtestaat[[#This Row],[Code]],Locaties[#All],2,FALSE)</f>
        <v>RSG Slingerbos</v>
      </c>
      <c r="C167" s="23" t="str">
        <f>VLOOKUP(Ruimtestaat[[#This Row],[Code]],Locaties[#All],4,FALSE)</f>
        <v>Eisenhowerlaan 59</v>
      </c>
      <c r="D167" s="23" t="str">
        <f>VLOOKUP(Ruimtestaat[[#This Row],[Code]],Locaties[#All],5,FALSE)</f>
        <v>3844 AS</v>
      </c>
      <c r="E167" s="23" t="str">
        <f>VLOOKUP(Ruimtestaat[[#This Row],[Code]],Locaties[#All],6,FALSE)</f>
        <v>Harderwijk</v>
      </c>
      <c r="F167" s="23"/>
      <c r="G167" s="60" t="s">
        <v>863</v>
      </c>
      <c r="H167" s="23" t="s">
        <v>535</v>
      </c>
      <c r="I167" s="27" t="s">
        <v>711</v>
      </c>
      <c r="J167" s="3" t="s">
        <v>1026</v>
      </c>
      <c r="K167" s="23">
        <v>12</v>
      </c>
      <c r="L167" s="60" t="str">
        <f>VLOOKUP(K167,Ruimtegroepen[],2,FALSE)</f>
        <v>Kantine</v>
      </c>
      <c r="M167" s="23" t="s">
        <v>112</v>
      </c>
      <c r="N167" s="23" t="s">
        <v>1090</v>
      </c>
      <c r="O167" s="86">
        <v>24.2</v>
      </c>
      <c r="P167" s="86"/>
      <c r="Q167" s="95" t="str">
        <f>LEFT(VLOOKUP(Ruimtestaat[[#This Row],[Ruimte code]],Ruimtegroepen[#All],4,1),2)</f>
        <v xml:space="preserve">V </v>
      </c>
      <c r="R167" s="95"/>
      <c r="S167" s="87">
        <v>40</v>
      </c>
      <c r="T167" s="87" t="s">
        <v>2</v>
      </c>
      <c r="U167" s="88">
        <f>IF(S167&gt;0,IF(RIGHT(Ruimtestaat[[#This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67" s="88">
        <f>IF(U167&gt;0,VLOOKUP($K167,Ruimtegroepen[],3,FALSE)*VLOOKUP($M167,Vloersoorten[],3,FALSE)*VLOOKUP($T167,Frequenties[],3,FALSE)*VLOOKUP($A167,Locaties[],3,FALSE),0)</f>
        <v>0</v>
      </c>
      <c r="W167" s="89">
        <f>Ruimtestaat[[#This Row],[Uitvoeringen werkdagen]]*Ruimtestaat[[#This Row],[Oppervlak (netto)]]</f>
        <v>4840</v>
      </c>
      <c r="X167" s="90">
        <f>IF(V167&gt;0,Ruimtestaat[[#This Row],[Prest. (m2 /jaar) werkdagen]]/Ruimtestaat[[#This Row],[Norm (m2/uur) werkdagen]],0)</f>
        <v>0</v>
      </c>
      <c r="Y167" s="91">
        <f>Ruimtestaat[[#This Row],[uren / jaar werkdagen]]*Tariefsopbouw!$E$35</f>
        <v>0</v>
      </c>
      <c r="Z167" s="88"/>
      <c r="AA167" s="92">
        <f>IF(Ruimtestaat[[#This Row],[Frequentie weekend]]&gt;0,VALUE(LEFT(Z167,1))*S167,0)</f>
        <v>0</v>
      </c>
      <c r="AB167" s="88">
        <f>IF($AA167&gt;0,VLOOKUP($K167,Ruimtegroepen[],3,FALSE)*VLOOKUP($M167,Vloersoorten[],3,FALSE)*VLOOKUP($Z167,Frequenties[],3,FALSE)*VLOOKUP(#REF!,Locaties[],3,FALSE),0)</f>
        <v>0</v>
      </c>
      <c r="AC167" s="90">
        <f>Ruimtestaat[[#This Row],[Uitvoeringen weekend]]*Ruimtestaat[[#This Row],[Oppervlak (netto)]]</f>
        <v>0</v>
      </c>
      <c r="AD167" s="93">
        <f>IF(AC167&gt;0,Ruimtestaat[[#This Row],[Prest. (m2 /jaar) weekend]]/Ruimtestaat[[#This Row],[Norm (m2/uur) weekend]],0)</f>
        <v>0</v>
      </c>
      <c r="AE167" s="94">
        <f>Ruimtestaat[[#This Row],[uren / jaar weekend]]*Tariefsopbouw!$D$40</f>
        <v>0</v>
      </c>
      <c r="AF167" s="66">
        <f>Ruimtestaat[[#This Row],[Prest. (m2 /jaar) weekend]]+Ruimtestaat[[#This Row],[Prest. (m2 /jaar) werkdagen]]</f>
        <v>4840</v>
      </c>
      <c r="AG167" s="66">
        <f>Ruimtestaat[[#This Row],[uren / jaar weekend]]+Ruimtestaat[[#This Row],[uren / jaar werkdagen]]</f>
        <v>0</v>
      </c>
      <c r="AH167" s="67">
        <f>Ruimtestaat[[#This Row],[kosten / jaar weekend]]+Ruimtestaat[[#This Row],[kosten / jaar werkdagen]]</f>
        <v>0</v>
      </c>
    </row>
    <row r="168" spans="1:34" ht="15" customHeight="1">
      <c r="A168" s="112">
        <v>2</v>
      </c>
      <c r="B168" s="23" t="str">
        <f>VLOOKUP(Ruimtestaat[[#This Row],[Code]],Locaties[#All],2,FALSE)</f>
        <v>RSG Slingerbos</v>
      </c>
      <c r="C168" s="23" t="str">
        <f>VLOOKUP(Ruimtestaat[[#This Row],[Code]],Locaties[#All],4,FALSE)</f>
        <v>Eisenhowerlaan 59</v>
      </c>
      <c r="D168" s="23" t="str">
        <f>VLOOKUP(Ruimtestaat[[#This Row],[Code]],Locaties[#All],5,FALSE)</f>
        <v>3844 AS</v>
      </c>
      <c r="E168" s="23" t="str">
        <f>VLOOKUP(Ruimtestaat[[#This Row],[Code]],Locaties[#All],6,FALSE)</f>
        <v>Harderwijk</v>
      </c>
      <c r="F168" s="23"/>
      <c r="G168" s="60" t="s">
        <v>864</v>
      </c>
      <c r="H168" s="23" t="s">
        <v>535</v>
      </c>
      <c r="I168" s="27" t="s">
        <v>712</v>
      </c>
      <c r="J168" s="3" t="s">
        <v>1027</v>
      </c>
      <c r="K168" s="23">
        <v>7</v>
      </c>
      <c r="L168" s="60" t="str">
        <f>VLOOKUP(K168,Ruimtegroepen[],2,FALSE)</f>
        <v>Entree</v>
      </c>
      <c r="M168" s="23" t="s">
        <v>112</v>
      </c>
      <c r="N168" s="23" t="s">
        <v>1090</v>
      </c>
      <c r="O168" s="86">
        <v>115.5</v>
      </c>
      <c r="P168" s="86"/>
      <c r="Q168" s="95" t="str">
        <f>LEFT(VLOOKUP(Ruimtestaat[[#This Row],[Ruimte code]],Ruimtegroepen[#All],4,1),2)</f>
        <v xml:space="preserve">V </v>
      </c>
      <c r="R168" s="95"/>
      <c r="S168" s="87">
        <v>40</v>
      </c>
      <c r="T168" s="87" t="s">
        <v>2</v>
      </c>
      <c r="U168" s="88">
        <f>IF(S168&gt;0,IF(RIGHT(Ruimtestaat[[#This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68" s="88">
        <f>IF(U168&gt;0,VLOOKUP($K168,Ruimtegroepen[],3,FALSE)*VLOOKUP($M168,Vloersoorten[],3,FALSE)*VLOOKUP($T168,Frequenties[],3,FALSE)*VLOOKUP($A168,Locaties[],3,FALSE),0)</f>
        <v>0</v>
      </c>
      <c r="W168" s="89">
        <f>Ruimtestaat[[#This Row],[Uitvoeringen werkdagen]]*Ruimtestaat[[#This Row],[Oppervlak (netto)]]</f>
        <v>23100</v>
      </c>
      <c r="X168" s="90">
        <f>IF(V168&gt;0,Ruimtestaat[[#This Row],[Prest. (m2 /jaar) werkdagen]]/Ruimtestaat[[#This Row],[Norm (m2/uur) werkdagen]],0)</f>
        <v>0</v>
      </c>
      <c r="Y168" s="91">
        <f>Ruimtestaat[[#This Row],[uren / jaar werkdagen]]*Tariefsopbouw!$E$35</f>
        <v>0</v>
      </c>
      <c r="Z168" s="88"/>
      <c r="AA168" s="92">
        <f>IF(Ruimtestaat[[#This Row],[Frequentie weekend]]&gt;0,VALUE(LEFT(Z168,1))*S168,0)</f>
        <v>0</v>
      </c>
      <c r="AB168" s="88">
        <f>IF($AA168&gt;0,VLOOKUP($K168,Ruimtegroepen[],3,FALSE)*VLOOKUP($M168,Vloersoorten[],3,FALSE)*VLOOKUP($Z168,Frequenties[],3,FALSE)*VLOOKUP(#REF!,Locaties[],3,FALSE),0)</f>
        <v>0</v>
      </c>
      <c r="AC168" s="90">
        <f>Ruimtestaat[[#This Row],[Uitvoeringen weekend]]*Ruimtestaat[[#This Row],[Oppervlak (netto)]]</f>
        <v>0</v>
      </c>
      <c r="AD168" s="93">
        <f>IF(AC168&gt;0,Ruimtestaat[[#This Row],[Prest. (m2 /jaar) weekend]]/Ruimtestaat[[#This Row],[Norm (m2/uur) weekend]],0)</f>
        <v>0</v>
      </c>
      <c r="AE168" s="94">
        <f>Ruimtestaat[[#This Row],[uren / jaar weekend]]*Tariefsopbouw!$D$40</f>
        <v>0</v>
      </c>
      <c r="AF168" s="66">
        <f>Ruimtestaat[[#This Row],[Prest. (m2 /jaar) weekend]]+Ruimtestaat[[#This Row],[Prest. (m2 /jaar) werkdagen]]</f>
        <v>23100</v>
      </c>
      <c r="AG168" s="66">
        <f>Ruimtestaat[[#This Row],[uren / jaar weekend]]+Ruimtestaat[[#This Row],[uren / jaar werkdagen]]</f>
        <v>0</v>
      </c>
      <c r="AH168" s="67">
        <f>Ruimtestaat[[#This Row],[kosten / jaar weekend]]+Ruimtestaat[[#This Row],[kosten / jaar werkdagen]]</f>
        <v>0</v>
      </c>
    </row>
    <row r="169" spans="1:34" ht="15" customHeight="1">
      <c r="A169" s="112">
        <v>2</v>
      </c>
      <c r="B169" s="23" t="str">
        <f>VLOOKUP(Ruimtestaat[[#This Row],[Code]],Locaties[#All],2,FALSE)</f>
        <v>RSG Slingerbos</v>
      </c>
      <c r="C169" s="23" t="str">
        <f>VLOOKUP(Ruimtestaat[[#This Row],[Code]],Locaties[#All],4,FALSE)</f>
        <v>Eisenhowerlaan 59</v>
      </c>
      <c r="D169" s="23" t="str">
        <f>VLOOKUP(Ruimtestaat[[#This Row],[Code]],Locaties[#All],5,FALSE)</f>
        <v>3844 AS</v>
      </c>
      <c r="E169" s="23" t="str">
        <f>VLOOKUP(Ruimtestaat[[#This Row],[Code]],Locaties[#All],6,FALSE)</f>
        <v>Harderwijk</v>
      </c>
      <c r="F169" s="23"/>
      <c r="G169" s="60" t="s">
        <v>865</v>
      </c>
      <c r="H169" s="23" t="s">
        <v>535</v>
      </c>
      <c r="I169" s="27" t="s">
        <v>713</v>
      </c>
      <c r="J169" s="3" t="s">
        <v>1017</v>
      </c>
      <c r="K169" s="23">
        <v>23</v>
      </c>
      <c r="L169" s="60" t="str">
        <f>VLOOKUP(K169,Ruimtegroepen[],2,FALSE)</f>
        <v>Niet in onderhoud</v>
      </c>
      <c r="M169" s="23" t="s">
        <v>113</v>
      </c>
      <c r="N169" s="23" t="s">
        <v>1092</v>
      </c>
      <c r="O169" s="86"/>
      <c r="P169" s="86">
        <v>19.399999999999999</v>
      </c>
      <c r="Q169" s="95" t="str">
        <f>LEFT(VLOOKUP(Ruimtestaat[[#This Row],[Ruimte code]],Ruimtegroepen[#All],4,1),2)</f>
        <v/>
      </c>
      <c r="R169" s="95"/>
      <c r="S169" s="87"/>
      <c r="T169" s="87"/>
      <c r="U169" s="88">
        <f>IF(S169&gt;0,IF(RIGHT(Ruimtestaat[[#This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169" s="88">
        <f>IF(U169&gt;0,VLOOKUP($K169,Ruimtegroepen[],3,FALSE)*VLOOKUP($M169,Vloersoorten[],3,FALSE)*VLOOKUP($T169,Frequenties[],3,FALSE)*VLOOKUP($A169,Locaties[],3,FALSE),0)</f>
        <v>0</v>
      </c>
      <c r="W169" s="89">
        <f>Ruimtestaat[[#This Row],[Uitvoeringen werkdagen]]*Ruimtestaat[[#This Row],[Oppervlak (netto)]]</f>
        <v>0</v>
      </c>
      <c r="X169" s="90">
        <f>IF(V169&gt;0,Ruimtestaat[[#This Row],[Prest. (m2 /jaar) werkdagen]]/Ruimtestaat[[#This Row],[Norm (m2/uur) werkdagen]],0)</f>
        <v>0</v>
      </c>
      <c r="Y169" s="91">
        <f>Ruimtestaat[[#This Row],[uren / jaar werkdagen]]*Tariefsopbouw!$E$35</f>
        <v>0</v>
      </c>
      <c r="Z169" s="88"/>
      <c r="AA169" s="92">
        <f>IF(Ruimtestaat[[#This Row],[Frequentie weekend]]&gt;0,VALUE(LEFT(Z169,1))*S169,0)</f>
        <v>0</v>
      </c>
      <c r="AB169" s="88">
        <f>IF($AA169&gt;0,VLOOKUP($K169,Ruimtegroepen[],3,FALSE)*VLOOKUP($M169,Vloersoorten[],3,FALSE)*VLOOKUP($Z169,Frequenties[],3,FALSE)*VLOOKUP(#REF!,Locaties[],3,FALSE),0)</f>
        <v>0</v>
      </c>
      <c r="AC169" s="90">
        <f>Ruimtestaat[[#This Row],[Uitvoeringen weekend]]*Ruimtestaat[[#This Row],[Oppervlak (netto)]]</f>
        <v>0</v>
      </c>
      <c r="AD169" s="93">
        <f>IF(AC169&gt;0,Ruimtestaat[[#This Row],[Prest. (m2 /jaar) weekend]]/Ruimtestaat[[#This Row],[Norm (m2/uur) weekend]],0)</f>
        <v>0</v>
      </c>
      <c r="AE169" s="94">
        <f>Ruimtestaat[[#This Row],[uren / jaar weekend]]*Tariefsopbouw!$D$40</f>
        <v>0</v>
      </c>
      <c r="AF169" s="66">
        <f>Ruimtestaat[[#This Row],[Prest. (m2 /jaar) weekend]]+Ruimtestaat[[#This Row],[Prest. (m2 /jaar) werkdagen]]</f>
        <v>0</v>
      </c>
      <c r="AG169" s="66">
        <f>Ruimtestaat[[#This Row],[uren / jaar weekend]]+Ruimtestaat[[#This Row],[uren / jaar werkdagen]]</f>
        <v>0</v>
      </c>
      <c r="AH169" s="67">
        <f>Ruimtestaat[[#This Row],[kosten / jaar weekend]]+Ruimtestaat[[#This Row],[kosten / jaar werkdagen]]</f>
        <v>0</v>
      </c>
    </row>
    <row r="170" spans="1:34" ht="15" customHeight="1">
      <c r="A170" s="112">
        <v>2</v>
      </c>
      <c r="B170" s="23" t="str">
        <f>VLOOKUP(Ruimtestaat[[#This Row],[Code]],Locaties[#All],2,FALSE)</f>
        <v>RSG Slingerbos</v>
      </c>
      <c r="C170" s="23" t="str">
        <f>VLOOKUP(Ruimtestaat[[#This Row],[Code]],Locaties[#All],4,FALSE)</f>
        <v>Eisenhowerlaan 59</v>
      </c>
      <c r="D170" s="23" t="str">
        <f>VLOOKUP(Ruimtestaat[[#This Row],[Code]],Locaties[#All],5,FALSE)</f>
        <v>3844 AS</v>
      </c>
      <c r="E170" s="23" t="str">
        <f>VLOOKUP(Ruimtestaat[[#This Row],[Code]],Locaties[#All],6,FALSE)</f>
        <v>Harderwijk</v>
      </c>
      <c r="F170" s="23"/>
      <c r="G170" s="60" t="s">
        <v>866</v>
      </c>
      <c r="H170" s="23" t="s">
        <v>535</v>
      </c>
      <c r="I170" s="27" t="s">
        <v>714</v>
      </c>
      <c r="J170" s="3" t="s">
        <v>1018</v>
      </c>
      <c r="K170" s="23">
        <v>19</v>
      </c>
      <c r="L170" s="60" t="str">
        <f>VLOOKUP(K170,Ruimtegroepen[],2,FALSE)</f>
        <v>Kleedruimten</v>
      </c>
      <c r="M170" s="23" t="s">
        <v>113</v>
      </c>
      <c r="N170" s="23" t="s">
        <v>1091</v>
      </c>
      <c r="O170" s="86">
        <v>30.9</v>
      </c>
      <c r="P170" s="86"/>
      <c r="Q170" s="95" t="str">
        <f>LEFT(VLOOKUP(Ruimtestaat[[#This Row],[Ruimte code]],Ruimtegroepen[#All],4,1),2)</f>
        <v xml:space="preserve">V </v>
      </c>
      <c r="R170" s="95"/>
      <c r="S170" s="87">
        <v>40</v>
      </c>
      <c r="T170" s="87" t="s">
        <v>2</v>
      </c>
      <c r="U170" s="88">
        <f>IF(S170&gt;0,IF(RIGHT(Ruimtestaat[[#This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70" s="88">
        <f>IF(U170&gt;0,VLOOKUP($K170,Ruimtegroepen[],3,FALSE)*VLOOKUP($M170,Vloersoorten[],3,FALSE)*VLOOKUP($T170,Frequenties[],3,FALSE)*VLOOKUP($A170,Locaties[],3,FALSE),0)</f>
        <v>0</v>
      </c>
      <c r="W170" s="89">
        <f>Ruimtestaat[[#This Row],[Uitvoeringen werkdagen]]*Ruimtestaat[[#This Row],[Oppervlak (netto)]]</f>
        <v>6180</v>
      </c>
      <c r="X170" s="90">
        <f>IF(V170&gt;0,Ruimtestaat[[#This Row],[Prest. (m2 /jaar) werkdagen]]/Ruimtestaat[[#This Row],[Norm (m2/uur) werkdagen]],0)</f>
        <v>0</v>
      </c>
      <c r="Y170" s="91">
        <f>Ruimtestaat[[#This Row],[uren / jaar werkdagen]]*Tariefsopbouw!$E$35</f>
        <v>0</v>
      </c>
      <c r="Z170" s="88"/>
      <c r="AA170" s="92">
        <f>IF(Ruimtestaat[[#This Row],[Frequentie weekend]]&gt;0,VALUE(LEFT(Z170,1))*S170,0)</f>
        <v>0</v>
      </c>
      <c r="AB170" s="88">
        <f>IF($AA170&gt;0,VLOOKUP($K170,Ruimtegroepen[],3,FALSE)*VLOOKUP($M170,Vloersoorten[],3,FALSE)*VLOOKUP($Z170,Frequenties[],3,FALSE)*VLOOKUP(#REF!,Locaties[],3,FALSE),0)</f>
        <v>0</v>
      </c>
      <c r="AC170" s="90">
        <f>Ruimtestaat[[#This Row],[Uitvoeringen weekend]]*Ruimtestaat[[#This Row],[Oppervlak (netto)]]</f>
        <v>0</v>
      </c>
      <c r="AD170" s="93">
        <f>IF(AC170&gt;0,Ruimtestaat[[#This Row],[Prest. (m2 /jaar) weekend]]/Ruimtestaat[[#This Row],[Norm (m2/uur) weekend]],0)</f>
        <v>0</v>
      </c>
      <c r="AE170" s="94">
        <f>Ruimtestaat[[#This Row],[uren / jaar weekend]]*Tariefsopbouw!$D$40</f>
        <v>0</v>
      </c>
      <c r="AF170" s="66">
        <f>Ruimtestaat[[#This Row],[Prest. (m2 /jaar) weekend]]+Ruimtestaat[[#This Row],[Prest. (m2 /jaar) werkdagen]]</f>
        <v>6180</v>
      </c>
      <c r="AG170" s="66">
        <f>Ruimtestaat[[#This Row],[uren / jaar weekend]]+Ruimtestaat[[#This Row],[uren / jaar werkdagen]]</f>
        <v>0</v>
      </c>
      <c r="AH170" s="67">
        <f>Ruimtestaat[[#This Row],[kosten / jaar weekend]]+Ruimtestaat[[#This Row],[kosten / jaar werkdagen]]</f>
        <v>0</v>
      </c>
    </row>
    <row r="171" spans="1:34" ht="15" customHeight="1">
      <c r="A171" s="112">
        <v>2</v>
      </c>
      <c r="B171" s="23" t="str">
        <f>VLOOKUP(Ruimtestaat[[#This Row],[Code]],Locaties[#All],2,FALSE)</f>
        <v>RSG Slingerbos</v>
      </c>
      <c r="C171" s="23" t="str">
        <f>VLOOKUP(Ruimtestaat[[#This Row],[Code]],Locaties[#All],4,FALSE)</f>
        <v>Eisenhowerlaan 59</v>
      </c>
      <c r="D171" s="23" t="str">
        <f>VLOOKUP(Ruimtestaat[[#This Row],[Code]],Locaties[#All],5,FALSE)</f>
        <v>3844 AS</v>
      </c>
      <c r="E171" s="23" t="str">
        <f>VLOOKUP(Ruimtestaat[[#This Row],[Code]],Locaties[#All],6,FALSE)</f>
        <v>Harderwijk</v>
      </c>
      <c r="F171" s="23"/>
      <c r="G171" s="60" t="s">
        <v>867</v>
      </c>
      <c r="H171" s="23" t="s">
        <v>535</v>
      </c>
      <c r="I171" s="27" t="s">
        <v>714</v>
      </c>
      <c r="J171" s="3" t="s">
        <v>1019</v>
      </c>
      <c r="K171" s="23">
        <v>5</v>
      </c>
      <c r="L171" s="60" t="str">
        <f>VLOOKUP(K171,Ruimtegroepen[],2,FALSE)</f>
        <v>Sanitair</v>
      </c>
      <c r="M171" s="23" t="s">
        <v>113</v>
      </c>
      <c r="N171" s="23" t="s">
        <v>1091</v>
      </c>
      <c r="O171" s="86">
        <v>15.5</v>
      </c>
      <c r="P171" s="86"/>
      <c r="Q171" s="95" t="str">
        <f>LEFT(VLOOKUP(Ruimtestaat[[#This Row],[Ruimte code]],Ruimtegroepen[#All],4,1),2)</f>
        <v xml:space="preserve">S </v>
      </c>
      <c r="R171" s="95"/>
      <c r="S171" s="87">
        <v>40</v>
      </c>
      <c r="T171" s="87" t="s">
        <v>2</v>
      </c>
      <c r="U171" s="88">
        <f>IF(S171&gt;0,IF(RIGHT(Ruimtestaat[[#This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71" s="88">
        <f>IF(U171&gt;0,VLOOKUP($K171,Ruimtegroepen[],3,FALSE)*VLOOKUP($M171,Vloersoorten[],3,FALSE)*VLOOKUP($T171,Frequenties[],3,FALSE)*VLOOKUP($A171,Locaties[],3,FALSE),0)</f>
        <v>0</v>
      </c>
      <c r="W171" s="89">
        <f>Ruimtestaat[[#This Row],[Uitvoeringen werkdagen]]*Ruimtestaat[[#This Row],[Oppervlak (netto)]]</f>
        <v>3100</v>
      </c>
      <c r="X171" s="90">
        <f>IF(V171&gt;0,Ruimtestaat[[#This Row],[Prest. (m2 /jaar) werkdagen]]/Ruimtestaat[[#This Row],[Norm (m2/uur) werkdagen]],0)</f>
        <v>0</v>
      </c>
      <c r="Y171" s="91">
        <f>Ruimtestaat[[#This Row],[uren / jaar werkdagen]]*Tariefsopbouw!$E$35</f>
        <v>0</v>
      </c>
      <c r="Z171" s="88"/>
      <c r="AA171" s="92">
        <f>IF(Ruimtestaat[[#This Row],[Frequentie weekend]]&gt;0,VALUE(LEFT(Z171,1))*S171,0)</f>
        <v>0</v>
      </c>
      <c r="AB171" s="88">
        <f>IF($AA171&gt;0,VLOOKUP($K171,Ruimtegroepen[],3,FALSE)*VLOOKUP($M171,Vloersoorten[],3,FALSE)*VLOOKUP($Z171,Frequenties[],3,FALSE)*VLOOKUP(#REF!,Locaties[],3,FALSE),0)</f>
        <v>0</v>
      </c>
      <c r="AC171" s="90">
        <f>Ruimtestaat[[#This Row],[Uitvoeringen weekend]]*Ruimtestaat[[#This Row],[Oppervlak (netto)]]</f>
        <v>0</v>
      </c>
      <c r="AD171" s="93">
        <f>IF(AC171&gt;0,Ruimtestaat[[#This Row],[Prest. (m2 /jaar) weekend]]/Ruimtestaat[[#This Row],[Norm (m2/uur) weekend]],0)</f>
        <v>0</v>
      </c>
      <c r="AE171" s="94">
        <f>Ruimtestaat[[#This Row],[uren / jaar weekend]]*Tariefsopbouw!$D$40</f>
        <v>0</v>
      </c>
      <c r="AF171" s="66">
        <f>Ruimtestaat[[#This Row],[Prest. (m2 /jaar) weekend]]+Ruimtestaat[[#This Row],[Prest. (m2 /jaar) werkdagen]]</f>
        <v>3100</v>
      </c>
      <c r="AG171" s="66">
        <f>Ruimtestaat[[#This Row],[uren / jaar weekend]]+Ruimtestaat[[#This Row],[uren / jaar werkdagen]]</f>
        <v>0</v>
      </c>
      <c r="AH171" s="67">
        <f>Ruimtestaat[[#This Row],[kosten / jaar weekend]]+Ruimtestaat[[#This Row],[kosten / jaar werkdagen]]</f>
        <v>0</v>
      </c>
    </row>
    <row r="172" spans="1:34" ht="15" customHeight="1">
      <c r="A172" s="112">
        <v>2</v>
      </c>
      <c r="B172" s="23" t="str">
        <f>VLOOKUP(Ruimtestaat[[#This Row],[Code]],Locaties[#All],2,FALSE)</f>
        <v>RSG Slingerbos</v>
      </c>
      <c r="C172" s="23" t="str">
        <f>VLOOKUP(Ruimtestaat[[#This Row],[Code]],Locaties[#All],4,FALSE)</f>
        <v>Eisenhowerlaan 59</v>
      </c>
      <c r="D172" s="23" t="str">
        <f>VLOOKUP(Ruimtestaat[[#This Row],[Code]],Locaties[#All],5,FALSE)</f>
        <v>3844 AS</v>
      </c>
      <c r="E172" s="23" t="str">
        <f>VLOOKUP(Ruimtestaat[[#This Row],[Code]],Locaties[#All],6,FALSE)</f>
        <v>Harderwijk</v>
      </c>
      <c r="F172" s="23"/>
      <c r="G172" s="60" t="s">
        <v>868</v>
      </c>
      <c r="H172" s="23" t="s">
        <v>535</v>
      </c>
      <c r="I172" s="27" t="s">
        <v>715</v>
      </c>
      <c r="J172" s="3" t="s">
        <v>1028</v>
      </c>
      <c r="K172" s="23">
        <v>5</v>
      </c>
      <c r="L172" s="60" t="str">
        <f>VLOOKUP(K172,Ruimtegroepen[],2,FALSE)</f>
        <v>Sanitair</v>
      </c>
      <c r="M172" s="23" t="s">
        <v>113</v>
      </c>
      <c r="N172" s="23" t="s">
        <v>1091</v>
      </c>
      <c r="O172" s="86">
        <v>8.1</v>
      </c>
      <c r="P172" s="86"/>
      <c r="Q172" s="95" t="str">
        <f>LEFT(VLOOKUP(Ruimtestaat[[#This Row],[Ruimte code]],Ruimtegroepen[#All],4,1),2)</f>
        <v xml:space="preserve">S </v>
      </c>
      <c r="R172" s="95"/>
      <c r="S172" s="87">
        <v>40</v>
      </c>
      <c r="T172" s="87" t="s">
        <v>2</v>
      </c>
      <c r="U172" s="88">
        <f>IF(S172&gt;0,IF(RIGHT(Ruimtestaat[[#This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72" s="88">
        <f>IF(U172&gt;0,VLOOKUP($K172,Ruimtegroepen[],3,FALSE)*VLOOKUP($M172,Vloersoorten[],3,FALSE)*VLOOKUP($T172,Frequenties[],3,FALSE)*VLOOKUP($A172,Locaties[],3,FALSE),0)</f>
        <v>0</v>
      </c>
      <c r="W172" s="89">
        <f>Ruimtestaat[[#This Row],[Uitvoeringen werkdagen]]*Ruimtestaat[[#This Row],[Oppervlak (netto)]]</f>
        <v>1620</v>
      </c>
      <c r="X172" s="90">
        <f>IF(V172&gt;0,Ruimtestaat[[#This Row],[Prest. (m2 /jaar) werkdagen]]/Ruimtestaat[[#This Row],[Norm (m2/uur) werkdagen]],0)</f>
        <v>0</v>
      </c>
      <c r="Y172" s="91">
        <f>Ruimtestaat[[#This Row],[uren / jaar werkdagen]]*Tariefsopbouw!$E$35</f>
        <v>0</v>
      </c>
      <c r="Z172" s="88"/>
      <c r="AA172" s="92">
        <f>IF(Ruimtestaat[[#This Row],[Frequentie weekend]]&gt;0,VALUE(LEFT(Z172,1))*S172,0)</f>
        <v>0</v>
      </c>
      <c r="AB172" s="88">
        <f>IF($AA172&gt;0,VLOOKUP($K172,Ruimtegroepen[],3,FALSE)*VLOOKUP($M172,Vloersoorten[],3,FALSE)*VLOOKUP($Z172,Frequenties[],3,FALSE)*VLOOKUP(#REF!,Locaties[],3,FALSE),0)</f>
        <v>0</v>
      </c>
      <c r="AC172" s="90">
        <f>Ruimtestaat[[#This Row],[Uitvoeringen weekend]]*Ruimtestaat[[#This Row],[Oppervlak (netto)]]</f>
        <v>0</v>
      </c>
      <c r="AD172" s="93">
        <f>IF(AC172&gt;0,Ruimtestaat[[#This Row],[Prest. (m2 /jaar) weekend]]/Ruimtestaat[[#This Row],[Norm (m2/uur) weekend]],0)</f>
        <v>0</v>
      </c>
      <c r="AE172" s="94">
        <f>Ruimtestaat[[#This Row],[uren / jaar weekend]]*Tariefsopbouw!$D$40</f>
        <v>0</v>
      </c>
      <c r="AF172" s="66">
        <f>Ruimtestaat[[#This Row],[Prest. (m2 /jaar) weekend]]+Ruimtestaat[[#This Row],[Prest. (m2 /jaar) werkdagen]]</f>
        <v>1620</v>
      </c>
      <c r="AG172" s="66">
        <f>Ruimtestaat[[#This Row],[uren / jaar weekend]]+Ruimtestaat[[#This Row],[uren / jaar werkdagen]]</f>
        <v>0</v>
      </c>
      <c r="AH172" s="67">
        <f>Ruimtestaat[[#This Row],[kosten / jaar weekend]]+Ruimtestaat[[#This Row],[kosten / jaar werkdagen]]</f>
        <v>0</v>
      </c>
    </row>
    <row r="173" spans="1:34" ht="15" customHeight="1">
      <c r="A173" s="112">
        <v>2</v>
      </c>
      <c r="B173" s="23" t="str">
        <f>VLOOKUP(Ruimtestaat[[#This Row],[Code]],Locaties[#All],2,FALSE)</f>
        <v>RSG Slingerbos</v>
      </c>
      <c r="C173" s="23" t="str">
        <f>VLOOKUP(Ruimtestaat[[#This Row],[Code]],Locaties[#All],4,FALSE)</f>
        <v>Eisenhowerlaan 59</v>
      </c>
      <c r="D173" s="23" t="str">
        <f>VLOOKUP(Ruimtestaat[[#This Row],[Code]],Locaties[#All],5,FALSE)</f>
        <v>3844 AS</v>
      </c>
      <c r="E173" s="23" t="str">
        <f>VLOOKUP(Ruimtestaat[[#This Row],[Code]],Locaties[#All],6,FALSE)</f>
        <v>Harderwijk</v>
      </c>
      <c r="F173" s="23"/>
      <c r="G173" s="60" t="s">
        <v>869</v>
      </c>
      <c r="H173" s="23" t="s">
        <v>535</v>
      </c>
      <c r="I173" s="23" t="s">
        <v>716</v>
      </c>
      <c r="J173" s="3" t="s">
        <v>1029</v>
      </c>
      <c r="K173" s="23">
        <v>5</v>
      </c>
      <c r="L173" s="60" t="str">
        <f>VLOOKUP(K173,Ruimtegroepen[],2,FALSE)</f>
        <v>Sanitair</v>
      </c>
      <c r="M173" s="23" t="s">
        <v>113</v>
      </c>
      <c r="N173" s="23" t="s">
        <v>1091</v>
      </c>
      <c r="O173" s="86">
        <v>7.1</v>
      </c>
      <c r="P173" s="86"/>
      <c r="Q173" s="95" t="str">
        <f>LEFT(VLOOKUP(Ruimtestaat[[#This Row],[Ruimte code]],Ruimtegroepen[#All],4,1),2)</f>
        <v xml:space="preserve">S </v>
      </c>
      <c r="R173" s="95"/>
      <c r="S173" s="87">
        <v>40</v>
      </c>
      <c r="T173" s="87" t="s">
        <v>2</v>
      </c>
      <c r="U173" s="88">
        <f>IF(S173&gt;0,IF(RIGHT(Ruimtestaat[[#This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73" s="88">
        <f>IF(U173&gt;0,VLOOKUP($K173,Ruimtegroepen[],3,FALSE)*VLOOKUP($M173,Vloersoorten[],3,FALSE)*VLOOKUP($T173,Frequenties[],3,FALSE)*VLOOKUP($A173,Locaties[],3,FALSE),0)</f>
        <v>0</v>
      </c>
      <c r="W173" s="89">
        <f>Ruimtestaat[[#This Row],[Uitvoeringen werkdagen]]*Ruimtestaat[[#This Row],[Oppervlak (netto)]]</f>
        <v>1420</v>
      </c>
      <c r="X173" s="90">
        <f>IF(V173&gt;0,Ruimtestaat[[#This Row],[Prest. (m2 /jaar) werkdagen]]/Ruimtestaat[[#This Row],[Norm (m2/uur) werkdagen]],0)</f>
        <v>0</v>
      </c>
      <c r="Y173" s="91">
        <f>Ruimtestaat[[#This Row],[uren / jaar werkdagen]]*Tariefsopbouw!$E$35</f>
        <v>0</v>
      </c>
      <c r="Z173" s="88"/>
      <c r="AA173" s="92">
        <f>IF(Ruimtestaat[[#This Row],[Frequentie weekend]]&gt;0,VALUE(LEFT(Z173,1))*S173,0)</f>
        <v>0</v>
      </c>
      <c r="AB173" s="88">
        <f>IF($AA173&gt;0,VLOOKUP($K173,Ruimtegroepen[],3,FALSE)*VLOOKUP($M173,Vloersoorten[],3,FALSE)*VLOOKUP($Z173,Frequenties[],3,FALSE)*VLOOKUP(#REF!,Locaties[],3,FALSE),0)</f>
        <v>0</v>
      </c>
      <c r="AC173" s="90">
        <f>Ruimtestaat[[#This Row],[Uitvoeringen weekend]]*Ruimtestaat[[#This Row],[Oppervlak (netto)]]</f>
        <v>0</v>
      </c>
      <c r="AD173" s="93">
        <f>IF(AC173&gt;0,Ruimtestaat[[#This Row],[Prest. (m2 /jaar) weekend]]/Ruimtestaat[[#This Row],[Norm (m2/uur) weekend]],0)</f>
        <v>0</v>
      </c>
      <c r="AE173" s="94">
        <f>Ruimtestaat[[#This Row],[uren / jaar weekend]]*Tariefsopbouw!$D$40</f>
        <v>0</v>
      </c>
      <c r="AF173" s="66">
        <f>Ruimtestaat[[#This Row],[Prest. (m2 /jaar) weekend]]+Ruimtestaat[[#This Row],[Prest. (m2 /jaar) werkdagen]]</f>
        <v>1420</v>
      </c>
      <c r="AG173" s="66">
        <f>Ruimtestaat[[#This Row],[uren / jaar weekend]]+Ruimtestaat[[#This Row],[uren / jaar werkdagen]]</f>
        <v>0</v>
      </c>
      <c r="AH173" s="67">
        <f>Ruimtestaat[[#This Row],[kosten / jaar weekend]]+Ruimtestaat[[#This Row],[kosten / jaar werkdagen]]</f>
        <v>0</v>
      </c>
    </row>
    <row r="174" spans="1:34" ht="15" customHeight="1">
      <c r="A174" s="112">
        <v>2</v>
      </c>
      <c r="B174" s="23" t="str">
        <f>VLOOKUP(Ruimtestaat[[#This Row],[Code]],Locaties[#All],2,FALSE)</f>
        <v>RSG Slingerbos</v>
      </c>
      <c r="C174" s="23" t="str">
        <f>VLOOKUP(Ruimtestaat[[#This Row],[Code]],Locaties[#All],4,FALSE)</f>
        <v>Eisenhowerlaan 59</v>
      </c>
      <c r="D174" s="23" t="str">
        <f>VLOOKUP(Ruimtestaat[[#This Row],[Code]],Locaties[#All],5,FALSE)</f>
        <v>3844 AS</v>
      </c>
      <c r="E174" s="23" t="str">
        <f>VLOOKUP(Ruimtestaat[[#This Row],[Code]],Locaties[#All],6,FALSE)</f>
        <v>Harderwijk</v>
      </c>
      <c r="F174" s="23"/>
      <c r="G174" s="60" t="s">
        <v>870</v>
      </c>
      <c r="H174" s="23" t="s">
        <v>535</v>
      </c>
      <c r="I174" s="23" t="s">
        <v>717</v>
      </c>
      <c r="J174" s="3" t="s">
        <v>1030</v>
      </c>
      <c r="K174" s="23">
        <v>2</v>
      </c>
      <c r="L174" s="60" t="str">
        <f>VLOOKUP(K174,Ruimtegroepen[],2,FALSE)</f>
        <v>Kantoren</v>
      </c>
      <c r="M174" s="23" t="s">
        <v>112</v>
      </c>
      <c r="N174" s="23" t="s">
        <v>1090</v>
      </c>
      <c r="O174" s="86">
        <v>92.4</v>
      </c>
      <c r="P174" s="86"/>
      <c r="Q174" s="95" t="str">
        <f>LEFT(VLOOKUP(Ruimtestaat[[#This Row],[Ruimte code]],Ruimtegroepen[#All],4,1),2)</f>
        <v xml:space="preserve">B </v>
      </c>
      <c r="R174" s="95"/>
      <c r="S174" s="87">
        <v>40</v>
      </c>
      <c r="T174" s="87" t="s">
        <v>17</v>
      </c>
      <c r="U174" s="88">
        <f>IF(S174&gt;0,IF(RIGHT(Ruimtestaat[[#This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174" s="88">
        <f>IF(U174&gt;0,VLOOKUP($K174,Ruimtegroepen[],3,FALSE)*VLOOKUP($M174,Vloersoorten[],3,FALSE)*VLOOKUP($T174,Frequenties[],3,FALSE)*VLOOKUP($A174,Locaties[],3,FALSE),0)</f>
        <v>0</v>
      </c>
      <c r="W174" s="89">
        <f>Ruimtestaat[[#This Row],[Uitvoeringen werkdagen]]*Ruimtestaat[[#This Row],[Oppervlak (netto)]]</f>
        <v>7392</v>
      </c>
      <c r="X174" s="90">
        <f>IF(V174&gt;0,Ruimtestaat[[#This Row],[Prest. (m2 /jaar) werkdagen]]/Ruimtestaat[[#This Row],[Norm (m2/uur) werkdagen]],0)</f>
        <v>0</v>
      </c>
      <c r="Y174" s="91">
        <f>Ruimtestaat[[#This Row],[uren / jaar werkdagen]]*Tariefsopbouw!$E$35</f>
        <v>0</v>
      </c>
      <c r="Z174" s="88"/>
      <c r="AA174" s="92">
        <f>IF(Ruimtestaat[[#This Row],[Frequentie weekend]]&gt;0,VALUE(LEFT(Z174,1))*S174,0)</f>
        <v>0</v>
      </c>
      <c r="AB174" s="88">
        <f>IF($AA174&gt;0,VLOOKUP($K174,Ruimtegroepen[],3,FALSE)*VLOOKUP($M174,Vloersoorten[],3,FALSE)*VLOOKUP($Z174,Frequenties[],3,FALSE)*VLOOKUP(#REF!,Locaties[],3,FALSE),0)</f>
        <v>0</v>
      </c>
      <c r="AC174" s="90">
        <f>Ruimtestaat[[#This Row],[Uitvoeringen weekend]]*Ruimtestaat[[#This Row],[Oppervlak (netto)]]</f>
        <v>0</v>
      </c>
      <c r="AD174" s="93">
        <f>IF(AC174&gt;0,Ruimtestaat[[#This Row],[Prest. (m2 /jaar) weekend]]/Ruimtestaat[[#This Row],[Norm (m2/uur) weekend]],0)</f>
        <v>0</v>
      </c>
      <c r="AE174" s="94">
        <f>Ruimtestaat[[#This Row],[uren / jaar weekend]]*Tariefsopbouw!$D$40</f>
        <v>0</v>
      </c>
      <c r="AF174" s="66">
        <f>Ruimtestaat[[#This Row],[Prest. (m2 /jaar) weekend]]+Ruimtestaat[[#This Row],[Prest. (m2 /jaar) werkdagen]]</f>
        <v>7392</v>
      </c>
      <c r="AG174" s="66">
        <f>Ruimtestaat[[#This Row],[uren / jaar weekend]]+Ruimtestaat[[#This Row],[uren / jaar werkdagen]]</f>
        <v>0</v>
      </c>
      <c r="AH174" s="67">
        <f>Ruimtestaat[[#This Row],[kosten / jaar weekend]]+Ruimtestaat[[#This Row],[kosten / jaar werkdagen]]</f>
        <v>0</v>
      </c>
    </row>
    <row r="175" spans="1:34" ht="15" customHeight="1">
      <c r="A175" s="112">
        <v>2</v>
      </c>
      <c r="B175" s="23" t="str">
        <f>VLOOKUP(Ruimtestaat[[#This Row],[Code]],Locaties[#All],2,FALSE)</f>
        <v>RSG Slingerbos</v>
      </c>
      <c r="C175" s="23" t="str">
        <f>VLOOKUP(Ruimtestaat[[#This Row],[Code]],Locaties[#All],4,FALSE)</f>
        <v>Eisenhowerlaan 59</v>
      </c>
      <c r="D175" s="23" t="str">
        <f>VLOOKUP(Ruimtestaat[[#This Row],[Code]],Locaties[#All],5,FALSE)</f>
        <v>3844 AS</v>
      </c>
      <c r="E175" s="23" t="str">
        <f>VLOOKUP(Ruimtestaat[[#This Row],[Code]],Locaties[#All],6,FALSE)</f>
        <v>Harderwijk</v>
      </c>
      <c r="F175" s="23"/>
      <c r="G175" s="60" t="s">
        <v>871</v>
      </c>
      <c r="H175" s="23" t="s">
        <v>535</v>
      </c>
      <c r="I175" s="23" t="s">
        <v>718</v>
      </c>
      <c r="J175" s="3" t="s">
        <v>1031</v>
      </c>
      <c r="K175" s="23">
        <v>23</v>
      </c>
      <c r="L175" s="60" t="str">
        <f>VLOOKUP(K175,Ruimtegroepen[],2,FALSE)</f>
        <v>Niet in onderhoud</v>
      </c>
      <c r="M175" s="23" t="s">
        <v>112</v>
      </c>
      <c r="N175" s="23" t="s">
        <v>1090</v>
      </c>
      <c r="O175" s="86"/>
      <c r="P175" s="86">
        <v>23</v>
      </c>
      <c r="Q175" s="95" t="str">
        <f>LEFT(VLOOKUP(Ruimtestaat[[#This Row],[Ruimte code]],Ruimtegroepen[#All],4,1),2)</f>
        <v/>
      </c>
      <c r="R175" s="95"/>
      <c r="S175" s="87"/>
      <c r="T175" s="87"/>
      <c r="U175" s="88">
        <f>IF(S175&gt;0,IF(RIGHT(Ruimtestaat[[#This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175" s="88">
        <f>IF(U175&gt;0,VLOOKUP($K175,Ruimtegroepen[],3,FALSE)*VLOOKUP($M175,Vloersoorten[],3,FALSE)*VLOOKUP($T175,Frequenties[],3,FALSE)*VLOOKUP($A175,Locaties[],3,FALSE),0)</f>
        <v>0</v>
      </c>
      <c r="W175" s="89">
        <f>Ruimtestaat[[#This Row],[Uitvoeringen werkdagen]]*Ruimtestaat[[#This Row],[Oppervlak (netto)]]</f>
        <v>0</v>
      </c>
      <c r="X175" s="90">
        <f>IF(V175&gt;0,Ruimtestaat[[#This Row],[Prest. (m2 /jaar) werkdagen]]/Ruimtestaat[[#This Row],[Norm (m2/uur) werkdagen]],0)</f>
        <v>0</v>
      </c>
      <c r="Y175" s="91">
        <f>Ruimtestaat[[#This Row],[uren / jaar werkdagen]]*Tariefsopbouw!$E$35</f>
        <v>0</v>
      </c>
      <c r="Z175" s="88"/>
      <c r="AA175" s="92">
        <f>IF(Ruimtestaat[[#This Row],[Frequentie weekend]]&gt;0,VALUE(LEFT(Z175,1))*S175,0)</f>
        <v>0</v>
      </c>
      <c r="AB175" s="88">
        <f>IF($AA175&gt;0,VLOOKUP($K175,Ruimtegroepen[],3,FALSE)*VLOOKUP($M175,Vloersoorten[],3,FALSE)*VLOOKUP($Z175,Frequenties[],3,FALSE)*VLOOKUP(#REF!,Locaties[],3,FALSE),0)</f>
        <v>0</v>
      </c>
      <c r="AC175" s="90">
        <f>Ruimtestaat[[#This Row],[Uitvoeringen weekend]]*Ruimtestaat[[#This Row],[Oppervlak (netto)]]</f>
        <v>0</v>
      </c>
      <c r="AD175" s="93">
        <f>IF(AC175&gt;0,Ruimtestaat[[#This Row],[Prest. (m2 /jaar) weekend]]/Ruimtestaat[[#This Row],[Norm (m2/uur) weekend]],0)</f>
        <v>0</v>
      </c>
      <c r="AE175" s="94">
        <f>Ruimtestaat[[#This Row],[uren / jaar weekend]]*Tariefsopbouw!$D$40</f>
        <v>0</v>
      </c>
      <c r="AF175" s="66">
        <f>Ruimtestaat[[#This Row],[Prest. (m2 /jaar) weekend]]+Ruimtestaat[[#This Row],[Prest. (m2 /jaar) werkdagen]]</f>
        <v>0</v>
      </c>
      <c r="AG175" s="66">
        <f>Ruimtestaat[[#This Row],[uren / jaar weekend]]+Ruimtestaat[[#This Row],[uren / jaar werkdagen]]</f>
        <v>0</v>
      </c>
      <c r="AH175" s="67">
        <f>Ruimtestaat[[#This Row],[kosten / jaar weekend]]+Ruimtestaat[[#This Row],[kosten / jaar werkdagen]]</f>
        <v>0</v>
      </c>
    </row>
    <row r="176" spans="1:34" ht="15" customHeight="1">
      <c r="A176" s="112">
        <v>2</v>
      </c>
      <c r="B176" s="23" t="str">
        <f>VLOOKUP(Ruimtestaat[[#This Row],[Code]],Locaties[#All],2,FALSE)</f>
        <v>RSG Slingerbos</v>
      </c>
      <c r="C176" s="23" t="str">
        <f>VLOOKUP(Ruimtestaat[[#This Row],[Code]],Locaties[#All],4,FALSE)</f>
        <v>Eisenhowerlaan 59</v>
      </c>
      <c r="D176" s="23" t="str">
        <f>VLOOKUP(Ruimtestaat[[#This Row],[Code]],Locaties[#All],5,FALSE)</f>
        <v>3844 AS</v>
      </c>
      <c r="E176" s="23" t="str">
        <f>VLOOKUP(Ruimtestaat[[#This Row],[Code]],Locaties[#All],6,FALSE)</f>
        <v>Harderwijk</v>
      </c>
      <c r="F176" s="23"/>
      <c r="G176" s="60" t="s">
        <v>872</v>
      </c>
      <c r="H176" s="23" t="s">
        <v>535</v>
      </c>
      <c r="I176" s="23" t="s">
        <v>719</v>
      </c>
      <c r="J176" s="3" t="s">
        <v>648</v>
      </c>
      <c r="K176" s="23">
        <v>3</v>
      </c>
      <c r="L176" s="60" t="str">
        <f>VLOOKUP(K176,Ruimtegroepen[],2,FALSE)</f>
        <v>Reproruimte</v>
      </c>
      <c r="M176" s="23" t="s">
        <v>112</v>
      </c>
      <c r="N176" s="23" t="s">
        <v>1090</v>
      </c>
      <c r="O176" s="86">
        <v>13.4</v>
      </c>
      <c r="P176" s="86"/>
      <c r="Q176" s="95" t="str">
        <f>LEFT(VLOOKUP(Ruimtestaat[[#This Row],[Ruimte code]],Ruimtegroepen[#All],4,1),2)</f>
        <v xml:space="preserve">V </v>
      </c>
      <c r="R176" s="95"/>
      <c r="S176" s="87">
        <v>40</v>
      </c>
      <c r="T176" s="87" t="s">
        <v>17</v>
      </c>
      <c r="U176" s="88">
        <f>IF(S176&gt;0,IF(RIGHT(Ruimtestaat[[#This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176" s="88">
        <f>IF(U176&gt;0,VLOOKUP($K176,Ruimtegroepen[],3,FALSE)*VLOOKUP($M176,Vloersoorten[],3,FALSE)*VLOOKUP($T176,Frequenties[],3,FALSE)*VLOOKUP($A176,Locaties[],3,FALSE),0)</f>
        <v>0</v>
      </c>
      <c r="W176" s="89">
        <f>Ruimtestaat[[#This Row],[Uitvoeringen werkdagen]]*Ruimtestaat[[#This Row],[Oppervlak (netto)]]</f>
        <v>1072</v>
      </c>
      <c r="X176" s="90">
        <f>IF(V176&gt;0,Ruimtestaat[[#This Row],[Prest. (m2 /jaar) werkdagen]]/Ruimtestaat[[#This Row],[Norm (m2/uur) werkdagen]],0)</f>
        <v>0</v>
      </c>
      <c r="Y176" s="91">
        <f>Ruimtestaat[[#This Row],[uren / jaar werkdagen]]*Tariefsopbouw!$E$35</f>
        <v>0</v>
      </c>
      <c r="Z176" s="88"/>
      <c r="AA176" s="92">
        <f>IF(Ruimtestaat[[#This Row],[Frequentie weekend]]&gt;0,VALUE(LEFT(Z176,1))*S176,0)</f>
        <v>0</v>
      </c>
      <c r="AB176" s="88">
        <f>IF($AA176&gt;0,VLOOKUP($K176,Ruimtegroepen[],3,FALSE)*VLOOKUP($M176,Vloersoorten[],3,FALSE)*VLOOKUP($Z176,Frequenties[],3,FALSE)*VLOOKUP(#REF!,Locaties[],3,FALSE),0)</f>
        <v>0</v>
      </c>
      <c r="AC176" s="90">
        <f>Ruimtestaat[[#This Row],[Uitvoeringen weekend]]*Ruimtestaat[[#This Row],[Oppervlak (netto)]]</f>
        <v>0</v>
      </c>
      <c r="AD176" s="93">
        <f>IF(AC176&gt;0,Ruimtestaat[[#This Row],[Prest. (m2 /jaar) weekend]]/Ruimtestaat[[#This Row],[Norm (m2/uur) weekend]],0)</f>
        <v>0</v>
      </c>
      <c r="AE176" s="94">
        <f>Ruimtestaat[[#This Row],[uren / jaar weekend]]*Tariefsopbouw!$D$40</f>
        <v>0</v>
      </c>
      <c r="AF176" s="66">
        <f>Ruimtestaat[[#This Row],[Prest. (m2 /jaar) weekend]]+Ruimtestaat[[#This Row],[Prest. (m2 /jaar) werkdagen]]</f>
        <v>1072</v>
      </c>
      <c r="AG176" s="66">
        <f>Ruimtestaat[[#This Row],[uren / jaar weekend]]+Ruimtestaat[[#This Row],[uren / jaar werkdagen]]</f>
        <v>0</v>
      </c>
      <c r="AH176" s="67">
        <f>Ruimtestaat[[#This Row],[kosten / jaar weekend]]+Ruimtestaat[[#This Row],[kosten / jaar werkdagen]]</f>
        <v>0</v>
      </c>
    </row>
    <row r="177" spans="1:34" ht="15" customHeight="1">
      <c r="A177" s="112">
        <v>2</v>
      </c>
      <c r="B177" s="23" t="str">
        <f>VLOOKUP(Ruimtestaat[[#This Row],[Code]],Locaties[#All],2,FALSE)</f>
        <v>RSG Slingerbos</v>
      </c>
      <c r="C177" s="23" t="str">
        <f>VLOOKUP(Ruimtestaat[[#This Row],[Code]],Locaties[#All],4,FALSE)</f>
        <v>Eisenhowerlaan 59</v>
      </c>
      <c r="D177" s="23" t="str">
        <f>VLOOKUP(Ruimtestaat[[#This Row],[Code]],Locaties[#All],5,FALSE)</f>
        <v>3844 AS</v>
      </c>
      <c r="E177" s="23" t="str">
        <f>VLOOKUP(Ruimtestaat[[#This Row],[Code]],Locaties[#All],6,FALSE)</f>
        <v>Harderwijk</v>
      </c>
      <c r="F177" s="23"/>
      <c r="G177" s="60" t="s">
        <v>873</v>
      </c>
      <c r="H177" s="23" t="s">
        <v>535</v>
      </c>
      <c r="I177" s="23" t="s">
        <v>719</v>
      </c>
      <c r="J177" s="3" t="s">
        <v>1032</v>
      </c>
      <c r="K177" s="23">
        <v>2</v>
      </c>
      <c r="L177" s="60" t="str">
        <f>VLOOKUP(K177,Ruimtegroepen[],2,FALSE)</f>
        <v>Kantoren</v>
      </c>
      <c r="M177" s="23" t="s">
        <v>112</v>
      </c>
      <c r="N177" s="23" t="s">
        <v>1090</v>
      </c>
      <c r="O177" s="86">
        <v>15.2</v>
      </c>
      <c r="P177" s="86"/>
      <c r="Q177" s="95" t="str">
        <f>LEFT(VLOOKUP(Ruimtestaat[[#This Row],[Ruimte code]],Ruimtegroepen[#All],4,1),2)</f>
        <v xml:space="preserve">B </v>
      </c>
      <c r="R177" s="95"/>
      <c r="S177" s="87">
        <v>40</v>
      </c>
      <c r="T177" s="87" t="s">
        <v>17</v>
      </c>
      <c r="U177" s="88">
        <f>IF(S177&gt;0,IF(RIGHT(Ruimtestaat[[#This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177" s="88">
        <f>IF(U177&gt;0,VLOOKUP($K177,Ruimtegroepen[],3,FALSE)*VLOOKUP($M177,Vloersoorten[],3,FALSE)*VLOOKUP($T177,Frequenties[],3,FALSE)*VLOOKUP($A177,Locaties[],3,FALSE),0)</f>
        <v>0</v>
      </c>
      <c r="W177" s="89">
        <f>Ruimtestaat[[#This Row],[Uitvoeringen werkdagen]]*Ruimtestaat[[#This Row],[Oppervlak (netto)]]</f>
        <v>1216</v>
      </c>
      <c r="X177" s="90">
        <f>IF(V177&gt;0,Ruimtestaat[[#This Row],[Prest. (m2 /jaar) werkdagen]]/Ruimtestaat[[#This Row],[Norm (m2/uur) werkdagen]],0)</f>
        <v>0</v>
      </c>
      <c r="Y177" s="91">
        <f>Ruimtestaat[[#This Row],[uren / jaar werkdagen]]*Tariefsopbouw!$E$35</f>
        <v>0</v>
      </c>
      <c r="Z177" s="88"/>
      <c r="AA177" s="92">
        <f>IF(Ruimtestaat[[#This Row],[Frequentie weekend]]&gt;0,VALUE(LEFT(Z177,1))*S177,0)</f>
        <v>0</v>
      </c>
      <c r="AB177" s="88">
        <f>IF($AA177&gt;0,VLOOKUP($K177,Ruimtegroepen[],3,FALSE)*VLOOKUP($M177,Vloersoorten[],3,FALSE)*VLOOKUP($Z177,Frequenties[],3,FALSE)*VLOOKUP(#REF!,Locaties[],3,FALSE),0)</f>
        <v>0</v>
      </c>
      <c r="AC177" s="90">
        <f>Ruimtestaat[[#This Row],[Uitvoeringen weekend]]*Ruimtestaat[[#This Row],[Oppervlak (netto)]]</f>
        <v>0</v>
      </c>
      <c r="AD177" s="93">
        <f>IF(AC177&gt;0,Ruimtestaat[[#This Row],[Prest. (m2 /jaar) weekend]]/Ruimtestaat[[#This Row],[Norm (m2/uur) weekend]],0)</f>
        <v>0</v>
      </c>
      <c r="AE177" s="94">
        <f>Ruimtestaat[[#This Row],[uren / jaar weekend]]*Tariefsopbouw!$D$40</f>
        <v>0</v>
      </c>
      <c r="AF177" s="66">
        <f>Ruimtestaat[[#This Row],[Prest. (m2 /jaar) weekend]]+Ruimtestaat[[#This Row],[Prest. (m2 /jaar) werkdagen]]</f>
        <v>1216</v>
      </c>
      <c r="AG177" s="66">
        <f>Ruimtestaat[[#This Row],[uren / jaar weekend]]+Ruimtestaat[[#This Row],[uren / jaar werkdagen]]</f>
        <v>0</v>
      </c>
      <c r="AH177" s="67">
        <f>Ruimtestaat[[#This Row],[kosten / jaar weekend]]+Ruimtestaat[[#This Row],[kosten / jaar werkdagen]]</f>
        <v>0</v>
      </c>
    </row>
    <row r="178" spans="1:34" ht="15" customHeight="1">
      <c r="A178" s="112">
        <v>2</v>
      </c>
      <c r="B178" s="23" t="str">
        <f>VLOOKUP(Ruimtestaat[[#This Row],[Code]],Locaties[#All],2,FALSE)</f>
        <v>RSG Slingerbos</v>
      </c>
      <c r="C178" s="23" t="str">
        <f>VLOOKUP(Ruimtestaat[[#This Row],[Code]],Locaties[#All],4,FALSE)</f>
        <v>Eisenhowerlaan 59</v>
      </c>
      <c r="D178" s="23" t="str">
        <f>VLOOKUP(Ruimtestaat[[#This Row],[Code]],Locaties[#All],5,FALSE)</f>
        <v>3844 AS</v>
      </c>
      <c r="E178" s="23" t="str">
        <f>VLOOKUP(Ruimtestaat[[#This Row],[Code]],Locaties[#All],6,FALSE)</f>
        <v>Harderwijk</v>
      </c>
      <c r="F178" s="23"/>
      <c r="G178" s="60" t="s">
        <v>874</v>
      </c>
      <c r="H178" s="23" t="s">
        <v>535</v>
      </c>
      <c r="I178" s="23" t="s">
        <v>720</v>
      </c>
      <c r="J178" s="3" t="s">
        <v>1033</v>
      </c>
      <c r="K178" s="23">
        <v>1</v>
      </c>
      <c r="L178" s="60" t="str">
        <f>VLOOKUP(K178,Ruimtegroepen[],2,FALSE)</f>
        <v>Magazijnen/bergingen</v>
      </c>
      <c r="M178" s="23" t="s">
        <v>112</v>
      </c>
      <c r="N178" s="23" t="s">
        <v>1090</v>
      </c>
      <c r="O178" s="86">
        <v>6.9</v>
      </c>
      <c r="P178" s="86"/>
      <c r="Q178" s="95" t="str">
        <f>LEFT(VLOOKUP(Ruimtestaat[[#This Row],[Ruimte code]],Ruimtegroepen[#All],4,1),2)</f>
        <v xml:space="preserve">V </v>
      </c>
      <c r="R178" s="95"/>
      <c r="S178" s="87">
        <v>40</v>
      </c>
      <c r="T178" s="87" t="s">
        <v>16</v>
      </c>
      <c r="U178" s="88">
        <f>IF(S178&gt;0,IF(RIGHT(Ruimtestaat[[#This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V178" s="88">
        <f>IF(U178&gt;0,VLOOKUP($K178,Ruimtegroepen[],3,FALSE)*VLOOKUP($M178,Vloersoorten[],3,FALSE)*VLOOKUP($T178,Frequenties[],3,FALSE)*VLOOKUP($A178,Locaties[],3,FALSE),0)</f>
        <v>0</v>
      </c>
      <c r="W178" s="89">
        <f>Ruimtestaat[[#This Row],[Uitvoeringen werkdagen]]*Ruimtestaat[[#This Row],[Oppervlak (netto)]]</f>
        <v>82.800000000000011</v>
      </c>
      <c r="X178" s="90">
        <f>IF(V178&gt;0,Ruimtestaat[[#This Row],[Prest. (m2 /jaar) werkdagen]]/Ruimtestaat[[#This Row],[Norm (m2/uur) werkdagen]],0)</f>
        <v>0</v>
      </c>
      <c r="Y178" s="91">
        <f>Ruimtestaat[[#This Row],[uren / jaar werkdagen]]*Tariefsopbouw!$E$35</f>
        <v>0</v>
      </c>
      <c r="Z178" s="88"/>
      <c r="AA178" s="92">
        <f>IF(Ruimtestaat[[#This Row],[Frequentie weekend]]&gt;0,VALUE(LEFT(Z178,1))*S178,0)</f>
        <v>0</v>
      </c>
      <c r="AB178" s="88">
        <f>IF($AA178&gt;0,VLOOKUP($K178,Ruimtegroepen[],3,FALSE)*VLOOKUP($M178,Vloersoorten[],3,FALSE)*VLOOKUP($Z178,Frequenties[],3,FALSE)*VLOOKUP(#REF!,Locaties[],3,FALSE),0)</f>
        <v>0</v>
      </c>
      <c r="AC178" s="90">
        <f>Ruimtestaat[[#This Row],[Uitvoeringen weekend]]*Ruimtestaat[[#This Row],[Oppervlak (netto)]]</f>
        <v>0</v>
      </c>
      <c r="AD178" s="93">
        <f>IF(AC178&gt;0,Ruimtestaat[[#This Row],[Prest. (m2 /jaar) weekend]]/Ruimtestaat[[#This Row],[Norm (m2/uur) weekend]],0)</f>
        <v>0</v>
      </c>
      <c r="AE178" s="94">
        <f>Ruimtestaat[[#This Row],[uren / jaar weekend]]*Tariefsopbouw!$D$40</f>
        <v>0</v>
      </c>
      <c r="AF178" s="66">
        <f>Ruimtestaat[[#This Row],[Prest. (m2 /jaar) weekend]]+Ruimtestaat[[#This Row],[Prest. (m2 /jaar) werkdagen]]</f>
        <v>82.800000000000011</v>
      </c>
      <c r="AG178" s="66">
        <f>Ruimtestaat[[#This Row],[uren / jaar weekend]]+Ruimtestaat[[#This Row],[uren / jaar werkdagen]]</f>
        <v>0</v>
      </c>
      <c r="AH178" s="67">
        <f>Ruimtestaat[[#This Row],[kosten / jaar weekend]]+Ruimtestaat[[#This Row],[kosten / jaar werkdagen]]</f>
        <v>0</v>
      </c>
    </row>
    <row r="179" spans="1:34" ht="15" customHeight="1">
      <c r="A179" s="112">
        <v>2</v>
      </c>
      <c r="B179" s="23" t="str">
        <f>VLOOKUP(Ruimtestaat[[#This Row],[Code]],Locaties[#All],2,FALSE)</f>
        <v>RSG Slingerbos</v>
      </c>
      <c r="C179" s="23" t="str">
        <f>VLOOKUP(Ruimtestaat[[#This Row],[Code]],Locaties[#All],4,FALSE)</f>
        <v>Eisenhowerlaan 59</v>
      </c>
      <c r="D179" s="23" t="str">
        <f>VLOOKUP(Ruimtestaat[[#This Row],[Code]],Locaties[#All],5,FALSE)</f>
        <v>3844 AS</v>
      </c>
      <c r="E179" s="23" t="str">
        <f>VLOOKUP(Ruimtestaat[[#This Row],[Code]],Locaties[#All],6,FALSE)</f>
        <v>Harderwijk</v>
      </c>
      <c r="F179" s="23"/>
      <c r="G179" s="60" t="s">
        <v>875</v>
      </c>
      <c r="H179" s="23" t="s">
        <v>535</v>
      </c>
      <c r="I179" s="23" t="s">
        <v>721</v>
      </c>
      <c r="J179" s="3" t="s">
        <v>264</v>
      </c>
      <c r="K179" s="23">
        <v>10</v>
      </c>
      <c r="L179" s="60" t="str">
        <f>VLOOKUP(K179,Ruimtegroepen[],2,FALSE)</f>
        <v>Trappenhuizen/lift</v>
      </c>
      <c r="M179" s="23" t="s">
        <v>112</v>
      </c>
      <c r="N179" s="23" t="s">
        <v>1090</v>
      </c>
      <c r="O179" s="86">
        <v>2.5</v>
      </c>
      <c r="P179" s="86"/>
      <c r="Q179" s="95" t="str">
        <f>LEFT(VLOOKUP(Ruimtestaat[[#This Row],[Ruimte code]],Ruimtegroepen[#All],4,1),2)</f>
        <v xml:space="preserve">V </v>
      </c>
      <c r="R179" s="95"/>
      <c r="S179" s="87">
        <v>40</v>
      </c>
      <c r="T179" s="87" t="s">
        <v>2</v>
      </c>
      <c r="U179" s="88">
        <f>IF(S179&gt;0,IF(RIGHT(Ruimtestaat[[#This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79" s="88">
        <f>IF(U179&gt;0,VLOOKUP($K179,Ruimtegroepen[],3,FALSE)*VLOOKUP($M179,Vloersoorten[],3,FALSE)*VLOOKUP($T179,Frequenties[],3,FALSE)*VLOOKUP($A179,Locaties[],3,FALSE),0)</f>
        <v>0</v>
      </c>
      <c r="W179" s="89">
        <f>Ruimtestaat[[#This Row],[Uitvoeringen werkdagen]]*Ruimtestaat[[#This Row],[Oppervlak (netto)]]</f>
        <v>500</v>
      </c>
      <c r="X179" s="90">
        <f>IF(V179&gt;0,Ruimtestaat[[#This Row],[Prest. (m2 /jaar) werkdagen]]/Ruimtestaat[[#This Row],[Norm (m2/uur) werkdagen]],0)</f>
        <v>0</v>
      </c>
      <c r="Y179" s="91">
        <f>Ruimtestaat[[#This Row],[uren / jaar werkdagen]]*Tariefsopbouw!$E$35</f>
        <v>0</v>
      </c>
      <c r="Z179" s="88"/>
      <c r="AA179" s="92">
        <f>IF(Ruimtestaat[[#This Row],[Frequentie weekend]]&gt;0,VALUE(LEFT(Z179,1))*S179,0)</f>
        <v>0</v>
      </c>
      <c r="AB179" s="88">
        <f>IF($AA179&gt;0,VLOOKUP($K179,Ruimtegroepen[],3,FALSE)*VLOOKUP($M179,Vloersoorten[],3,FALSE)*VLOOKUP($Z179,Frequenties[],3,FALSE)*VLOOKUP(#REF!,Locaties[],3,FALSE),0)</f>
        <v>0</v>
      </c>
      <c r="AC179" s="90">
        <f>Ruimtestaat[[#This Row],[Uitvoeringen weekend]]*Ruimtestaat[[#This Row],[Oppervlak (netto)]]</f>
        <v>0</v>
      </c>
      <c r="AD179" s="93">
        <f>IF(AC179&gt;0,Ruimtestaat[[#This Row],[Prest. (m2 /jaar) weekend]]/Ruimtestaat[[#This Row],[Norm (m2/uur) weekend]],0)</f>
        <v>0</v>
      </c>
      <c r="AE179" s="94">
        <f>Ruimtestaat[[#This Row],[uren / jaar weekend]]*Tariefsopbouw!$D$40</f>
        <v>0</v>
      </c>
      <c r="AF179" s="66">
        <f>Ruimtestaat[[#This Row],[Prest. (m2 /jaar) weekend]]+Ruimtestaat[[#This Row],[Prest. (m2 /jaar) werkdagen]]</f>
        <v>500</v>
      </c>
      <c r="AG179" s="66">
        <f>Ruimtestaat[[#This Row],[uren / jaar weekend]]+Ruimtestaat[[#This Row],[uren / jaar werkdagen]]</f>
        <v>0</v>
      </c>
      <c r="AH179" s="67">
        <f>Ruimtestaat[[#This Row],[kosten / jaar weekend]]+Ruimtestaat[[#This Row],[kosten / jaar werkdagen]]</f>
        <v>0</v>
      </c>
    </row>
    <row r="180" spans="1:34" ht="15" customHeight="1">
      <c r="A180" s="112">
        <v>2</v>
      </c>
      <c r="B180" s="23" t="str">
        <f>VLOOKUP(Ruimtestaat[[#This Row],[Code]],Locaties[#All],2,FALSE)</f>
        <v>RSG Slingerbos</v>
      </c>
      <c r="C180" s="23" t="str">
        <f>VLOOKUP(Ruimtestaat[[#This Row],[Code]],Locaties[#All],4,FALSE)</f>
        <v>Eisenhowerlaan 59</v>
      </c>
      <c r="D180" s="23" t="str">
        <f>VLOOKUP(Ruimtestaat[[#This Row],[Code]],Locaties[#All],5,FALSE)</f>
        <v>3844 AS</v>
      </c>
      <c r="E180" s="23" t="str">
        <f>VLOOKUP(Ruimtestaat[[#This Row],[Code]],Locaties[#All],6,FALSE)</f>
        <v>Harderwijk</v>
      </c>
      <c r="F180" s="23"/>
      <c r="G180" s="60" t="s">
        <v>876</v>
      </c>
      <c r="H180" s="23" t="s">
        <v>535</v>
      </c>
      <c r="I180" s="23" t="s">
        <v>722</v>
      </c>
      <c r="J180" s="3" t="s">
        <v>1025</v>
      </c>
      <c r="K180" s="23">
        <v>6</v>
      </c>
      <c r="L180" s="60" t="str">
        <f>VLOOKUP(K180,Ruimtegroepen[],2,FALSE)</f>
        <v>Gangen/hallen</v>
      </c>
      <c r="M180" s="23" t="s">
        <v>112</v>
      </c>
      <c r="N180" s="23" t="s">
        <v>1090</v>
      </c>
      <c r="O180" s="96">
        <v>34.799999999999997</v>
      </c>
      <c r="P180" s="86"/>
      <c r="Q180" s="95" t="str">
        <f>LEFT(VLOOKUP(Ruimtestaat[[#This Row],[Ruimte code]],Ruimtegroepen[#All],4,1),2)</f>
        <v xml:space="preserve">V </v>
      </c>
      <c r="R180" s="95"/>
      <c r="S180" s="87">
        <v>40</v>
      </c>
      <c r="T180" s="87" t="s">
        <v>2</v>
      </c>
      <c r="U180" s="88">
        <f>IF(S180&gt;0,IF(RIGHT(Ruimtestaat[[#This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80" s="88">
        <f>IF(U180&gt;0,VLOOKUP($K180,Ruimtegroepen[],3,FALSE)*VLOOKUP($M180,Vloersoorten[],3,FALSE)*VLOOKUP($T180,Frequenties[],3,FALSE)*VLOOKUP($A180,Locaties[],3,FALSE),0)</f>
        <v>0</v>
      </c>
      <c r="W180" s="89">
        <f>Ruimtestaat[[#This Row],[Uitvoeringen werkdagen]]*Ruimtestaat[[#This Row],[Oppervlak (netto)]]</f>
        <v>6959.9999999999991</v>
      </c>
      <c r="X180" s="90">
        <f>IF(V180&gt;0,Ruimtestaat[[#This Row],[Prest. (m2 /jaar) werkdagen]]/Ruimtestaat[[#This Row],[Norm (m2/uur) werkdagen]],0)</f>
        <v>0</v>
      </c>
      <c r="Y180" s="91">
        <f>Ruimtestaat[[#This Row],[uren / jaar werkdagen]]*Tariefsopbouw!$E$35</f>
        <v>0</v>
      </c>
      <c r="Z180" s="88"/>
      <c r="AA180" s="92">
        <f>IF(Ruimtestaat[[#This Row],[Frequentie weekend]]&gt;0,VALUE(LEFT(Z180,1))*S180,0)</f>
        <v>0</v>
      </c>
      <c r="AB180" s="88">
        <f>IF($AA180&gt;0,VLOOKUP($K180,Ruimtegroepen[],3,FALSE)*VLOOKUP($M180,Vloersoorten[],3,FALSE)*VLOOKUP($Z180,Frequenties[],3,FALSE)*VLOOKUP(#REF!,Locaties[],3,FALSE),0)</f>
        <v>0</v>
      </c>
      <c r="AC180" s="90">
        <f>Ruimtestaat[[#This Row],[Uitvoeringen weekend]]*Ruimtestaat[[#This Row],[Oppervlak (netto)]]</f>
        <v>0</v>
      </c>
      <c r="AD180" s="93">
        <f>IF(AC180&gt;0,Ruimtestaat[[#This Row],[Prest. (m2 /jaar) weekend]]/Ruimtestaat[[#This Row],[Norm (m2/uur) weekend]],0)</f>
        <v>0</v>
      </c>
      <c r="AE180" s="94">
        <f>Ruimtestaat[[#This Row],[uren / jaar weekend]]*Tariefsopbouw!$D$40</f>
        <v>0</v>
      </c>
      <c r="AF180" s="66">
        <f>Ruimtestaat[[#This Row],[Prest. (m2 /jaar) weekend]]+Ruimtestaat[[#This Row],[Prest. (m2 /jaar) werkdagen]]</f>
        <v>6959.9999999999991</v>
      </c>
      <c r="AG180" s="66">
        <f>Ruimtestaat[[#This Row],[uren / jaar weekend]]+Ruimtestaat[[#This Row],[uren / jaar werkdagen]]</f>
        <v>0</v>
      </c>
      <c r="AH180" s="67">
        <f>Ruimtestaat[[#This Row],[kosten / jaar weekend]]+Ruimtestaat[[#This Row],[kosten / jaar werkdagen]]</f>
        <v>0</v>
      </c>
    </row>
    <row r="181" spans="1:34" ht="15" customHeight="1">
      <c r="A181" s="112">
        <v>2</v>
      </c>
      <c r="B181" s="23" t="str">
        <f>VLOOKUP(Ruimtestaat[[#This Row],[Code]],Locaties[#All],2,FALSE)</f>
        <v>RSG Slingerbos</v>
      </c>
      <c r="C181" s="23" t="str">
        <f>VLOOKUP(Ruimtestaat[[#This Row],[Code]],Locaties[#All],4,FALSE)</f>
        <v>Eisenhowerlaan 59</v>
      </c>
      <c r="D181" s="23" t="str">
        <f>VLOOKUP(Ruimtestaat[[#This Row],[Code]],Locaties[#All],5,FALSE)</f>
        <v>3844 AS</v>
      </c>
      <c r="E181" s="23" t="str">
        <f>VLOOKUP(Ruimtestaat[[#This Row],[Code]],Locaties[#All],6,FALSE)</f>
        <v>Harderwijk</v>
      </c>
      <c r="F181" s="23"/>
      <c r="G181" s="60" t="s">
        <v>877</v>
      </c>
      <c r="H181" s="23" t="s">
        <v>535</v>
      </c>
      <c r="I181" s="23" t="s">
        <v>723</v>
      </c>
      <c r="J181" s="3" t="s">
        <v>1034</v>
      </c>
      <c r="K181" s="23">
        <v>5</v>
      </c>
      <c r="L181" s="60" t="str">
        <f>VLOOKUP(K181,Ruimtegroepen[],2,FALSE)</f>
        <v>Sanitair</v>
      </c>
      <c r="M181" s="23" t="s">
        <v>113</v>
      </c>
      <c r="N181" s="23" t="s">
        <v>1091</v>
      </c>
      <c r="O181" s="86">
        <v>4.0999999999999996</v>
      </c>
      <c r="P181" s="86"/>
      <c r="Q181" s="95" t="str">
        <f>LEFT(VLOOKUP(Ruimtestaat[[#This Row],[Ruimte code]],Ruimtegroepen[#All],4,1),2)</f>
        <v xml:space="preserve">S </v>
      </c>
      <c r="R181" s="95"/>
      <c r="S181" s="87">
        <v>40</v>
      </c>
      <c r="T181" s="87" t="s">
        <v>2</v>
      </c>
      <c r="U181" s="88">
        <f>IF(S181&gt;0,IF(RIGHT(Ruimtestaat[[#This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81" s="88">
        <f>IF(U181&gt;0,VLOOKUP($K181,Ruimtegroepen[],3,FALSE)*VLOOKUP($M181,Vloersoorten[],3,FALSE)*VLOOKUP($T181,Frequenties[],3,FALSE)*VLOOKUP($A181,Locaties[],3,FALSE),0)</f>
        <v>0</v>
      </c>
      <c r="W181" s="89">
        <f>Ruimtestaat[[#This Row],[Uitvoeringen werkdagen]]*Ruimtestaat[[#This Row],[Oppervlak (netto)]]</f>
        <v>819.99999999999989</v>
      </c>
      <c r="X181" s="90">
        <f>IF(V181&gt;0,Ruimtestaat[[#This Row],[Prest. (m2 /jaar) werkdagen]]/Ruimtestaat[[#This Row],[Norm (m2/uur) werkdagen]],0)</f>
        <v>0</v>
      </c>
      <c r="Y181" s="91">
        <f>Ruimtestaat[[#This Row],[uren / jaar werkdagen]]*Tariefsopbouw!$E$35</f>
        <v>0</v>
      </c>
      <c r="Z181" s="88"/>
      <c r="AA181" s="92">
        <f>IF(Ruimtestaat[[#This Row],[Frequentie weekend]]&gt;0,VALUE(LEFT(Z181,1))*S181,0)</f>
        <v>0</v>
      </c>
      <c r="AB181" s="88">
        <f>IF($AA181&gt;0,VLOOKUP($K181,Ruimtegroepen[],3,FALSE)*VLOOKUP($M181,Vloersoorten[],3,FALSE)*VLOOKUP($Z181,Frequenties[],3,FALSE)*VLOOKUP(#REF!,Locaties[],3,FALSE),0)</f>
        <v>0</v>
      </c>
      <c r="AC181" s="90">
        <f>Ruimtestaat[[#This Row],[Uitvoeringen weekend]]*Ruimtestaat[[#This Row],[Oppervlak (netto)]]</f>
        <v>0</v>
      </c>
      <c r="AD181" s="93">
        <f>IF(AC181&gt;0,Ruimtestaat[[#This Row],[Prest. (m2 /jaar) weekend]]/Ruimtestaat[[#This Row],[Norm (m2/uur) weekend]],0)</f>
        <v>0</v>
      </c>
      <c r="AE181" s="94">
        <f>Ruimtestaat[[#This Row],[uren / jaar weekend]]*Tariefsopbouw!$D$40</f>
        <v>0</v>
      </c>
      <c r="AF181" s="66">
        <f>Ruimtestaat[[#This Row],[Prest. (m2 /jaar) weekend]]+Ruimtestaat[[#This Row],[Prest. (m2 /jaar) werkdagen]]</f>
        <v>819.99999999999989</v>
      </c>
      <c r="AG181" s="66">
        <f>Ruimtestaat[[#This Row],[uren / jaar weekend]]+Ruimtestaat[[#This Row],[uren / jaar werkdagen]]</f>
        <v>0</v>
      </c>
      <c r="AH181" s="67">
        <f>Ruimtestaat[[#This Row],[kosten / jaar weekend]]+Ruimtestaat[[#This Row],[kosten / jaar werkdagen]]</f>
        <v>0</v>
      </c>
    </row>
    <row r="182" spans="1:34" ht="15" customHeight="1">
      <c r="A182" s="112">
        <v>2</v>
      </c>
      <c r="B182" s="23" t="str">
        <f>VLOOKUP(Ruimtestaat[[#This Row],[Code]],Locaties[#All],2,FALSE)</f>
        <v>RSG Slingerbos</v>
      </c>
      <c r="C182" s="23" t="str">
        <f>VLOOKUP(Ruimtestaat[[#This Row],[Code]],Locaties[#All],4,FALSE)</f>
        <v>Eisenhowerlaan 59</v>
      </c>
      <c r="D182" s="23" t="str">
        <f>VLOOKUP(Ruimtestaat[[#This Row],[Code]],Locaties[#All],5,FALSE)</f>
        <v>3844 AS</v>
      </c>
      <c r="E182" s="23" t="str">
        <f>VLOOKUP(Ruimtestaat[[#This Row],[Code]],Locaties[#All],6,FALSE)</f>
        <v>Harderwijk</v>
      </c>
      <c r="F182" s="23"/>
      <c r="G182" s="60" t="s">
        <v>878</v>
      </c>
      <c r="H182" s="23" t="s">
        <v>535</v>
      </c>
      <c r="I182" s="23" t="s">
        <v>724</v>
      </c>
      <c r="J182" s="3" t="s">
        <v>1035</v>
      </c>
      <c r="K182" s="23">
        <v>23</v>
      </c>
      <c r="L182" s="60" t="str">
        <f>VLOOKUP(K182,Ruimtegroepen[],2,FALSE)</f>
        <v>Niet in onderhoud</v>
      </c>
      <c r="M182" s="23" t="s">
        <v>112</v>
      </c>
      <c r="N182" s="23" t="s">
        <v>1090</v>
      </c>
      <c r="O182" s="86"/>
      <c r="P182" s="86">
        <v>2</v>
      </c>
      <c r="Q182" s="95" t="str">
        <f>LEFT(VLOOKUP(Ruimtestaat[[#This Row],[Ruimte code]],Ruimtegroepen[#All],4,1),2)</f>
        <v/>
      </c>
      <c r="R182" s="95"/>
      <c r="S182" s="87"/>
      <c r="T182" s="87"/>
      <c r="U182" s="88">
        <f>IF(S182&gt;0,IF(RIGHT(Ruimtestaat[[#This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182" s="88">
        <f>IF(U182&gt;0,VLOOKUP($K182,Ruimtegroepen[],3,FALSE)*VLOOKUP($M182,Vloersoorten[],3,FALSE)*VLOOKUP($T182,Frequenties[],3,FALSE)*VLOOKUP($A182,Locaties[],3,FALSE),0)</f>
        <v>0</v>
      </c>
      <c r="W182" s="89">
        <f>Ruimtestaat[[#This Row],[Uitvoeringen werkdagen]]*Ruimtestaat[[#This Row],[Oppervlak (netto)]]</f>
        <v>0</v>
      </c>
      <c r="X182" s="90">
        <f>IF(V182&gt;0,Ruimtestaat[[#This Row],[Prest. (m2 /jaar) werkdagen]]/Ruimtestaat[[#This Row],[Norm (m2/uur) werkdagen]],0)</f>
        <v>0</v>
      </c>
      <c r="Y182" s="91">
        <f>Ruimtestaat[[#This Row],[uren / jaar werkdagen]]*Tariefsopbouw!$E$35</f>
        <v>0</v>
      </c>
      <c r="Z182" s="88"/>
      <c r="AA182" s="92">
        <f>IF(Ruimtestaat[[#This Row],[Frequentie weekend]]&gt;0,VALUE(LEFT(Z182,1))*S182,0)</f>
        <v>0</v>
      </c>
      <c r="AB182" s="88">
        <f>IF($AA182&gt;0,VLOOKUP($K182,Ruimtegroepen[],3,FALSE)*VLOOKUP($M182,Vloersoorten[],3,FALSE)*VLOOKUP($Z182,Frequenties[],3,FALSE)*VLOOKUP(#REF!,Locaties[],3,FALSE),0)</f>
        <v>0</v>
      </c>
      <c r="AC182" s="90">
        <f>Ruimtestaat[[#This Row],[Uitvoeringen weekend]]*Ruimtestaat[[#This Row],[Oppervlak (netto)]]</f>
        <v>0</v>
      </c>
      <c r="AD182" s="93">
        <f>IF(AC182&gt;0,Ruimtestaat[[#This Row],[Prest. (m2 /jaar) weekend]]/Ruimtestaat[[#This Row],[Norm (m2/uur) weekend]],0)</f>
        <v>0</v>
      </c>
      <c r="AE182" s="94">
        <f>Ruimtestaat[[#This Row],[uren / jaar weekend]]*Tariefsopbouw!$D$40</f>
        <v>0</v>
      </c>
      <c r="AF182" s="66">
        <f>Ruimtestaat[[#This Row],[Prest. (m2 /jaar) weekend]]+Ruimtestaat[[#This Row],[Prest. (m2 /jaar) werkdagen]]</f>
        <v>0</v>
      </c>
      <c r="AG182" s="66">
        <f>Ruimtestaat[[#This Row],[uren / jaar weekend]]+Ruimtestaat[[#This Row],[uren / jaar werkdagen]]</f>
        <v>0</v>
      </c>
      <c r="AH182" s="67">
        <f>Ruimtestaat[[#This Row],[kosten / jaar weekend]]+Ruimtestaat[[#This Row],[kosten / jaar werkdagen]]</f>
        <v>0</v>
      </c>
    </row>
    <row r="183" spans="1:34" ht="15" customHeight="1">
      <c r="A183" s="112">
        <v>2</v>
      </c>
      <c r="B183" s="23" t="str">
        <f>VLOOKUP(Ruimtestaat[[#This Row],[Code]],Locaties[#All],2,FALSE)</f>
        <v>RSG Slingerbos</v>
      </c>
      <c r="C183" s="23" t="str">
        <f>VLOOKUP(Ruimtestaat[[#This Row],[Code]],Locaties[#All],4,FALSE)</f>
        <v>Eisenhowerlaan 59</v>
      </c>
      <c r="D183" s="23" t="str">
        <f>VLOOKUP(Ruimtestaat[[#This Row],[Code]],Locaties[#All],5,FALSE)</f>
        <v>3844 AS</v>
      </c>
      <c r="E183" s="23" t="str">
        <f>VLOOKUP(Ruimtestaat[[#This Row],[Code]],Locaties[#All],6,FALSE)</f>
        <v>Harderwijk</v>
      </c>
      <c r="F183" s="23"/>
      <c r="G183" s="60" t="s">
        <v>879</v>
      </c>
      <c r="H183" s="23" t="s">
        <v>535</v>
      </c>
      <c r="I183" s="23" t="s">
        <v>725</v>
      </c>
      <c r="J183" s="3" t="s">
        <v>1028</v>
      </c>
      <c r="K183" s="23">
        <v>5</v>
      </c>
      <c r="L183" s="60" t="str">
        <f>VLOOKUP(K183,Ruimtegroepen[],2,FALSE)</f>
        <v>Sanitair</v>
      </c>
      <c r="M183" s="23" t="s">
        <v>113</v>
      </c>
      <c r="N183" s="23" t="s">
        <v>1091</v>
      </c>
      <c r="O183" s="86">
        <v>11.7</v>
      </c>
      <c r="P183" s="86"/>
      <c r="Q183" s="95" t="str">
        <f>LEFT(VLOOKUP(Ruimtestaat[[#This Row],[Ruimte code]],Ruimtegroepen[#All],4,1),2)</f>
        <v xml:space="preserve">S </v>
      </c>
      <c r="R183" s="95"/>
      <c r="S183" s="87">
        <v>40</v>
      </c>
      <c r="T183" s="87" t="s">
        <v>2</v>
      </c>
      <c r="U183" s="88">
        <f>IF(S183&gt;0,IF(RIGHT(Ruimtestaat[[#This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83" s="88">
        <f>IF(U183&gt;0,VLOOKUP($K183,Ruimtegroepen[],3,FALSE)*VLOOKUP($M183,Vloersoorten[],3,FALSE)*VLOOKUP($T183,Frequenties[],3,FALSE)*VLOOKUP($A183,Locaties[],3,FALSE),0)</f>
        <v>0</v>
      </c>
      <c r="W183" s="89">
        <f>Ruimtestaat[[#This Row],[Uitvoeringen werkdagen]]*Ruimtestaat[[#This Row],[Oppervlak (netto)]]</f>
        <v>2340</v>
      </c>
      <c r="X183" s="90">
        <f>IF(V183&gt;0,Ruimtestaat[[#This Row],[Prest. (m2 /jaar) werkdagen]]/Ruimtestaat[[#This Row],[Norm (m2/uur) werkdagen]],0)</f>
        <v>0</v>
      </c>
      <c r="Y183" s="91">
        <f>Ruimtestaat[[#This Row],[uren / jaar werkdagen]]*Tariefsopbouw!$E$35</f>
        <v>0</v>
      </c>
      <c r="Z183" s="88"/>
      <c r="AA183" s="92">
        <f>IF(Ruimtestaat[[#This Row],[Frequentie weekend]]&gt;0,VALUE(LEFT(Z183,1))*S183,0)</f>
        <v>0</v>
      </c>
      <c r="AB183" s="88">
        <f>IF($AA183&gt;0,VLOOKUP($K183,Ruimtegroepen[],3,FALSE)*VLOOKUP($M183,Vloersoorten[],3,FALSE)*VLOOKUP($Z183,Frequenties[],3,FALSE)*VLOOKUP(#REF!,Locaties[],3,FALSE),0)</f>
        <v>0</v>
      </c>
      <c r="AC183" s="90">
        <f>Ruimtestaat[[#This Row],[Uitvoeringen weekend]]*Ruimtestaat[[#This Row],[Oppervlak (netto)]]</f>
        <v>0</v>
      </c>
      <c r="AD183" s="93">
        <f>IF(AC183&gt;0,Ruimtestaat[[#This Row],[Prest. (m2 /jaar) weekend]]/Ruimtestaat[[#This Row],[Norm (m2/uur) weekend]],0)</f>
        <v>0</v>
      </c>
      <c r="AE183" s="94">
        <f>Ruimtestaat[[#This Row],[uren / jaar weekend]]*Tariefsopbouw!$D$40</f>
        <v>0</v>
      </c>
      <c r="AF183" s="66">
        <f>Ruimtestaat[[#This Row],[Prest. (m2 /jaar) weekend]]+Ruimtestaat[[#This Row],[Prest. (m2 /jaar) werkdagen]]</f>
        <v>2340</v>
      </c>
      <c r="AG183" s="66">
        <f>Ruimtestaat[[#This Row],[uren / jaar weekend]]+Ruimtestaat[[#This Row],[uren / jaar werkdagen]]</f>
        <v>0</v>
      </c>
      <c r="AH183" s="67">
        <f>Ruimtestaat[[#This Row],[kosten / jaar weekend]]+Ruimtestaat[[#This Row],[kosten / jaar werkdagen]]</f>
        <v>0</v>
      </c>
    </row>
    <row r="184" spans="1:34" ht="15" customHeight="1">
      <c r="A184" s="112">
        <v>2</v>
      </c>
      <c r="B184" s="23" t="str">
        <f>VLOOKUP(Ruimtestaat[[#This Row],[Code]],Locaties[#All],2,FALSE)</f>
        <v>RSG Slingerbos</v>
      </c>
      <c r="C184" s="23" t="str">
        <f>VLOOKUP(Ruimtestaat[[#This Row],[Code]],Locaties[#All],4,FALSE)</f>
        <v>Eisenhowerlaan 59</v>
      </c>
      <c r="D184" s="23" t="str">
        <f>VLOOKUP(Ruimtestaat[[#This Row],[Code]],Locaties[#All],5,FALSE)</f>
        <v>3844 AS</v>
      </c>
      <c r="E184" s="23" t="str">
        <f>VLOOKUP(Ruimtestaat[[#This Row],[Code]],Locaties[#All],6,FALSE)</f>
        <v>Harderwijk</v>
      </c>
      <c r="F184" s="23"/>
      <c r="G184" s="60" t="s">
        <v>880</v>
      </c>
      <c r="H184" s="23" t="s">
        <v>535</v>
      </c>
      <c r="I184" s="23" t="s">
        <v>726</v>
      </c>
      <c r="J184" s="3" t="s">
        <v>1029</v>
      </c>
      <c r="K184" s="23">
        <v>5</v>
      </c>
      <c r="L184" s="60" t="str">
        <f>VLOOKUP(K184,Ruimtegroepen[],2,FALSE)</f>
        <v>Sanitair</v>
      </c>
      <c r="M184" s="23" t="s">
        <v>113</v>
      </c>
      <c r="N184" s="23" t="s">
        <v>1091</v>
      </c>
      <c r="O184" s="86">
        <v>9.4</v>
      </c>
      <c r="P184" s="86"/>
      <c r="Q184" s="95" t="str">
        <f>LEFT(VLOOKUP(Ruimtestaat[[#This Row],[Ruimte code]],Ruimtegroepen[#All],4,1),2)</f>
        <v xml:space="preserve">S </v>
      </c>
      <c r="R184" s="95"/>
      <c r="S184" s="87">
        <v>40</v>
      </c>
      <c r="T184" s="87" t="s">
        <v>2</v>
      </c>
      <c r="U184" s="88">
        <f>IF(S184&gt;0,IF(RIGHT(Ruimtestaat[[#This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84" s="88">
        <f>IF(U184&gt;0,VLOOKUP($K184,Ruimtegroepen[],3,FALSE)*VLOOKUP($M184,Vloersoorten[],3,FALSE)*VLOOKUP($T184,Frequenties[],3,FALSE)*VLOOKUP($A184,Locaties[],3,FALSE),0)</f>
        <v>0</v>
      </c>
      <c r="W184" s="89">
        <f>Ruimtestaat[[#This Row],[Uitvoeringen werkdagen]]*Ruimtestaat[[#This Row],[Oppervlak (netto)]]</f>
        <v>1880</v>
      </c>
      <c r="X184" s="90">
        <f>IF(V184&gt;0,Ruimtestaat[[#This Row],[Prest. (m2 /jaar) werkdagen]]/Ruimtestaat[[#This Row],[Norm (m2/uur) werkdagen]],0)</f>
        <v>0</v>
      </c>
      <c r="Y184" s="91">
        <f>Ruimtestaat[[#This Row],[uren / jaar werkdagen]]*Tariefsopbouw!$E$35</f>
        <v>0</v>
      </c>
      <c r="Z184" s="88"/>
      <c r="AA184" s="92">
        <f>IF(Ruimtestaat[[#This Row],[Frequentie weekend]]&gt;0,VALUE(LEFT(Z184,1))*S184,0)</f>
        <v>0</v>
      </c>
      <c r="AB184" s="88">
        <f>IF($AA184&gt;0,VLOOKUP($K184,Ruimtegroepen[],3,FALSE)*VLOOKUP($M184,Vloersoorten[],3,FALSE)*VLOOKUP($Z184,Frequenties[],3,FALSE)*VLOOKUP(#REF!,Locaties[],3,FALSE),0)</f>
        <v>0</v>
      </c>
      <c r="AC184" s="90">
        <f>Ruimtestaat[[#This Row],[Uitvoeringen weekend]]*Ruimtestaat[[#This Row],[Oppervlak (netto)]]</f>
        <v>0</v>
      </c>
      <c r="AD184" s="93">
        <f>IF(AC184&gt;0,Ruimtestaat[[#This Row],[Prest. (m2 /jaar) weekend]]/Ruimtestaat[[#This Row],[Norm (m2/uur) weekend]],0)</f>
        <v>0</v>
      </c>
      <c r="AE184" s="94">
        <f>Ruimtestaat[[#This Row],[uren / jaar weekend]]*Tariefsopbouw!$D$40</f>
        <v>0</v>
      </c>
      <c r="AF184" s="66">
        <f>Ruimtestaat[[#This Row],[Prest. (m2 /jaar) weekend]]+Ruimtestaat[[#This Row],[Prest. (m2 /jaar) werkdagen]]</f>
        <v>1880</v>
      </c>
      <c r="AG184" s="66">
        <f>Ruimtestaat[[#This Row],[uren / jaar weekend]]+Ruimtestaat[[#This Row],[uren / jaar werkdagen]]</f>
        <v>0</v>
      </c>
      <c r="AH184" s="67">
        <f>Ruimtestaat[[#This Row],[kosten / jaar weekend]]+Ruimtestaat[[#This Row],[kosten / jaar werkdagen]]</f>
        <v>0</v>
      </c>
    </row>
    <row r="185" spans="1:34" ht="15" customHeight="1">
      <c r="A185" s="112">
        <v>2</v>
      </c>
      <c r="B185" s="23" t="str">
        <f>VLOOKUP(Ruimtestaat[[#This Row],[Code]],Locaties[#All],2,FALSE)</f>
        <v>RSG Slingerbos</v>
      </c>
      <c r="C185" s="23" t="str">
        <f>VLOOKUP(Ruimtestaat[[#This Row],[Code]],Locaties[#All],4,FALSE)</f>
        <v>Eisenhowerlaan 59</v>
      </c>
      <c r="D185" s="23" t="str">
        <f>VLOOKUP(Ruimtestaat[[#This Row],[Code]],Locaties[#All],5,FALSE)</f>
        <v>3844 AS</v>
      </c>
      <c r="E185" s="23" t="str">
        <f>VLOOKUP(Ruimtestaat[[#This Row],[Code]],Locaties[#All],6,FALSE)</f>
        <v>Harderwijk</v>
      </c>
      <c r="F185" s="23"/>
      <c r="G185" s="60" t="s">
        <v>881</v>
      </c>
      <c r="H185" s="23" t="s">
        <v>535</v>
      </c>
      <c r="I185" s="23" t="s">
        <v>727</v>
      </c>
      <c r="J185" s="3" t="s">
        <v>1036</v>
      </c>
      <c r="K185" s="23">
        <v>2</v>
      </c>
      <c r="L185" s="60" t="str">
        <f>VLOOKUP(K185,Ruimtegroepen[],2,FALSE)</f>
        <v>Kantoren</v>
      </c>
      <c r="M185" s="23" t="s">
        <v>112</v>
      </c>
      <c r="N185" s="23" t="s">
        <v>1090</v>
      </c>
      <c r="O185" s="86">
        <v>10.9</v>
      </c>
      <c r="P185" s="86"/>
      <c r="Q185" s="95" t="str">
        <f>LEFT(VLOOKUP(Ruimtestaat[[#This Row],[Ruimte code]],Ruimtegroepen[#All],4,1),2)</f>
        <v xml:space="preserve">B </v>
      </c>
      <c r="R185" s="95"/>
      <c r="S185" s="87">
        <v>40</v>
      </c>
      <c r="T185" s="87" t="s">
        <v>17</v>
      </c>
      <c r="U185" s="88">
        <f>IF(S185&gt;0,IF(RIGHT(Ruimtestaat[[#This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185" s="88">
        <f>IF(U185&gt;0,VLOOKUP($K185,Ruimtegroepen[],3,FALSE)*VLOOKUP($M185,Vloersoorten[],3,FALSE)*VLOOKUP($T185,Frequenties[],3,FALSE)*VLOOKUP($A185,Locaties[],3,FALSE),0)</f>
        <v>0</v>
      </c>
      <c r="W185" s="89">
        <f>Ruimtestaat[[#This Row],[Uitvoeringen werkdagen]]*Ruimtestaat[[#This Row],[Oppervlak (netto)]]</f>
        <v>872</v>
      </c>
      <c r="X185" s="90">
        <f>IF(V185&gt;0,Ruimtestaat[[#This Row],[Prest. (m2 /jaar) werkdagen]]/Ruimtestaat[[#This Row],[Norm (m2/uur) werkdagen]],0)</f>
        <v>0</v>
      </c>
      <c r="Y185" s="91">
        <f>Ruimtestaat[[#This Row],[uren / jaar werkdagen]]*Tariefsopbouw!$E$35</f>
        <v>0</v>
      </c>
      <c r="Z185" s="88"/>
      <c r="AA185" s="92">
        <f>IF(Ruimtestaat[[#This Row],[Frequentie weekend]]&gt;0,VALUE(LEFT(Z185,1))*S185,0)</f>
        <v>0</v>
      </c>
      <c r="AB185" s="88">
        <f>IF($AA185&gt;0,VLOOKUP($K185,Ruimtegroepen[],3,FALSE)*VLOOKUP($M185,Vloersoorten[],3,FALSE)*VLOOKUP($Z185,Frequenties[],3,FALSE)*VLOOKUP(#REF!,Locaties[],3,FALSE),0)</f>
        <v>0</v>
      </c>
      <c r="AC185" s="90">
        <f>Ruimtestaat[[#This Row],[Uitvoeringen weekend]]*Ruimtestaat[[#This Row],[Oppervlak (netto)]]</f>
        <v>0</v>
      </c>
      <c r="AD185" s="93">
        <f>IF(AC185&gt;0,Ruimtestaat[[#This Row],[Prest. (m2 /jaar) weekend]]/Ruimtestaat[[#This Row],[Norm (m2/uur) weekend]],0)</f>
        <v>0</v>
      </c>
      <c r="AE185" s="94">
        <f>Ruimtestaat[[#This Row],[uren / jaar weekend]]*Tariefsopbouw!$D$40</f>
        <v>0</v>
      </c>
      <c r="AF185" s="66">
        <f>Ruimtestaat[[#This Row],[Prest. (m2 /jaar) weekend]]+Ruimtestaat[[#This Row],[Prest. (m2 /jaar) werkdagen]]</f>
        <v>872</v>
      </c>
      <c r="AG185" s="66">
        <f>Ruimtestaat[[#This Row],[uren / jaar weekend]]+Ruimtestaat[[#This Row],[uren / jaar werkdagen]]</f>
        <v>0</v>
      </c>
      <c r="AH185" s="67">
        <f>Ruimtestaat[[#This Row],[kosten / jaar weekend]]+Ruimtestaat[[#This Row],[kosten / jaar werkdagen]]</f>
        <v>0</v>
      </c>
    </row>
    <row r="186" spans="1:34" ht="15" customHeight="1">
      <c r="A186" s="112">
        <v>2</v>
      </c>
      <c r="B186" s="23" t="str">
        <f>VLOOKUP(Ruimtestaat[[#This Row],[Code]],Locaties[#All],2,FALSE)</f>
        <v>RSG Slingerbos</v>
      </c>
      <c r="C186" s="23" t="str">
        <f>VLOOKUP(Ruimtestaat[[#This Row],[Code]],Locaties[#All],4,FALSE)</f>
        <v>Eisenhowerlaan 59</v>
      </c>
      <c r="D186" s="23" t="str">
        <f>VLOOKUP(Ruimtestaat[[#This Row],[Code]],Locaties[#All],5,FALSE)</f>
        <v>3844 AS</v>
      </c>
      <c r="E186" s="23" t="str">
        <f>VLOOKUP(Ruimtestaat[[#This Row],[Code]],Locaties[#All],6,FALSE)</f>
        <v>Harderwijk</v>
      </c>
      <c r="F186" s="23"/>
      <c r="G186" s="60" t="s">
        <v>882</v>
      </c>
      <c r="H186" s="23" t="s">
        <v>535</v>
      </c>
      <c r="I186" s="23" t="s">
        <v>728</v>
      </c>
      <c r="J186" s="3" t="s">
        <v>1017</v>
      </c>
      <c r="K186" s="23">
        <v>23</v>
      </c>
      <c r="L186" s="60" t="str">
        <f>VLOOKUP(K186,Ruimtegroepen[],2,FALSE)</f>
        <v>Niet in onderhoud</v>
      </c>
      <c r="M186" s="23" t="s">
        <v>112</v>
      </c>
      <c r="N186" s="23" t="s">
        <v>1090</v>
      </c>
      <c r="P186" s="86">
        <v>12</v>
      </c>
      <c r="Q186" s="95" t="str">
        <f>LEFT(VLOOKUP(Ruimtestaat[[#This Row],[Ruimte code]],Ruimtegroepen[#All],4,1),2)</f>
        <v/>
      </c>
      <c r="R186" s="95"/>
      <c r="S186" s="87"/>
      <c r="T186" s="87"/>
      <c r="U186" s="88">
        <f>IF(S186&gt;0,IF(RIGHT(Ruimtestaat[[#This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186" s="88">
        <f>IF(U186&gt;0,VLOOKUP($K186,Ruimtegroepen[],3,FALSE)*VLOOKUP($M186,Vloersoorten[],3,FALSE)*VLOOKUP($T186,Frequenties[],3,FALSE)*VLOOKUP($A186,Locaties[],3,FALSE),0)</f>
        <v>0</v>
      </c>
      <c r="W186" s="89">
        <f>Ruimtestaat[[#This Row],[Uitvoeringen werkdagen]]*Ruimtestaat[[#This Row],[Oppervlak (netto)]]</f>
        <v>0</v>
      </c>
      <c r="X186" s="90">
        <f>IF(V186&gt;0,Ruimtestaat[[#This Row],[Prest. (m2 /jaar) werkdagen]]/Ruimtestaat[[#This Row],[Norm (m2/uur) werkdagen]],0)</f>
        <v>0</v>
      </c>
      <c r="Y186" s="91">
        <f>Ruimtestaat[[#This Row],[uren / jaar werkdagen]]*Tariefsopbouw!$E$35</f>
        <v>0</v>
      </c>
      <c r="Z186" s="88"/>
      <c r="AA186" s="92">
        <f>IF(Ruimtestaat[[#This Row],[Frequentie weekend]]&gt;0,VALUE(LEFT(Z186,1))*S186,0)</f>
        <v>0</v>
      </c>
      <c r="AB186" s="88">
        <f>IF($AA186&gt;0,VLOOKUP($K186,Ruimtegroepen[],3,FALSE)*VLOOKUP($M186,Vloersoorten[],3,FALSE)*VLOOKUP($Z186,Frequenties[],3,FALSE)*VLOOKUP(#REF!,Locaties[],3,FALSE),0)</f>
        <v>0</v>
      </c>
      <c r="AC186" s="90">
        <f>Ruimtestaat[[#This Row],[Uitvoeringen weekend]]*Ruimtestaat[[#This Row],[Oppervlak (netto)]]</f>
        <v>0</v>
      </c>
      <c r="AD186" s="93">
        <f>IF(AC186&gt;0,Ruimtestaat[[#This Row],[Prest. (m2 /jaar) weekend]]/Ruimtestaat[[#This Row],[Norm (m2/uur) weekend]],0)</f>
        <v>0</v>
      </c>
      <c r="AE186" s="94">
        <f>Ruimtestaat[[#This Row],[uren / jaar weekend]]*Tariefsopbouw!$D$40</f>
        <v>0</v>
      </c>
      <c r="AF186" s="66">
        <f>Ruimtestaat[[#This Row],[Prest. (m2 /jaar) weekend]]+Ruimtestaat[[#This Row],[Prest. (m2 /jaar) werkdagen]]</f>
        <v>0</v>
      </c>
      <c r="AG186" s="66">
        <f>Ruimtestaat[[#This Row],[uren / jaar weekend]]+Ruimtestaat[[#This Row],[uren / jaar werkdagen]]</f>
        <v>0</v>
      </c>
      <c r="AH186" s="67">
        <f>Ruimtestaat[[#This Row],[kosten / jaar weekend]]+Ruimtestaat[[#This Row],[kosten / jaar werkdagen]]</f>
        <v>0</v>
      </c>
    </row>
    <row r="187" spans="1:34" ht="15" customHeight="1">
      <c r="A187" s="112">
        <v>2</v>
      </c>
      <c r="B187" s="23" t="str">
        <f>VLOOKUP(Ruimtestaat[[#This Row],[Code]],Locaties[#All],2,FALSE)</f>
        <v>RSG Slingerbos</v>
      </c>
      <c r="C187" s="23" t="str">
        <f>VLOOKUP(Ruimtestaat[[#This Row],[Code]],Locaties[#All],4,FALSE)</f>
        <v>Eisenhowerlaan 59</v>
      </c>
      <c r="D187" s="23" t="str">
        <f>VLOOKUP(Ruimtestaat[[#This Row],[Code]],Locaties[#All],5,FALSE)</f>
        <v>3844 AS</v>
      </c>
      <c r="E187" s="23" t="str">
        <f>VLOOKUP(Ruimtestaat[[#This Row],[Code]],Locaties[#All],6,FALSE)</f>
        <v>Harderwijk</v>
      </c>
      <c r="F187" s="23"/>
      <c r="G187" s="60" t="s">
        <v>883</v>
      </c>
      <c r="H187" s="23" t="s">
        <v>535</v>
      </c>
      <c r="I187" s="23" t="s">
        <v>729</v>
      </c>
      <c r="J187" s="3" t="s">
        <v>1037</v>
      </c>
      <c r="K187" s="23">
        <v>13</v>
      </c>
      <c r="L187" s="60" t="str">
        <f>VLOOKUP(K187,Ruimtegroepen[],2,FALSE)</f>
        <v>HV/Technieklokaal</v>
      </c>
      <c r="M187" s="23" t="s">
        <v>113</v>
      </c>
      <c r="N187" s="23" t="s">
        <v>1093</v>
      </c>
      <c r="O187" s="156">
        <v>25.8</v>
      </c>
      <c r="P187" s="86"/>
      <c r="Q187" s="95" t="str">
        <f>LEFT(VLOOKUP(Ruimtestaat[[#This Row],[Ruimte code]],Ruimtegroepen[#All],4,1),2)</f>
        <v xml:space="preserve">L </v>
      </c>
      <c r="R187" s="95"/>
      <c r="S187" s="87">
        <v>40</v>
      </c>
      <c r="T187" s="87" t="s">
        <v>2</v>
      </c>
      <c r="U187" s="88">
        <f>IF(S187&gt;0,IF(RIGHT(Ruimtestaat[[#This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87" s="88">
        <f>IF(U187&gt;0,VLOOKUP($K187,Ruimtegroepen[],3,FALSE)*VLOOKUP($M187,Vloersoorten[],3,FALSE)*VLOOKUP($T187,Frequenties[],3,FALSE)*VLOOKUP($A187,Locaties[],3,FALSE),0)</f>
        <v>0</v>
      </c>
      <c r="W187" s="89">
        <f>Ruimtestaat[[#This Row],[Uitvoeringen werkdagen]]*Ruimtestaat[[#This Row],[Oppervlak (netto)]]</f>
        <v>5160</v>
      </c>
      <c r="X187" s="90">
        <f>IF(V187&gt;0,Ruimtestaat[[#This Row],[Prest. (m2 /jaar) werkdagen]]/Ruimtestaat[[#This Row],[Norm (m2/uur) werkdagen]],0)</f>
        <v>0</v>
      </c>
      <c r="Y187" s="91">
        <f>Ruimtestaat[[#This Row],[uren / jaar werkdagen]]*Tariefsopbouw!$E$35</f>
        <v>0</v>
      </c>
      <c r="Z187" s="88"/>
      <c r="AA187" s="92">
        <f>IF(Ruimtestaat[[#This Row],[Frequentie weekend]]&gt;0,VALUE(LEFT(Z187,1))*S187,0)</f>
        <v>0</v>
      </c>
      <c r="AB187" s="88">
        <f>IF($AA187&gt;0,VLOOKUP($K187,Ruimtegroepen[],3,FALSE)*VLOOKUP($M187,Vloersoorten[],3,FALSE)*VLOOKUP($Z187,Frequenties[],3,FALSE)*VLOOKUP(#REF!,Locaties[],3,FALSE),0)</f>
        <v>0</v>
      </c>
      <c r="AC187" s="90">
        <f>Ruimtestaat[[#This Row],[Uitvoeringen weekend]]*Ruimtestaat[[#This Row],[Oppervlak (netto)]]</f>
        <v>0</v>
      </c>
      <c r="AD187" s="93">
        <f>IF(AC187&gt;0,Ruimtestaat[[#This Row],[Prest. (m2 /jaar) weekend]]/Ruimtestaat[[#This Row],[Norm (m2/uur) weekend]],0)</f>
        <v>0</v>
      </c>
      <c r="AE187" s="94">
        <f>Ruimtestaat[[#This Row],[uren / jaar weekend]]*Tariefsopbouw!$D$40</f>
        <v>0</v>
      </c>
      <c r="AF187" s="66">
        <f>Ruimtestaat[[#This Row],[Prest. (m2 /jaar) weekend]]+Ruimtestaat[[#This Row],[Prest. (m2 /jaar) werkdagen]]</f>
        <v>5160</v>
      </c>
      <c r="AG187" s="66">
        <f>Ruimtestaat[[#This Row],[uren / jaar weekend]]+Ruimtestaat[[#This Row],[uren / jaar werkdagen]]</f>
        <v>0</v>
      </c>
      <c r="AH187" s="67">
        <f>Ruimtestaat[[#This Row],[kosten / jaar weekend]]+Ruimtestaat[[#This Row],[kosten / jaar werkdagen]]</f>
        <v>0</v>
      </c>
    </row>
    <row r="188" spans="1:34" ht="15" customHeight="1">
      <c r="A188" s="112">
        <v>2</v>
      </c>
      <c r="B188" s="23" t="str">
        <f>VLOOKUP(Ruimtestaat[[#This Row],[Code]],Locaties[#All],2,FALSE)</f>
        <v>RSG Slingerbos</v>
      </c>
      <c r="C188" s="23" t="str">
        <f>VLOOKUP(Ruimtestaat[[#This Row],[Code]],Locaties[#All],4,FALSE)</f>
        <v>Eisenhowerlaan 59</v>
      </c>
      <c r="D188" s="23" t="str">
        <f>VLOOKUP(Ruimtestaat[[#This Row],[Code]],Locaties[#All],5,FALSE)</f>
        <v>3844 AS</v>
      </c>
      <c r="E188" s="23" t="str">
        <f>VLOOKUP(Ruimtestaat[[#This Row],[Code]],Locaties[#All],6,FALSE)</f>
        <v>Harderwijk</v>
      </c>
      <c r="F188" s="23"/>
      <c r="G188" s="60" t="s">
        <v>884</v>
      </c>
      <c r="H188" s="23" t="s">
        <v>535</v>
      </c>
      <c r="I188" s="23" t="s">
        <v>730</v>
      </c>
      <c r="J188" s="3" t="s">
        <v>1025</v>
      </c>
      <c r="K188" s="23">
        <v>6</v>
      </c>
      <c r="L188" s="60" t="str">
        <f>VLOOKUP(K188,Ruimtegroepen[],2,FALSE)</f>
        <v>Gangen/hallen</v>
      </c>
      <c r="M188" s="23" t="s">
        <v>112</v>
      </c>
      <c r="N188" s="23" t="s">
        <v>1090</v>
      </c>
      <c r="O188" s="86">
        <v>88.3</v>
      </c>
      <c r="P188" s="86"/>
      <c r="Q188" s="95" t="str">
        <f>LEFT(VLOOKUP(Ruimtestaat[[#This Row],[Ruimte code]],Ruimtegroepen[#All],4,1),2)</f>
        <v xml:space="preserve">V </v>
      </c>
      <c r="R188" s="95"/>
      <c r="S188" s="87">
        <v>40</v>
      </c>
      <c r="T188" s="87" t="s">
        <v>2</v>
      </c>
      <c r="U188" s="88">
        <f>IF(S188&gt;0,IF(RIGHT(Ruimtestaat[[#This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88" s="88">
        <f>IF(U188&gt;0,VLOOKUP($K188,Ruimtegroepen[],3,FALSE)*VLOOKUP($M188,Vloersoorten[],3,FALSE)*VLOOKUP($T188,Frequenties[],3,FALSE)*VLOOKUP($A188,Locaties[],3,FALSE),0)</f>
        <v>0</v>
      </c>
      <c r="W188" s="89">
        <f>Ruimtestaat[[#This Row],[Uitvoeringen werkdagen]]*Ruimtestaat[[#This Row],[Oppervlak (netto)]]</f>
        <v>17660</v>
      </c>
      <c r="X188" s="90">
        <f>IF(V188&gt;0,Ruimtestaat[[#This Row],[Prest. (m2 /jaar) werkdagen]]/Ruimtestaat[[#This Row],[Norm (m2/uur) werkdagen]],0)</f>
        <v>0</v>
      </c>
      <c r="Y188" s="91">
        <f>Ruimtestaat[[#This Row],[uren / jaar werkdagen]]*Tariefsopbouw!$E$35</f>
        <v>0</v>
      </c>
      <c r="Z188" s="88"/>
      <c r="AA188" s="92">
        <f>IF(Ruimtestaat[[#This Row],[Frequentie weekend]]&gt;0,VALUE(LEFT(Z188,1))*S188,0)</f>
        <v>0</v>
      </c>
      <c r="AB188" s="88">
        <f>IF($AA188&gt;0,VLOOKUP($K188,Ruimtegroepen[],3,FALSE)*VLOOKUP($M188,Vloersoorten[],3,FALSE)*VLOOKUP($Z188,Frequenties[],3,FALSE)*VLOOKUP(#REF!,Locaties[],3,FALSE),0)</f>
        <v>0</v>
      </c>
      <c r="AC188" s="90">
        <f>Ruimtestaat[[#This Row],[Uitvoeringen weekend]]*Ruimtestaat[[#This Row],[Oppervlak (netto)]]</f>
        <v>0</v>
      </c>
      <c r="AD188" s="93">
        <f>IF(AC188&gt;0,Ruimtestaat[[#This Row],[Prest. (m2 /jaar) weekend]]/Ruimtestaat[[#This Row],[Norm (m2/uur) weekend]],0)</f>
        <v>0</v>
      </c>
      <c r="AE188" s="94">
        <f>Ruimtestaat[[#This Row],[uren / jaar weekend]]*Tariefsopbouw!$D$40</f>
        <v>0</v>
      </c>
      <c r="AF188" s="66">
        <f>Ruimtestaat[[#This Row],[Prest. (m2 /jaar) weekend]]+Ruimtestaat[[#This Row],[Prest. (m2 /jaar) werkdagen]]</f>
        <v>17660</v>
      </c>
      <c r="AG188" s="66">
        <f>Ruimtestaat[[#This Row],[uren / jaar weekend]]+Ruimtestaat[[#This Row],[uren / jaar werkdagen]]</f>
        <v>0</v>
      </c>
      <c r="AH188" s="67">
        <f>Ruimtestaat[[#This Row],[kosten / jaar weekend]]+Ruimtestaat[[#This Row],[kosten / jaar werkdagen]]</f>
        <v>0</v>
      </c>
    </row>
    <row r="189" spans="1:34" ht="15" customHeight="1">
      <c r="A189" s="112">
        <v>2</v>
      </c>
      <c r="B189" s="23" t="str">
        <f>VLOOKUP(Ruimtestaat[[#This Row],[Code]],Locaties[#All],2,FALSE)</f>
        <v>RSG Slingerbos</v>
      </c>
      <c r="C189" s="23" t="str">
        <f>VLOOKUP(Ruimtestaat[[#This Row],[Code]],Locaties[#All],4,FALSE)</f>
        <v>Eisenhowerlaan 59</v>
      </c>
      <c r="D189" s="23" t="str">
        <f>VLOOKUP(Ruimtestaat[[#This Row],[Code]],Locaties[#All],5,FALSE)</f>
        <v>3844 AS</v>
      </c>
      <c r="E189" s="23" t="str">
        <f>VLOOKUP(Ruimtestaat[[#This Row],[Code]],Locaties[#All],6,FALSE)</f>
        <v>Harderwijk</v>
      </c>
      <c r="F189" s="23"/>
      <c r="G189" s="60" t="s">
        <v>885</v>
      </c>
      <c r="H189" s="23" t="s">
        <v>535</v>
      </c>
      <c r="I189" s="23" t="s">
        <v>731</v>
      </c>
      <c r="J189" s="3" t="s">
        <v>1038</v>
      </c>
      <c r="K189" s="23">
        <v>7</v>
      </c>
      <c r="L189" s="60" t="str">
        <f>VLOOKUP(K189,Ruimtegroepen[],2,FALSE)</f>
        <v>Entree</v>
      </c>
      <c r="M189" s="23" t="s">
        <v>112</v>
      </c>
      <c r="N189" s="23" t="s">
        <v>1090</v>
      </c>
      <c r="O189" s="96">
        <v>111.4</v>
      </c>
      <c r="P189" s="86"/>
      <c r="Q189" s="95" t="str">
        <f>LEFT(VLOOKUP(Ruimtestaat[[#This Row],[Ruimte code]],Ruimtegroepen[#All],4,1),2)</f>
        <v xml:space="preserve">V </v>
      </c>
      <c r="R189" s="95"/>
      <c r="S189" s="87">
        <v>40</v>
      </c>
      <c r="T189" s="87" t="s">
        <v>2</v>
      </c>
      <c r="U189" s="88">
        <f>IF(S189&gt;0,IF(RIGHT(Ruimtestaat[[#This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89" s="88">
        <f>IF(U189&gt;0,VLOOKUP($K189,Ruimtegroepen[],3,FALSE)*VLOOKUP($M189,Vloersoorten[],3,FALSE)*VLOOKUP($T189,Frequenties[],3,FALSE)*VLOOKUP($A189,Locaties[],3,FALSE),0)</f>
        <v>0</v>
      </c>
      <c r="W189" s="89">
        <f>Ruimtestaat[[#This Row],[Uitvoeringen werkdagen]]*Ruimtestaat[[#This Row],[Oppervlak (netto)]]</f>
        <v>22280</v>
      </c>
      <c r="X189" s="90">
        <f>IF(V189&gt;0,Ruimtestaat[[#This Row],[Prest. (m2 /jaar) werkdagen]]/Ruimtestaat[[#This Row],[Norm (m2/uur) werkdagen]],0)</f>
        <v>0</v>
      </c>
      <c r="Y189" s="91">
        <f>Ruimtestaat[[#This Row],[uren / jaar werkdagen]]*Tariefsopbouw!$E$35</f>
        <v>0</v>
      </c>
      <c r="Z189" s="88"/>
      <c r="AA189" s="92">
        <f>IF(Ruimtestaat[[#This Row],[Frequentie weekend]]&gt;0,VALUE(LEFT(Z189,1))*S189,0)</f>
        <v>0</v>
      </c>
      <c r="AB189" s="88">
        <f>IF($AA189&gt;0,VLOOKUP($K189,Ruimtegroepen[],3,FALSE)*VLOOKUP($M189,Vloersoorten[],3,FALSE)*VLOOKUP($Z189,Frequenties[],3,FALSE)*VLOOKUP(#REF!,Locaties[],3,FALSE),0)</f>
        <v>0</v>
      </c>
      <c r="AC189" s="90">
        <f>Ruimtestaat[[#This Row],[Uitvoeringen weekend]]*Ruimtestaat[[#This Row],[Oppervlak (netto)]]</f>
        <v>0</v>
      </c>
      <c r="AD189" s="93">
        <f>IF(AC189&gt;0,Ruimtestaat[[#This Row],[Prest. (m2 /jaar) weekend]]/Ruimtestaat[[#This Row],[Norm (m2/uur) weekend]],0)</f>
        <v>0</v>
      </c>
      <c r="AE189" s="94">
        <f>Ruimtestaat[[#This Row],[uren / jaar weekend]]*Tariefsopbouw!$D$40</f>
        <v>0</v>
      </c>
      <c r="AF189" s="66">
        <f>Ruimtestaat[[#This Row],[Prest. (m2 /jaar) weekend]]+Ruimtestaat[[#This Row],[Prest. (m2 /jaar) werkdagen]]</f>
        <v>22280</v>
      </c>
      <c r="AG189" s="66">
        <f>Ruimtestaat[[#This Row],[uren / jaar weekend]]+Ruimtestaat[[#This Row],[uren / jaar werkdagen]]</f>
        <v>0</v>
      </c>
      <c r="AH189" s="67">
        <f>Ruimtestaat[[#This Row],[kosten / jaar weekend]]+Ruimtestaat[[#This Row],[kosten / jaar werkdagen]]</f>
        <v>0</v>
      </c>
    </row>
    <row r="190" spans="1:34" ht="15" customHeight="1">
      <c r="A190" s="112">
        <v>2</v>
      </c>
      <c r="B190" s="23" t="str">
        <f>VLOOKUP(Ruimtestaat[[#This Row],[Code]],Locaties[#All],2,FALSE)</f>
        <v>RSG Slingerbos</v>
      </c>
      <c r="C190" s="23" t="str">
        <f>VLOOKUP(Ruimtestaat[[#This Row],[Code]],Locaties[#All],4,FALSE)</f>
        <v>Eisenhowerlaan 59</v>
      </c>
      <c r="D190" s="23" t="str">
        <f>VLOOKUP(Ruimtestaat[[#This Row],[Code]],Locaties[#All],5,FALSE)</f>
        <v>3844 AS</v>
      </c>
      <c r="E190" s="23" t="str">
        <f>VLOOKUP(Ruimtestaat[[#This Row],[Code]],Locaties[#All],6,FALSE)</f>
        <v>Harderwijk</v>
      </c>
      <c r="F190" s="23"/>
      <c r="G190" s="60" t="s">
        <v>886</v>
      </c>
      <c r="H190" s="23" t="s">
        <v>535</v>
      </c>
      <c r="I190" s="23" t="s">
        <v>732</v>
      </c>
      <c r="J190" s="3" t="s">
        <v>1025</v>
      </c>
      <c r="K190" s="23">
        <v>6</v>
      </c>
      <c r="L190" s="60" t="str">
        <f>VLOOKUP(K190,Ruimtegroepen[],2,FALSE)</f>
        <v>Gangen/hallen</v>
      </c>
      <c r="M190" s="23" t="s">
        <v>112</v>
      </c>
      <c r="N190" s="23" t="s">
        <v>1090</v>
      </c>
      <c r="O190" s="86">
        <v>77.8</v>
      </c>
      <c r="P190" s="86"/>
      <c r="Q190" s="95" t="str">
        <f>LEFT(VLOOKUP(Ruimtestaat[[#This Row],[Ruimte code]],Ruimtegroepen[#All],4,1),2)</f>
        <v xml:space="preserve">V </v>
      </c>
      <c r="R190" s="95"/>
      <c r="S190" s="87">
        <v>40</v>
      </c>
      <c r="T190" s="87" t="s">
        <v>2</v>
      </c>
      <c r="U190" s="88">
        <f>IF(S190&gt;0,IF(RIGHT(Ruimtestaat[[#This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90" s="88">
        <f>IF(U190&gt;0,VLOOKUP($K190,Ruimtegroepen[],3,FALSE)*VLOOKUP($M190,Vloersoorten[],3,FALSE)*VLOOKUP($T190,Frequenties[],3,FALSE)*VLOOKUP($A190,Locaties[],3,FALSE),0)</f>
        <v>0</v>
      </c>
      <c r="W190" s="89">
        <f>Ruimtestaat[[#This Row],[Uitvoeringen werkdagen]]*Ruimtestaat[[#This Row],[Oppervlak (netto)]]</f>
        <v>15560</v>
      </c>
      <c r="X190" s="90">
        <f>IF(V190&gt;0,Ruimtestaat[[#This Row],[Prest. (m2 /jaar) werkdagen]]/Ruimtestaat[[#This Row],[Norm (m2/uur) werkdagen]],0)</f>
        <v>0</v>
      </c>
      <c r="Y190" s="91">
        <f>Ruimtestaat[[#This Row],[uren / jaar werkdagen]]*Tariefsopbouw!$E$35</f>
        <v>0</v>
      </c>
      <c r="Z190" s="88"/>
      <c r="AA190" s="92">
        <f>IF(Ruimtestaat[[#This Row],[Frequentie weekend]]&gt;0,VALUE(LEFT(Z190,1))*S190,0)</f>
        <v>0</v>
      </c>
      <c r="AB190" s="88">
        <f>IF($AA190&gt;0,VLOOKUP($K190,Ruimtegroepen[],3,FALSE)*VLOOKUP($M190,Vloersoorten[],3,FALSE)*VLOOKUP($Z190,Frequenties[],3,FALSE)*VLOOKUP(#REF!,Locaties[],3,FALSE),0)</f>
        <v>0</v>
      </c>
      <c r="AC190" s="90">
        <f>Ruimtestaat[[#This Row],[Uitvoeringen weekend]]*Ruimtestaat[[#This Row],[Oppervlak (netto)]]</f>
        <v>0</v>
      </c>
      <c r="AD190" s="93">
        <f>IF(AC190&gt;0,Ruimtestaat[[#This Row],[Prest. (m2 /jaar) weekend]]/Ruimtestaat[[#This Row],[Norm (m2/uur) weekend]],0)</f>
        <v>0</v>
      </c>
      <c r="AE190" s="94">
        <f>Ruimtestaat[[#This Row],[uren / jaar weekend]]*Tariefsopbouw!$D$40</f>
        <v>0</v>
      </c>
      <c r="AF190" s="66">
        <f>Ruimtestaat[[#This Row],[Prest. (m2 /jaar) weekend]]+Ruimtestaat[[#This Row],[Prest. (m2 /jaar) werkdagen]]</f>
        <v>15560</v>
      </c>
      <c r="AG190" s="66">
        <f>Ruimtestaat[[#This Row],[uren / jaar weekend]]+Ruimtestaat[[#This Row],[uren / jaar werkdagen]]</f>
        <v>0</v>
      </c>
      <c r="AH190" s="67">
        <f>Ruimtestaat[[#This Row],[kosten / jaar weekend]]+Ruimtestaat[[#This Row],[kosten / jaar werkdagen]]</f>
        <v>0</v>
      </c>
    </row>
    <row r="191" spans="1:34" ht="15" customHeight="1">
      <c r="A191" s="112">
        <v>2</v>
      </c>
      <c r="B191" s="23" t="str">
        <f>VLOOKUP(Ruimtestaat[[#This Row],[Code]],Locaties[#All],2,FALSE)</f>
        <v>RSG Slingerbos</v>
      </c>
      <c r="C191" s="23" t="str">
        <f>VLOOKUP(Ruimtestaat[[#This Row],[Code]],Locaties[#All],4,FALSE)</f>
        <v>Eisenhowerlaan 59</v>
      </c>
      <c r="D191" s="23" t="str">
        <f>VLOOKUP(Ruimtestaat[[#This Row],[Code]],Locaties[#All],5,FALSE)</f>
        <v>3844 AS</v>
      </c>
      <c r="E191" s="23" t="str">
        <f>VLOOKUP(Ruimtestaat[[#This Row],[Code]],Locaties[#All],6,FALSE)</f>
        <v>Harderwijk</v>
      </c>
      <c r="F191" s="23"/>
      <c r="G191" s="60" t="s">
        <v>887</v>
      </c>
      <c r="H191" s="23" t="s">
        <v>535</v>
      </c>
      <c r="I191" s="23" t="s">
        <v>733</v>
      </c>
      <c r="J191" s="3" t="s">
        <v>1025</v>
      </c>
      <c r="K191" s="23">
        <v>6</v>
      </c>
      <c r="L191" s="60" t="str">
        <f>VLOOKUP(K191,Ruimtegroepen[],2,FALSE)</f>
        <v>Gangen/hallen</v>
      </c>
      <c r="M191" s="23" t="s">
        <v>112</v>
      </c>
      <c r="N191" s="23" t="s">
        <v>1090</v>
      </c>
      <c r="O191" s="86">
        <v>116.2</v>
      </c>
      <c r="P191" s="86"/>
      <c r="Q191" s="95" t="str">
        <f>LEFT(VLOOKUP(Ruimtestaat[[#This Row],[Ruimte code]],Ruimtegroepen[#All],4,1),2)</f>
        <v xml:space="preserve">V </v>
      </c>
      <c r="R191" s="95"/>
      <c r="S191" s="87">
        <v>40</v>
      </c>
      <c r="T191" s="87" t="s">
        <v>2</v>
      </c>
      <c r="U191" s="88">
        <f>IF(S191&gt;0,IF(RIGHT(Ruimtestaat[[#This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91" s="88">
        <f>IF(U191&gt;0,VLOOKUP($K191,Ruimtegroepen[],3,FALSE)*VLOOKUP($M191,Vloersoorten[],3,FALSE)*VLOOKUP($T191,Frequenties[],3,FALSE)*VLOOKUP($A191,Locaties[],3,FALSE),0)</f>
        <v>0</v>
      </c>
      <c r="W191" s="89">
        <f>Ruimtestaat[[#This Row],[Uitvoeringen werkdagen]]*Ruimtestaat[[#This Row],[Oppervlak (netto)]]</f>
        <v>23240</v>
      </c>
      <c r="X191" s="90">
        <f>IF(V191&gt;0,Ruimtestaat[[#This Row],[Prest. (m2 /jaar) werkdagen]]/Ruimtestaat[[#This Row],[Norm (m2/uur) werkdagen]],0)</f>
        <v>0</v>
      </c>
      <c r="Y191" s="91">
        <f>Ruimtestaat[[#This Row],[uren / jaar werkdagen]]*Tariefsopbouw!$E$35</f>
        <v>0</v>
      </c>
      <c r="Z191" s="88"/>
      <c r="AA191" s="92">
        <f>IF(Ruimtestaat[[#This Row],[Frequentie weekend]]&gt;0,VALUE(LEFT(Z191,1))*S191,0)</f>
        <v>0</v>
      </c>
      <c r="AB191" s="88">
        <f>IF($AA191&gt;0,VLOOKUP($K191,Ruimtegroepen[],3,FALSE)*VLOOKUP($M191,Vloersoorten[],3,FALSE)*VLOOKUP($Z191,Frequenties[],3,FALSE)*VLOOKUP(#REF!,Locaties[],3,FALSE),0)</f>
        <v>0</v>
      </c>
      <c r="AC191" s="90">
        <f>Ruimtestaat[[#This Row],[Uitvoeringen weekend]]*Ruimtestaat[[#This Row],[Oppervlak (netto)]]</f>
        <v>0</v>
      </c>
      <c r="AD191" s="93">
        <f>IF(AC191&gt;0,Ruimtestaat[[#This Row],[Prest. (m2 /jaar) weekend]]/Ruimtestaat[[#This Row],[Norm (m2/uur) weekend]],0)</f>
        <v>0</v>
      </c>
      <c r="AE191" s="94">
        <f>Ruimtestaat[[#This Row],[uren / jaar weekend]]*Tariefsopbouw!$D$40</f>
        <v>0</v>
      </c>
      <c r="AF191" s="66">
        <f>Ruimtestaat[[#This Row],[Prest. (m2 /jaar) weekend]]+Ruimtestaat[[#This Row],[Prest. (m2 /jaar) werkdagen]]</f>
        <v>23240</v>
      </c>
      <c r="AG191" s="66">
        <f>Ruimtestaat[[#This Row],[uren / jaar weekend]]+Ruimtestaat[[#This Row],[uren / jaar werkdagen]]</f>
        <v>0</v>
      </c>
      <c r="AH191" s="67">
        <f>Ruimtestaat[[#This Row],[kosten / jaar weekend]]+Ruimtestaat[[#This Row],[kosten / jaar werkdagen]]</f>
        <v>0</v>
      </c>
    </row>
    <row r="192" spans="1:34" ht="15" customHeight="1">
      <c r="A192" s="112">
        <v>2</v>
      </c>
      <c r="B192" s="23" t="str">
        <f>VLOOKUP(Ruimtestaat[[#This Row],[Code]],Locaties[#All],2,FALSE)</f>
        <v>RSG Slingerbos</v>
      </c>
      <c r="C192" s="23" t="str">
        <f>VLOOKUP(Ruimtestaat[[#This Row],[Code]],Locaties[#All],4,FALSE)</f>
        <v>Eisenhowerlaan 59</v>
      </c>
      <c r="D192" s="23" t="str">
        <f>VLOOKUP(Ruimtestaat[[#This Row],[Code]],Locaties[#All],5,FALSE)</f>
        <v>3844 AS</v>
      </c>
      <c r="E192" s="23" t="str">
        <f>VLOOKUP(Ruimtestaat[[#This Row],[Code]],Locaties[#All],6,FALSE)</f>
        <v>Harderwijk</v>
      </c>
      <c r="F192" s="23"/>
      <c r="G192" s="60" t="s">
        <v>888</v>
      </c>
      <c r="H192" s="23" t="s">
        <v>535</v>
      </c>
      <c r="I192" s="23" t="s">
        <v>734</v>
      </c>
      <c r="J192" s="3" t="s">
        <v>1025</v>
      </c>
      <c r="K192" s="23">
        <v>6</v>
      </c>
      <c r="L192" s="60" t="str">
        <f>VLOOKUP(K192,Ruimtegroepen[],2,FALSE)</f>
        <v>Gangen/hallen</v>
      </c>
      <c r="M192" s="23" t="s">
        <v>112</v>
      </c>
      <c r="N192" s="23" t="s">
        <v>1090</v>
      </c>
      <c r="O192" s="86">
        <v>66.3</v>
      </c>
      <c r="P192" s="86"/>
      <c r="Q192" s="95" t="str">
        <f>LEFT(VLOOKUP(Ruimtestaat[[#This Row],[Ruimte code]],Ruimtegroepen[#All],4,1),2)</f>
        <v xml:space="preserve">V </v>
      </c>
      <c r="R192" s="95"/>
      <c r="S192" s="87">
        <v>40</v>
      </c>
      <c r="T192" s="87" t="s">
        <v>2</v>
      </c>
      <c r="U192" s="88">
        <f>IF(S192&gt;0,IF(RIGHT(Ruimtestaat[[#This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92" s="88">
        <f>IF(U192&gt;0,VLOOKUP($K192,Ruimtegroepen[],3,FALSE)*VLOOKUP($M192,Vloersoorten[],3,FALSE)*VLOOKUP($T192,Frequenties[],3,FALSE)*VLOOKUP($A192,Locaties[],3,FALSE),0)</f>
        <v>0</v>
      </c>
      <c r="W192" s="89">
        <f>Ruimtestaat[[#This Row],[Uitvoeringen werkdagen]]*Ruimtestaat[[#This Row],[Oppervlak (netto)]]</f>
        <v>13260</v>
      </c>
      <c r="X192" s="90">
        <f>IF(V192&gt;0,Ruimtestaat[[#This Row],[Prest. (m2 /jaar) werkdagen]]/Ruimtestaat[[#This Row],[Norm (m2/uur) werkdagen]],0)</f>
        <v>0</v>
      </c>
      <c r="Y192" s="91">
        <f>Ruimtestaat[[#This Row],[uren / jaar werkdagen]]*Tariefsopbouw!$E$35</f>
        <v>0</v>
      </c>
      <c r="Z192" s="88"/>
      <c r="AA192" s="92">
        <f>IF(Ruimtestaat[[#This Row],[Frequentie weekend]]&gt;0,VALUE(LEFT(Z192,1))*S192,0)</f>
        <v>0</v>
      </c>
      <c r="AB192" s="88">
        <f>IF($AA192&gt;0,VLOOKUP($K192,Ruimtegroepen[],3,FALSE)*VLOOKUP($M192,Vloersoorten[],3,FALSE)*VLOOKUP($Z192,Frequenties[],3,FALSE)*VLOOKUP(#REF!,Locaties[],3,FALSE),0)</f>
        <v>0</v>
      </c>
      <c r="AC192" s="90">
        <f>Ruimtestaat[[#This Row],[Uitvoeringen weekend]]*Ruimtestaat[[#This Row],[Oppervlak (netto)]]</f>
        <v>0</v>
      </c>
      <c r="AD192" s="93">
        <f>IF(AC192&gt;0,Ruimtestaat[[#This Row],[Prest. (m2 /jaar) weekend]]/Ruimtestaat[[#This Row],[Norm (m2/uur) weekend]],0)</f>
        <v>0</v>
      </c>
      <c r="AE192" s="94">
        <f>Ruimtestaat[[#This Row],[uren / jaar weekend]]*Tariefsopbouw!$D$40</f>
        <v>0</v>
      </c>
      <c r="AF192" s="66">
        <f>Ruimtestaat[[#This Row],[Prest. (m2 /jaar) weekend]]+Ruimtestaat[[#This Row],[Prest. (m2 /jaar) werkdagen]]</f>
        <v>13260</v>
      </c>
      <c r="AG192" s="66">
        <f>Ruimtestaat[[#This Row],[uren / jaar weekend]]+Ruimtestaat[[#This Row],[uren / jaar werkdagen]]</f>
        <v>0</v>
      </c>
      <c r="AH192" s="67">
        <f>Ruimtestaat[[#This Row],[kosten / jaar weekend]]+Ruimtestaat[[#This Row],[kosten / jaar werkdagen]]</f>
        <v>0</v>
      </c>
    </row>
    <row r="193" spans="1:34" ht="15" customHeight="1">
      <c r="A193" s="112">
        <v>2</v>
      </c>
      <c r="B193" s="23" t="str">
        <f>VLOOKUP(Ruimtestaat[[#This Row],[Code]],Locaties[#All],2,FALSE)</f>
        <v>RSG Slingerbos</v>
      </c>
      <c r="C193" s="23" t="str">
        <f>VLOOKUP(Ruimtestaat[[#This Row],[Code]],Locaties[#All],4,FALSE)</f>
        <v>Eisenhowerlaan 59</v>
      </c>
      <c r="D193" s="23" t="str">
        <f>VLOOKUP(Ruimtestaat[[#This Row],[Code]],Locaties[#All],5,FALSE)</f>
        <v>3844 AS</v>
      </c>
      <c r="E193" s="23" t="str">
        <f>VLOOKUP(Ruimtestaat[[#This Row],[Code]],Locaties[#All],6,FALSE)</f>
        <v>Harderwijk</v>
      </c>
      <c r="F193" s="23"/>
      <c r="G193" s="60" t="s">
        <v>889</v>
      </c>
      <c r="H193" s="23" t="s">
        <v>535</v>
      </c>
      <c r="I193" s="23" t="s">
        <v>735</v>
      </c>
      <c r="J193" s="3" t="s">
        <v>1025</v>
      </c>
      <c r="K193" s="23">
        <v>6</v>
      </c>
      <c r="L193" s="60" t="str">
        <f>VLOOKUP(K193,Ruimtegroepen[],2,FALSE)</f>
        <v>Gangen/hallen</v>
      </c>
      <c r="M193" s="23" t="s">
        <v>112</v>
      </c>
      <c r="N193" s="23" t="s">
        <v>1090</v>
      </c>
      <c r="O193" s="86">
        <v>153.30000000000001</v>
      </c>
      <c r="P193" s="86"/>
      <c r="Q193" s="95" t="str">
        <f>LEFT(VLOOKUP(Ruimtestaat[[#This Row],[Ruimte code]],Ruimtegroepen[#All],4,1),2)</f>
        <v xml:space="preserve">V </v>
      </c>
      <c r="R193" s="95"/>
      <c r="S193" s="87">
        <v>40</v>
      </c>
      <c r="T193" s="87" t="s">
        <v>2</v>
      </c>
      <c r="U193" s="88">
        <f>IF(S193&gt;0,IF(RIGHT(Ruimtestaat[[#This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93" s="88">
        <f>IF(U193&gt;0,VLOOKUP($K193,Ruimtegroepen[],3,FALSE)*VLOOKUP($M193,Vloersoorten[],3,FALSE)*VLOOKUP($T193,Frequenties[],3,FALSE)*VLOOKUP($A193,Locaties[],3,FALSE),0)</f>
        <v>0</v>
      </c>
      <c r="W193" s="89">
        <f>Ruimtestaat[[#This Row],[Uitvoeringen werkdagen]]*Ruimtestaat[[#This Row],[Oppervlak (netto)]]</f>
        <v>30660.000000000004</v>
      </c>
      <c r="X193" s="90">
        <f>IF(V193&gt;0,Ruimtestaat[[#This Row],[Prest. (m2 /jaar) werkdagen]]/Ruimtestaat[[#This Row],[Norm (m2/uur) werkdagen]],0)</f>
        <v>0</v>
      </c>
      <c r="Y193" s="91">
        <f>Ruimtestaat[[#This Row],[uren / jaar werkdagen]]*Tariefsopbouw!$E$35</f>
        <v>0</v>
      </c>
      <c r="Z193" s="88"/>
      <c r="AA193" s="92">
        <f>IF(Ruimtestaat[[#This Row],[Frequentie weekend]]&gt;0,VALUE(LEFT(Z193,1))*S193,0)</f>
        <v>0</v>
      </c>
      <c r="AB193" s="88">
        <f>IF($AA193&gt;0,VLOOKUP($K193,Ruimtegroepen[],3,FALSE)*VLOOKUP($M193,Vloersoorten[],3,FALSE)*VLOOKUP($Z193,Frequenties[],3,FALSE)*VLOOKUP(#REF!,Locaties[],3,FALSE),0)</f>
        <v>0</v>
      </c>
      <c r="AC193" s="90">
        <f>Ruimtestaat[[#This Row],[Uitvoeringen weekend]]*Ruimtestaat[[#This Row],[Oppervlak (netto)]]</f>
        <v>0</v>
      </c>
      <c r="AD193" s="93">
        <f>IF(AC193&gt;0,Ruimtestaat[[#This Row],[Prest. (m2 /jaar) weekend]]/Ruimtestaat[[#This Row],[Norm (m2/uur) weekend]],0)</f>
        <v>0</v>
      </c>
      <c r="AE193" s="94">
        <f>Ruimtestaat[[#This Row],[uren / jaar weekend]]*Tariefsopbouw!$D$40</f>
        <v>0</v>
      </c>
      <c r="AF193" s="66">
        <f>Ruimtestaat[[#This Row],[Prest. (m2 /jaar) weekend]]+Ruimtestaat[[#This Row],[Prest. (m2 /jaar) werkdagen]]</f>
        <v>30660.000000000004</v>
      </c>
      <c r="AG193" s="66">
        <f>Ruimtestaat[[#This Row],[uren / jaar weekend]]+Ruimtestaat[[#This Row],[uren / jaar werkdagen]]</f>
        <v>0</v>
      </c>
      <c r="AH193" s="67">
        <f>Ruimtestaat[[#This Row],[kosten / jaar weekend]]+Ruimtestaat[[#This Row],[kosten / jaar werkdagen]]</f>
        <v>0</v>
      </c>
    </row>
    <row r="194" spans="1:34" ht="15" customHeight="1">
      <c r="A194" s="112">
        <v>2</v>
      </c>
      <c r="B194" s="23" t="str">
        <f>VLOOKUP(Ruimtestaat[[#This Row],[Code]],Locaties[#All],2,FALSE)</f>
        <v>RSG Slingerbos</v>
      </c>
      <c r="C194" s="23" t="str">
        <f>VLOOKUP(Ruimtestaat[[#This Row],[Code]],Locaties[#All],4,FALSE)</f>
        <v>Eisenhowerlaan 59</v>
      </c>
      <c r="D194" s="23" t="str">
        <f>VLOOKUP(Ruimtestaat[[#This Row],[Code]],Locaties[#All],5,FALSE)</f>
        <v>3844 AS</v>
      </c>
      <c r="E194" s="23" t="str">
        <f>VLOOKUP(Ruimtestaat[[#This Row],[Code]],Locaties[#All],6,FALSE)</f>
        <v>Harderwijk</v>
      </c>
      <c r="F194" s="23"/>
      <c r="G194" s="60" t="s">
        <v>890</v>
      </c>
      <c r="H194" s="23" t="s">
        <v>535</v>
      </c>
      <c r="I194" s="23" t="s">
        <v>736</v>
      </c>
      <c r="J194" s="3" t="s">
        <v>1039</v>
      </c>
      <c r="K194" s="23">
        <v>12</v>
      </c>
      <c r="L194" s="60" t="str">
        <f>VLOOKUP(K194,Ruimtegroepen[],2,FALSE)</f>
        <v>Kantine</v>
      </c>
      <c r="M194" s="23" t="s">
        <v>112</v>
      </c>
      <c r="N194" s="23" t="s">
        <v>1090</v>
      </c>
      <c r="O194" s="86">
        <v>575.20000000000005</v>
      </c>
      <c r="P194" s="86"/>
      <c r="Q194" s="95" t="str">
        <f>LEFT(VLOOKUP(Ruimtestaat[[#This Row],[Ruimte code]],Ruimtegroepen[#All],4,1),2)</f>
        <v xml:space="preserve">V </v>
      </c>
      <c r="R194" s="95"/>
      <c r="S194" s="87">
        <v>40</v>
      </c>
      <c r="T194" s="87" t="s">
        <v>19</v>
      </c>
      <c r="U194" s="88">
        <f>IF(S194&gt;0,IF(RIGHT(Ruimtestaat[[#This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400</v>
      </c>
      <c r="V194" s="88">
        <f>IF(U194&gt;0,VLOOKUP($K194,Ruimtegroepen[],3,FALSE)*VLOOKUP($M194,Vloersoorten[],3,FALSE)*VLOOKUP($T194,Frequenties[],3,FALSE)*VLOOKUP($A194,Locaties[],3,FALSE),0)</f>
        <v>0</v>
      </c>
      <c r="W194" s="89">
        <f>Ruimtestaat[[#This Row],[Uitvoeringen werkdagen]]*Ruimtestaat[[#This Row],[Oppervlak (netto)]]</f>
        <v>230080.00000000003</v>
      </c>
      <c r="X194" s="90">
        <f>IF(V194&gt;0,Ruimtestaat[[#This Row],[Prest. (m2 /jaar) werkdagen]]/Ruimtestaat[[#This Row],[Norm (m2/uur) werkdagen]],0)</f>
        <v>0</v>
      </c>
      <c r="Y194" s="91">
        <f>Ruimtestaat[[#This Row],[uren / jaar werkdagen]]*Tariefsopbouw!$E$35</f>
        <v>0</v>
      </c>
      <c r="Z194" s="88"/>
      <c r="AA194" s="92">
        <f>IF(Ruimtestaat[[#This Row],[Frequentie weekend]]&gt;0,VALUE(LEFT(Z194,1))*S194,0)</f>
        <v>0</v>
      </c>
      <c r="AB194" s="88">
        <f>IF($AA194&gt;0,VLOOKUP($K194,Ruimtegroepen[],3,FALSE)*VLOOKUP($M194,Vloersoorten[],3,FALSE)*VLOOKUP($Z194,Frequenties[],3,FALSE)*VLOOKUP(#REF!,Locaties[],3,FALSE),0)</f>
        <v>0</v>
      </c>
      <c r="AC194" s="90">
        <f>Ruimtestaat[[#This Row],[Uitvoeringen weekend]]*Ruimtestaat[[#This Row],[Oppervlak (netto)]]</f>
        <v>0</v>
      </c>
      <c r="AD194" s="93">
        <f>IF(AC194&gt;0,Ruimtestaat[[#This Row],[Prest. (m2 /jaar) weekend]]/Ruimtestaat[[#This Row],[Norm (m2/uur) weekend]],0)</f>
        <v>0</v>
      </c>
      <c r="AE194" s="94">
        <f>Ruimtestaat[[#This Row],[uren / jaar weekend]]*Tariefsopbouw!$D$40</f>
        <v>0</v>
      </c>
      <c r="AF194" s="66">
        <f>Ruimtestaat[[#This Row],[Prest. (m2 /jaar) weekend]]+Ruimtestaat[[#This Row],[Prest. (m2 /jaar) werkdagen]]</f>
        <v>230080.00000000003</v>
      </c>
      <c r="AG194" s="66">
        <f>Ruimtestaat[[#This Row],[uren / jaar weekend]]+Ruimtestaat[[#This Row],[uren / jaar werkdagen]]</f>
        <v>0</v>
      </c>
      <c r="AH194" s="67">
        <f>Ruimtestaat[[#This Row],[kosten / jaar weekend]]+Ruimtestaat[[#This Row],[kosten / jaar werkdagen]]</f>
        <v>0</v>
      </c>
    </row>
    <row r="195" spans="1:34" ht="15" customHeight="1">
      <c r="A195" s="112">
        <v>2</v>
      </c>
      <c r="B195" s="23" t="str">
        <f>VLOOKUP(Ruimtestaat[[#This Row],[Code]],Locaties[#All],2,FALSE)</f>
        <v>RSG Slingerbos</v>
      </c>
      <c r="C195" s="23" t="str">
        <f>VLOOKUP(Ruimtestaat[[#This Row],[Code]],Locaties[#All],4,FALSE)</f>
        <v>Eisenhowerlaan 59</v>
      </c>
      <c r="D195" s="23" t="str">
        <f>VLOOKUP(Ruimtestaat[[#This Row],[Code]],Locaties[#All],5,FALSE)</f>
        <v>3844 AS</v>
      </c>
      <c r="E195" s="23" t="str">
        <f>VLOOKUP(Ruimtestaat[[#This Row],[Code]],Locaties[#All],6,FALSE)</f>
        <v>Harderwijk</v>
      </c>
      <c r="F195" s="23"/>
      <c r="G195" s="60" t="s">
        <v>891</v>
      </c>
      <c r="H195" s="23" t="s">
        <v>535</v>
      </c>
      <c r="I195" s="23" t="s">
        <v>737</v>
      </c>
      <c r="J195" s="3" t="s">
        <v>1040</v>
      </c>
      <c r="K195" s="23">
        <v>16</v>
      </c>
      <c r="L195" s="60" t="str">
        <f>VLOOKUP(K195,Ruimtegroepen[],2,FALSE)</f>
        <v>Leslokalen theorie</v>
      </c>
      <c r="M195" s="23" t="s">
        <v>112</v>
      </c>
      <c r="N195" s="23" t="s">
        <v>1090</v>
      </c>
      <c r="O195" s="86">
        <v>6.1</v>
      </c>
      <c r="P195" s="86"/>
      <c r="Q195" s="95" t="str">
        <f>LEFT(VLOOKUP(Ruimtestaat[[#This Row],[Ruimte code]],Ruimtegroepen[#All],4,1),2)</f>
        <v xml:space="preserve">L </v>
      </c>
      <c r="R195" s="95"/>
      <c r="S195" s="87">
        <v>40</v>
      </c>
      <c r="T195" s="87" t="s">
        <v>2</v>
      </c>
      <c r="U195" s="88">
        <f>IF(S195&gt;0,IF(RIGHT(Ruimtestaat[[#This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95" s="88">
        <f>IF(U195&gt;0,VLOOKUP($K195,Ruimtegroepen[],3,FALSE)*VLOOKUP($M195,Vloersoorten[],3,FALSE)*VLOOKUP($T195,Frequenties[],3,FALSE)*VLOOKUP($A195,Locaties[],3,FALSE),0)</f>
        <v>0</v>
      </c>
      <c r="W195" s="89">
        <f>Ruimtestaat[[#This Row],[Uitvoeringen werkdagen]]*Ruimtestaat[[#This Row],[Oppervlak (netto)]]</f>
        <v>1220</v>
      </c>
      <c r="X195" s="90">
        <f>IF(V195&gt;0,Ruimtestaat[[#This Row],[Prest. (m2 /jaar) werkdagen]]/Ruimtestaat[[#This Row],[Norm (m2/uur) werkdagen]],0)</f>
        <v>0</v>
      </c>
      <c r="Y195" s="91">
        <f>Ruimtestaat[[#This Row],[uren / jaar werkdagen]]*Tariefsopbouw!$E$35</f>
        <v>0</v>
      </c>
      <c r="Z195" s="88"/>
      <c r="AA195" s="92">
        <f>IF(Ruimtestaat[[#This Row],[Frequentie weekend]]&gt;0,VALUE(LEFT(Z195,1))*S195,0)</f>
        <v>0</v>
      </c>
      <c r="AB195" s="88">
        <f>IF($AA195&gt;0,VLOOKUP($K195,Ruimtegroepen[],3,FALSE)*VLOOKUP($M195,Vloersoorten[],3,FALSE)*VLOOKUP($Z195,Frequenties[],3,FALSE)*VLOOKUP(#REF!,Locaties[],3,FALSE),0)</f>
        <v>0</v>
      </c>
      <c r="AC195" s="90">
        <f>Ruimtestaat[[#This Row],[Uitvoeringen weekend]]*Ruimtestaat[[#This Row],[Oppervlak (netto)]]</f>
        <v>0</v>
      </c>
      <c r="AD195" s="93">
        <f>IF(AC195&gt;0,Ruimtestaat[[#This Row],[Prest. (m2 /jaar) weekend]]/Ruimtestaat[[#This Row],[Norm (m2/uur) weekend]],0)</f>
        <v>0</v>
      </c>
      <c r="AE195" s="94">
        <f>Ruimtestaat[[#This Row],[uren / jaar weekend]]*Tariefsopbouw!$D$40</f>
        <v>0</v>
      </c>
      <c r="AF195" s="66">
        <f>Ruimtestaat[[#This Row],[Prest. (m2 /jaar) weekend]]+Ruimtestaat[[#This Row],[Prest. (m2 /jaar) werkdagen]]</f>
        <v>1220</v>
      </c>
      <c r="AG195" s="66">
        <f>Ruimtestaat[[#This Row],[uren / jaar weekend]]+Ruimtestaat[[#This Row],[uren / jaar werkdagen]]</f>
        <v>0</v>
      </c>
      <c r="AH195" s="67">
        <f>Ruimtestaat[[#This Row],[kosten / jaar weekend]]+Ruimtestaat[[#This Row],[kosten / jaar werkdagen]]</f>
        <v>0</v>
      </c>
    </row>
    <row r="196" spans="1:34" ht="15" customHeight="1">
      <c r="A196" s="112">
        <v>2</v>
      </c>
      <c r="B196" s="23" t="str">
        <f>VLOOKUP(Ruimtestaat[[#This Row],[Code]],Locaties[#All],2,FALSE)</f>
        <v>RSG Slingerbos</v>
      </c>
      <c r="C196" s="23" t="str">
        <f>VLOOKUP(Ruimtestaat[[#This Row],[Code]],Locaties[#All],4,FALSE)</f>
        <v>Eisenhowerlaan 59</v>
      </c>
      <c r="D196" s="23" t="str">
        <f>VLOOKUP(Ruimtestaat[[#This Row],[Code]],Locaties[#All],5,FALSE)</f>
        <v>3844 AS</v>
      </c>
      <c r="E196" s="23" t="str">
        <f>VLOOKUP(Ruimtestaat[[#This Row],[Code]],Locaties[#All],6,FALSE)</f>
        <v>Harderwijk</v>
      </c>
      <c r="F196" s="23"/>
      <c r="G196" s="60" t="s">
        <v>892</v>
      </c>
      <c r="H196" s="23" t="s">
        <v>535</v>
      </c>
      <c r="I196" s="23" t="s">
        <v>738</v>
      </c>
      <c r="J196" s="3" t="s">
        <v>1025</v>
      </c>
      <c r="K196" s="23">
        <v>6</v>
      </c>
      <c r="L196" s="60" t="str">
        <f>VLOOKUP(K196,Ruimtegroepen[],2,FALSE)</f>
        <v>Gangen/hallen</v>
      </c>
      <c r="M196" s="23" t="s">
        <v>112</v>
      </c>
      <c r="N196" s="23" t="s">
        <v>1090</v>
      </c>
      <c r="O196" s="86">
        <v>195.7</v>
      </c>
      <c r="P196" s="86"/>
      <c r="Q196" s="95" t="str">
        <f>LEFT(VLOOKUP(Ruimtestaat[[#This Row],[Ruimte code]],Ruimtegroepen[#All],4,1),2)</f>
        <v xml:space="preserve">V </v>
      </c>
      <c r="R196" s="95"/>
      <c r="S196" s="87">
        <v>40</v>
      </c>
      <c r="T196" s="87" t="s">
        <v>2</v>
      </c>
      <c r="U196" s="88">
        <f>IF(S196&gt;0,IF(RIGHT(Ruimtestaat[[#This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96" s="88">
        <f>IF(U196&gt;0,VLOOKUP($K196,Ruimtegroepen[],3,FALSE)*VLOOKUP($M196,Vloersoorten[],3,FALSE)*VLOOKUP($T196,Frequenties[],3,FALSE)*VLOOKUP($A196,Locaties[],3,FALSE),0)</f>
        <v>0</v>
      </c>
      <c r="W196" s="89">
        <f>Ruimtestaat[[#This Row],[Uitvoeringen werkdagen]]*Ruimtestaat[[#This Row],[Oppervlak (netto)]]</f>
        <v>39140</v>
      </c>
      <c r="X196" s="90">
        <f>IF(V196&gt;0,Ruimtestaat[[#This Row],[Prest. (m2 /jaar) werkdagen]]/Ruimtestaat[[#This Row],[Norm (m2/uur) werkdagen]],0)</f>
        <v>0</v>
      </c>
      <c r="Y196" s="91">
        <f>Ruimtestaat[[#This Row],[uren / jaar werkdagen]]*Tariefsopbouw!$E$35</f>
        <v>0</v>
      </c>
      <c r="Z196" s="88"/>
      <c r="AA196" s="92">
        <f>IF(Ruimtestaat[[#This Row],[Frequentie weekend]]&gt;0,VALUE(LEFT(Z196,1))*S196,0)</f>
        <v>0</v>
      </c>
      <c r="AB196" s="88">
        <f>IF($AA196&gt;0,VLOOKUP($K196,Ruimtegroepen[],3,FALSE)*VLOOKUP($M196,Vloersoorten[],3,FALSE)*VLOOKUP($Z196,Frequenties[],3,FALSE)*VLOOKUP(#REF!,Locaties[],3,FALSE),0)</f>
        <v>0</v>
      </c>
      <c r="AC196" s="90">
        <f>Ruimtestaat[[#This Row],[Uitvoeringen weekend]]*Ruimtestaat[[#This Row],[Oppervlak (netto)]]</f>
        <v>0</v>
      </c>
      <c r="AD196" s="93">
        <f>IF(AC196&gt;0,Ruimtestaat[[#This Row],[Prest. (m2 /jaar) weekend]]/Ruimtestaat[[#This Row],[Norm (m2/uur) weekend]],0)</f>
        <v>0</v>
      </c>
      <c r="AE196" s="94">
        <f>Ruimtestaat[[#This Row],[uren / jaar weekend]]*Tariefsopbouw!$D$40</f>
        <v>0</v>
      </c>
      <c r="AF196" s="66">
        <f>Ruimtestaat[[#This Row],[Prest. (m2 /jaar) weekend]]+Ruimtestaat[[#This Row],[Prest. (m2 /jaar) werkdagen]]</f>
        <v>39140</v>
      </c>
      <c r="AG196" s="66">
        <f>Ruimtestaat[[#This Row],[uren / jaar weekend]]+Ruimtestaat[[#This Row],[uren / jaar werkdagen]]</f>
        <v>0</v>
      </c>
      <c r="AH196" s="67">
        <f>Ruimtestaat[[#This Row],[kosten / jaar weekend]]+Ruimtestaat[[#This Row],[kosten / jaar werkdagen]]</f>
        <v>0</v>
      </c>
    </row>
    <row r="197" spans="1:34" ht="15" customHeight="1">
      <c r="A197" s="112">
        <v>2</v>
      </c>
      <c r="B197" s="23" t="str">
        <f>VLOOKUP(Ruimtestaat[[#This Row],[Code]],Locaties[#All],2,FALSE)</f>
        <v>RSG Slingerbos</v>
      </c>
      <c r="C197" s="23" t="str">
        <f>VLOOKUP(Ruimtestaat[[#This Row],[Code]],Locaties[#All],4,FALSE)</f>
        <v>Eisenhowerlaan 59</v>
      </c>
      <c r="D197" s="23" t="str">
        <f>VLOOKUP(Ruimtestaat[[#This Row],[Code]],Locaties[#All],5,FALSE)</f>
        <v>3844 AS</v>
      </c>
      <c r="E197" s="23" t="str">
        <f>VLOOKUP(Ruimtestaat[[#This Row],[Code]],Locaties[#All],6,FALSE)</f>
        <v>Harderwijk</v>
      </c>
      <c r="F197" s="23"/>
      <c r="G197" s="60" t="s">
        <v>893</v>
      </c>
      <c r="H197" s="23" t="s">
        <v>535</v>
      </c>
      <c r="I197" s="23" t="s">
        <v>739</v>
      </c>
      <c r="J197" s="3" t="s">
        <v>1025</v>
      </c>
      <c r="K197" s="23">
        <v>6</v>
      </c>
      <c r="L197" s="60" t="str">
        <f>VLOOKUP(K197,Ruimtegroepen[],2,FALSE)</f>
        <v>Gangen/hallen</v>
      </c>
      <c r="M197" s="23" t="s">
        <v>112</v>
      </c>
      <c r="N197" s="23" t="s">
        <v>1090</v>
      </c>
      <c r="O197" s="86">
        <v>122.2</v>
      </c>
      <c r="P197" s="86"/>
      <c r="Q197" s="95" t="str">
        <f>LEFT(VLOOKUP(Ruimtestaat[[#This Row],[Ruimte code]],Ruimtegroepen[#All],4,1),2)</f>
        <v xml:space="preserve">V </v>
      </c>
      <c r="R197" s="95"/>
      <c r="S197" s="87">
        <v>40</v>
      </c>
      <c r="T197" s="87" t="s">
        <v>2</v>
      </c>
      <c r="U197" s="88">
        <f>IF(S197&gt;0,IF(RIGHT(Ruimtestaat[[#This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97" s="88">
        <f>IF(U197&gt;0,VLOOKUP($K197,Ruimtegroepen[],3,FALSE)*VLOOKUP($M197,Vloersoorten[],3,FALSE)*VLOOKUP($T197,Frequenties[],3,FALSE)*VLOOKUP($A197,Locaties[],3,FALSE),0)</f>
        <v>0</v>
      </c>
      <c r="W197" s="89">
        <f>Ruimtestaat[[#This Row],[Uitvoeringen werkdagen]]*Ruimtestaat[[#This Row],[Oppervlak (netto)]]</f>
        <v>24440</v>
      </c>
      <c r="X197" s="90">
        <f>IF(V197&gt;0,Ruimtestaat[[#This Row],[Prest. (m2 /jaar) werkdagen]]/Ruimtestaat[[#This Row],[Norm (m2/uur) werkdagen]],0)</f>
        <v>0</v>
      </c>
      <c r="Y197" s="91">
        <f>Ruimtestaat[[#This Row],[uren / jaar werkdagen]]*Tariefsopbouw!$E$35</f>
        <v>0</v>
      </c>
      <c r="Z197" s="88"/>
      <c r="AA197" s="92">
        <f>IF(Ruimtestaat[[#This Row],[Frequentie weekend]]&gt;0,VALUE(LEFT(Z197,1))*S197,0)</f>
        <v>0</v>
      </c>
      <c r="AB197" s="88">
        <f>IF($AA197&gt;0,VLOOKUP($K197,Ruimtegroepen[],3,FALSE)*VLOOKUP($M197,Vloersoorten[],3,FALSE)*VLOOKUP($Z197,Frequenties[],3,FALSE)*VLOOKUP(#REF!,Locaties[],3,FALSE),0)</f>
        <v>0</v>
      </c>
      <c r="AC197" s="90">
        <f>Ruimtestaat[[#This Row],[Uitvoeringen weekend]]*Ruimtestaat[[#This Row],[Oppervlak (netto)]]</f>
        <v>0</v>
      </c>
      <c r="AD197" s="93">
        <f>IF(AC197&gt;0,Ruimtestaat[[#This Row],[Prest. (m2 /jaar) weekend]]/Ruimtestaat[[#This Row],[Norm (m2/uur) weekend]],0)</f>
        <v>0</v>
      </c>
      <c r="AE197" s="94">
        <f>Ruimtestaat[[#This Row],[uren / jaar weekend]]*Tariefsopbouw!$D$40</f>
        <v>0</v>
      </c>
      <c r="AF197" s="66">
        <f>Ruimtestaat[[#This Row],[Prest. (m2 /jaar) weekend]]+Ruimtestaat[[#This Row],[Prest. (m2 /jaar) werkdagen]]</f>
        <v>24440</v>
      </c>
      <c r="AG197" s="66">
        <f>Ruimtestaat[[#This Row],[uren / jaar weekend]]+Ruimtestaat[[#This Row],[uren / jaar werkdagen]]</f>
        <v>0</v>
      </c>
      <c r="AH197" s="67">
        <f>Ruimtestaat[[#This Row],[kosten / jaar weekend]]+Ruimtestaat[[#This Row],[kosten / jaar werkdagen]]</f>
        <v>0</v>
      </c>
    </row>
    <row r="198" spans="1:34" ht="15" customHeight="1">
      <c r="A198" s="112">
        <v>2</v>
      </c>
      <c r="B198" s="23" t="str">
        <f>VLOOKUP(Ruimtestaat[[#This Row],[Code]],Locaties[#All],2,FALSE)</f>
        <v>RSG Slingerbos</v>
      </c>
      <c r="C198" s="23" t="str">
        <f>VLOOKUP(Ruimtestaat[[#This Row],[Code]],Locaties[#All],4,FALSE)</f>
        <v>Eisenhowerlaan 59</v>
      </c>
      <c r="D198" s="23" t="str">
        <f>VLOOKUP(Ruimtestaat[[#This Row],[Code]],Locaties[#All],5,FALSE)</f>
        <v>3844 AS</v>
      </c>
      <c r="E198" s="23" t="str">
        <f>VLOOKUP(Ruimtestaat[[#This Row],[Code]],Locaties[#All],6,FALSE)</f>
        <v>Harderwijk</v>
      </c>
      <c r="F198" s="23"/>
      <c r="G198" s="60" t="s">
        <v>894</v>
      </c>
      <c r="H198" s="23" t="s">
        <v>535</v>
      </c>
      <c r="I198" s="23" t="s">
        <v>739</v>
      </c>
      <c r="J198" s="3" t="s">
        <v>1025</v>
      </c>
      <c r="K198" s="23">
        <v>6</v>
      </c>
      <c r="L198" s="60" t="str">
        <f>VLOOKUP(K198,Ruimtegroepen[],2,FALSE)</f>
        <v>Gangen/hallen</v>
      </c>
      <c r="M198" s="23" t="s">
        <v>112</v>
      </c>
      <c r="N198" s="23" t="s">
        <v>1090</v>
      </c>
      <c r="O198" s="86">
        <v>38.799999999999997</v>
      </c>
      <c r="P198" s="86"/>
      <c r="Q198" s="95" t="str">
        <f>LEFT(VLOOKUP(Ruimtestaat[[#This Row],[Ruimte code]],Ruimtegroepen[#All],4,1),2)</f>
        <v xml:space="preserve">V </v>
      </c>
      <c r="R198" s="95"/>
      <c r="S198" s="87">
        <v>40</v>
      </c>
      <c r="T198" s="87" t="s">
        <v>2</v>
      </c>
      <c r="U198" s="88">
        <f>IF(S198&gt;0,IF(RIGHT(Ruimtestaat[[#This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98" s="88">
        <f>IF(U198&gt;0,VLOOKUP($K198,Ruimtegroepen[],3,FALSE)*VLOOKUP($M198,Vloersoorten[],3,FALSE)*VLOOKUP($T198,Frequenties[],3,FALSE)*VLOOKUP($A198,Locaties[],3,FALSE),0)</f>
        <v>0</v>
      </c>
      <c r="W198" s="89">
        <f>Ruimtestaat[[#This Row],[Uitvoeringen werkdagen]]*Ruimtestaat[[#This Row],[Oppervlak (netto)]]</f>
        <v>7759.9999999999991</v>
      </c>
      <c r="X198" s="90">
        <f>IF(V198&gt;0,Ruimtestaat[[#This Row],[Prest. (m2 /jaar) werkdagen]]/Ruimtestaat[[#This Row],[Norm (m2/uur) werkdagen]],0)</f>
        <v>0</v>
      </c>
      <c r="Y198" s="91">
        <f>Ruimtestaat[[#This Row],[uren / jaar werkdagen]]*Tariefsopbouw!$E$35</f>
        <v>0</v>
      </c>
      <c r="Z198" s="88"/>
      <c r="AA198" s="92">
        <f>IF(Ruimtestaat[[#This Row],[Frequentie weekend]]&gt;0,VALUE(LEFT(Z198,1))*S198,0)</f>
        <v>0</v>
      </c>
      <c r="AB198" s="88">
        <f>IF($AA198&gt;0,VLOOKUP($K198,Ruimtegroepen[],3,FALSE)*VLOOKUP($M198,Vloersoorten[],3,FALSE)*VLOOKUP($Z198,Frequenties[],3,FALSE)*VLOOKUP(#REF!,Locaties[],3,FALSE),0)</f>
        <v>0</v>
      </c>
      <c r="AC198" s="90">
        <f>Ruimtestaat[[#This Row],[Uitvoeringen weekend]]*Ruimtestaat[[#This Row],[Oppervlak (netto)]]</f>
        <v>0</v>
      </c>
      <c r="AD198" s="93">
        <f>IF(AC198&gt;0,Ruimtestaat[[#This Row],[Prest. (m2 /jaar) weekend]]/Ruimtestaat[[#This Row],[Norm (m2/uur) weekend]],0)</f>
        <v>0</v>
      </c>
      <c r="AE198" s="94">
        <f>Ruimtestaat[[#This Row],[uren / jaar weekend]]*Tariefsopbouw!$D$40</f>
        <v>0</v>
      </c>
      <c r="AF198" s="66">
        <f>Ruimtestaat[[#This Row],[Prest. (m2 /jaar) weekend]]+Ruimtestaat[[#This Row],[Prest. (m2 /jaar) werkdagen]]</f>
        <v>7759.9999999999991</v>
      </c>
      <c r="AG198" s="66">
        <f>Ruimtestaat[[#This Row],[uren / jaar weekend]]+Ruimtestaat[[#This Row],[uren / jaar werkdagen]]</f>
        <v>0</v>
      </c>
      <c r="AH198" s="67">
        <f>Ruimtestaat[[#This Row],[kosten / jaar weekend]]+Ruimtestaat[[#This Row],[kosten / jaar werkdagen]]</f>
        <v>0</v>
      </c>
    </row>
    <row r="199" spans="1:34" ht="15" customHeight="1">
      <c r="A199" s="112">
        <v>2</v>
      </c>
      <c r="B199" s="23" t="str">
        <f>VLOOKUP(Ruimtestaat[[#This Row],[Code]],Locaties[#All],2,FALSE)</f>
        <v>RSG Slingerbos</v>
      </c>
      <c r="C199" s="23" t="str">
        <f>VLOOKUP(Ruimtestaat[[#This Row],[Code]],Locaties[#All],4,FALSE)</f>
        <v>Eisenhowerlaan 59</v>
      </c>
      <c r="D199" s="23" t="str">
        <f>VLOOKUP(Ruimtestaat[[#This Row],[Code]],Locaties[#All],5,FALSE)</f>
        <v>3844 AS</v>
      </c>
      <c r="E199" s="23" t="str">
        <f>VLOOKUP(Ruimtestaat[[#This Row],[Code]],Locaties[#All],6,FALSE)</f>
        <v>Harderwijk</v>
      </c>
      <c r="F199" s="23"/>
      <c r="G199" s="60" t="s">
        <v>895</v>
      </c>
      <c r="H199" s="23" t="s">
        <v>535</v>
      </c>
      <c r="I199" s="23" t="s">
        <v>740</v>
      </c>
      <c r="J199" s="3" t="s">
        <v>1041</v>
      </c>
      <c r="K199" s="23">
        <v>2</v>
      </c>
      <c r="L199" s="60" t="str">
        <f>VLOOKUP(K199,Ruimtegroepen[],2,FALSE)</f>
        <v>Kantoren</v>
      </c>
      <c r="M199" s="23" t="s">
        <v>1094</v>
      </c>
      <c r="N199" s="23" t="s">
        <v>1095</v>
      </c>
      <c r="O199" s="96">
        <v>17.8</v>
      </c>
      <c r="P199" s="86"/>
      <c r="Q199" s="95" t="str">
        <f>LEFT(VLOOKUP(Ruimtestaat[[#This Row],[Ruimte code]],Ruimtegroepen[#All],4,1),2)</f>
        <v xml:space="preserve">B </v>
      </c>
      <c r="R199" s="95"/>
      <c r="S199" s="87">
        <v>40</v>
      </c>
      <c r="T199" s="87" t="s">
        <v>17</v>
      </c>
      <c r="U199" s="88">
        <f>IF(S199&gt;0,IF(RIGHT(Ruimtestaat[[#This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199" s="88">
        <f>IF(U199&gt;0,VLOOKUP($K199,Ruimtegroepen[],3,FALSE)*VLOOKUP($M199,Vloersoorten[],3,FALSE)*VLOOKUP($T199,Frequenties[],3,FALSE)*VLOOKUP($A199,Locaties[],3,FALSE),0)</f>
        <v>0</v>
      </c>
      <c r="W199" s="89">
        <f>Ruimtestaat[[#This Row],[Uitvoeringen werkdagen]]*Ruimtestaat[[#This Row],[Oppervlak (netto)]]</f>
        <v>1424</v>
      </c>
      <c r="X199" s="90">
        <f>IF(V199&gt;0,Ruimtestaat[[#This Row],[Prest. (m2 /jaar) werkdagen]]/Ruimtestaat[[#This Row],[Norm (m2/uur) werkdagen]],0)</f>
        <v>0</v>
      </c>
      <c r="Y199" s="91">
        <f>Ruimtestaat[[#This Row],[uren / jaar werkdagen]]*Tariefsopbouw!$E$35</f>
        <v>0</v>
      </c>
      <c r="Z199" s="88"/>
      <c r="AA199" s="92">
        <f>IF(Ruimtestaat[[#This Row],[Frequentie weekend]]&gt;0,VALUE(LEFT(Z199,1))*S199,0)</f>
        <v>0</v>
      </c>
      <c r="AB199" s="88">
        <f>IF($AA199&gt;0,VLOOKUP($K199,Ruimtegroepen[],3,FALSE)*VLOOKUP($M199,Vloersoorten[],3,FALSE)*VLOOKUP($Z199,Frequenties[],3,FALSE)*VLOOKUP(#REF!,Locaties[],3,FALSE),0)</f>
        <v>0</v>
      </c>
      <c r="AC199" s="90">
        <f>Ruimtestaat[[#This Row],[Uitvoeringen weekend]]*Ruimtestaat[[#This Row],[Oppervlak (netto)]]</f>
        <v>0</v>
      </c>
      <c r="AD199" s="93">
        <f>IF(AC199&gt;0,Ruimtestaat[[#This Row],[Prest. (m2 /jaar) weekend]]/Ruimtestaat[[#This Row],[Norm (m2/uur) weekend]],0)</f>
        <v>0</v>
      </c>
      <c r="AE199" s="94">
        <f>Ruimtestaat[[#This Row],[uren / jaar weekend]]*Tariefsopbouw!$D$40</f>
        <v>0</v>
      </c>
      <c r="AF199" s="66">
        <f>Ruimtestaat[[#This Row],[Prest. (m2 /jaar) weekend]]+Ruimtestaat[[#This Row],[Prest. (m2 /jaar) werkdagen]]</f>
        <v>1424</v>
      </c>
      <c r="AG199" s="66">
        <f>Ruimtestaat[[#This Row],[uren / jaar weekend]]+Ruimtestaat[[#This Row],[uren / jaar werkdagen]]</f>
        <v>0</v>
      </c>
      <c r="AH199" s="67">
        <f>Ruimtestaat[[#This Row],[kosten / jaar weekend]]+Ruimtestaat[[#This Row],[kosten / jaar werkdagen]]</f>
        <v>0</v>
      </c>
    </row>
    <row r="200" spans="1:34" ht="15" customHeight="1">
      <c r="A200" s="112">
        <v>2</v>
      </c>
      <c r="B200" s="23" t="str">
        <f>VLOOKUP(Ruimtestaat[[#This Row],[Code]],Locaties[#All],2,FALSE)</f>
        <v>RSG Slingerbos</v>
      </c>
      <c r="C200" s="23" t="str">
        <f>VLOOKUP(Ruimtestaat[[#This Row],[Code]],Locaties[#All],4,FALSE)</f>
        <v>Eisenhowerlaan 59</v>
      </c>
      <c r="D200" s="23" t="str">
        <f>VLOOKUP(Ruimtestaat[[#This Row],[Code]],Locaties[#All],5,FALSE)</f>
        <v>3844 AS</v>
      </c>
      <c r="E200" s="23" t="str">
        <f>VLOOKUP(Ruimtestaat[[#This Row],[Code]],Locaties[#All],6,FALSE)</f>
        <v>Harderwijk</v>
      </c>
      <c r="F200" s="23"/>
      <c r="G200" s="60" t="s">
        <v>896</v>
      </c>
      <c r="H200" s="23" t="s">
        <v>535</v>
      </c>
      <c r="I200" s="23" t="s">
        <v>741</v>
      </c>
      <c r="J200" s="3" t="s">
        <v>1041</v>
      </c>
      <c r="K200" s="23">
        <v>2</v>
      </c>
      <c r="L200" s="60" t="str">
        <f>VLOOKUP(K200,Ruimtegroepen[],2,FALSE)</f>
        <v>Kantoren</v>
      </c>
      <c r="M200" s="23" t="s">
        <v>1094</v>
      </c>
      <c r="N200" s="23" t="s">
        <v>1095</v>
      </c>
      <c r="O200" s="86">
        <v>17.3</v>
      </c>
      <c r="P200" s="86"/>
      <c r="Q200" s="95" t="str">
        <f>LEFT(VLOOKUP(Ruimtestaat[[#This Row],[Ruimte code]],Ruimtegroepen[#All],4,1),2)</f>
        <v xml:space="preserve">B </v>
      </c>
      <c r="R200" s="95"/>
      <c r="S200" s="87">
        <v>40</v>
      </c>
      <c r="T200" s="87" t="s">
        <v>17</v>
      </c>
      <c r="U200" s="88">
        <f>IF(S200&gt;0,IF(RIGHT(Ruimtestaat[[#This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00" s="88">
        <f>IF(U200&gt;0,VLOOKUP($K200,Ruimtegroepen[],3,FALSE)*VLOOKUP($M200,Vloersoorten[],3,FALSE)*VLOOKUP($T200,Frequenties[],3,FALSE)*VLOOKUP($A200,Locaties[],3,FALSE),0)</f>
        <v>0</v>
      </c>
      <c r="W200" s="89">
        <f>Ruimtestaat[[#This Row],[Uitvoeringen werkdagen]]*Ruimtestaat[[#This Row],[Oppervlak (netto)]]</f>
        <v>1384</v>
      </c>
      <c r="X200" s="90">
        <f>IF(V200&gt;0,Ruimtestaat[[#This Row],[Prest. (m2 /jaar) werkdagen]]/Ruimtestaat[[#This Row],[Norm (m2/uur) werkdagen]],0)</f>
        <v>0</v>
      </c>
      <c r="Y200" s="91">
        <f>Ruimtestaat[[#This Row],[uren / jaar werkdagen]]*Tariefsopbouw!$E$35</f>
        <v>0</v>
      </c>
      <c r="Z200" s="88"/>
      <c r="AA200" s="92">
        <f>IF(Ruimtestaat[[#This Row],[Frequentie weekend]]&gt;0,VALUE(LEFT(Z200,1))*S200,0)</f>
        <v>0</v>
      </c>
      <c r="AB200" s="88">
        <f>IF($AA200&gt;0,VLOOKUP($K200,Ruimtegroepen[],3,FALSE)*VLOOKUP($M200,Vloersoorten[],3,FALSE)*VLOOKUP($Z200,Frequenties[],3,FALSE)*VLOOKUP(#REF!,Locaties[],3,FALSE),0)</f>
        <v>0</v>
      </c>
      <c r="AC200" s="90">
        <f>Ruimtestaat[[#This Row],[Uitvoeringen weekend]]*Ruimtestaat[[#This Row],[Oppervlak (netto)]]</f>
        <v>0</v>
      </c>
      <c r="AD200" s="93">
        <f>IF(AC200&gt;0,Ruimtestaat[[#This Row],[Prest. (m2 /jaar) weekend]]/Ruimtestaat[[#This Row],[Norm (m2/uur) weekend]],0)</f>
        <v>0</v>
      </c>
      <c r="AE200" s="94">
        <f>Ruimtestaat[[#This Row],[uren / jaar weekend]]*Tariefsopbouw!$D$40</f>
        <v>0</v>
      </c>
      <c r="AF200" s="66">
        <f>Ruimtestaat[[#This Row],[Prest. (m2 /jaar) weekend]]+Ruimtestaat[[#This Row],[Prest. (m2 /jaar) werkdagen]]</f>
        <v>1384</v>
      </c>
      <c r="AG200" s="66">
        <f>Ruimtestaat[[#This Row],[uren / jaar weekend]]+Ruimtestaat[[#This Row],[uren / jaar werkdagen]]</f>
        <v>0</v>
      </c>
      <c r="AH200" s="67">
        <f>Ruimtestaat[[#This Row],[kosten / jaar weekend]]+Ruimtestaat[[#This Row],[kosten / jaar werkdagen]]</f>
        <v>0</v>
      </c>
    </row>
    <row r="201" spans="1:34" ht="15" customHeight="1">
      <c r="A201" s="112">
        <v>2</v>
      </c>
      <c r="B201" s="23" t="str">
        <f>VLOOKUP(Ruimtestaat[[#This Row],[Code]],Locaties[#All],2,FALSE)</f>
        <v>RSG Slingerbos</v>
      </c>
      <c r="C201" s="23" t="str">
        <f>VLOOKUP(Ruimtestaat[[#This Row],[Code]],Locaties[#All],4,FALSE)</f>
        <v>Eisenhowerlaan 59</v>
      </c>
      <c r="D201" s="23" t="str">
        <f>VLOOKUP(Ruimtestaat[[#This Row],[Code]],Locaties[#All],5,FALSE)</f>
        <v>3844 AS</v>
      </c>
      <c r="E201" s="23" t="str">
        <f>VLOOKUP(Ruimtestaat[[#This Row],[Code]],Locaties[#All],6,FALSE)</f>
        <v>Harderwijk</v>
      </c>
      <c r="F201" s="23"/>
      <c r="G201" s="60" t="s">
        <v>897</v>
      </c>
      <c r="H201" s="23" t="s">
        <v>535</v>
      </c>
      <c r="I201" s="23" t="s">
        <v>742</v>
      </c>
      <c r="J201" s="3" t="s">
        <v>1025</v>
      </c>
      <c r="K201" s="23">
        <v>6</v>
      </c>
      <c r="L201" s="60" t="str">
        <f>VLOOKUP(K201,Ruimtegroepen[],2,FALSE)</f>
        <v>Gangen/hallen</v>
      </c>
      <c r="M201" s="23" t="s">
        <v>112</v>
      </c>
      <c r="N201" s="23" t="s">
        <v>1090</v>
      </c>
      <c r="O201" s="86">
        <v>46.4</v>
      </c>
      <c r="P201" s="86"/>
      <c r="Q201" s="95" t="str">
        <f>LEFT(VLOOKUP(Ruimtestaat[[#This Row],[Ruimte code]],Ruimtegroepen[#All],4,1),2)</f>
        <v xml:space="preserve">V </v>
      </c>
      <c r="R201" s="95"/>
      <c r="S201" s="87">
        <v>40</v>
      </c>
      <c r="T201" s="87" t="s">
        <v>2</v>
      </c>
      <c r="U201" s="88">
        <f>IF(S201&gt;0,IF(RIGHT(Ruimtestaat[[#This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01" s="88">
        <f>IF(U201&gt;0,VLOOKUP($K201,Ruimtegroepen[],3,FALSE)*VLOOKUP($M201,Vloersoorten[],3,FALSE)*VLOOKUP($T201,Frequenties[],3,FALSE)*VLOOKUP($A201,Locaties[],3,FALSE),0)</f>
        <v>0</v>
      </c>
      <c r="W201" s="89">
        <f>Ruimtestaat[[#This Row],[Uitvoeringen werkdagen]]*Ruimtestaat[[#This Row],[Oppervlak (netto)]]</f>
        <v>9280</v>
      </c>
      <c r="X201" s="90">
        <f>IF(V201&gt;0,Ruimtestaat[[#This Row],[Prest. (m2 /jaar) werkdagen]]/Ruimtestaat[[#This Row],[Norm (m2/uur) werkdagen]],0)</f>
        <v>0</v>
      </c>
      <c r="Y201" s="91">
        <f>Ruimtestaat[[#This Row],[uren / jaar werkdagen]]*Tariefsopbouw!$E$35</f>
        <v>0</v>
      </c>
      <c r="Z201" s="88"/>
      <c r="AA201" s="92">
        <f>IF(Ruimtestaat[[#This Row],[Frequentie weekend]]&gt;0,VALUE(LEFT(Z201,1))*S201,0)</f>
        <v>0</v>
      </c>
      <c r="AB201" s="88">
        <f>IF($AA201&gt;0,VLOOKUP($K201,Ruimtegroepen[],3,FALSE)*VLOOKUP($M201,Vloersoorten[],3,FALSE)*VLOOKUP($Z201,Frequenties[],3,FALSE)*VLOOKUP(#REF!,Locaties[],3,FALSE),0)</f>
        <v>0</v>
      </c>
      <c r="AC201" s="90">
        <f>Ruimtestaat[[#This Row],[Uitvoeringen weekend]]*Ruimtestaat[[#This Row],[Oppervlak (netto)]]</f>
        <v>0</v>
      </c>
      <c r="AD201" s="93">
        <f>IF(AC201&gt;0,Ruimtestaat[[#This Row],[Prest. (m2 /jaar) weekend]]/Ruimtestaat[[#This Row],[Norm (m2/uur) weekend]],0)</f>
        <v>0</v>
      </c>
      <c r="AE201" s="94">
        <f>Ruimtestaat[[#This Row],[uren / jaar weekend]]*Tariefsopbouw!$D$40</f>
        <v>0</v>
      </c>
      <c r="AF201" s="66">
        <f>Ruimtestaat[[#This Row],[Prest. (m2 /jaar) weekend]]+Ruimtestaat[[#This Row],[Prest. (m2 /jaar) werkdagen]]</f>
        <v>9280</v>
      </c>
      <c r="AG201" s="66">
        <f>Ruimtestaat[[#This Row],[uren / jaar weekend]]+Ruimtestaat[[#This Row],[uren / jaar werkdagen]]</f>
        <v>0</v>
      </c>
      <c r="AH201" s="67">
        <f>Ruimtestaat[[#This Row],[kosten / jaar weekend]]+Ruimtestaat[[#This Row],[kosten / jaar werkdagen]]</f>
        <v>0</v>
      </c>
    </row>
    <row r="202" spans="1:34" ht="15" customHeight="1">
      <c r="A202" s="112">
        <v>2</v>
      </c>
      <c r="B202" s="23" t="str">
        <f>VLOOKUP(Ruimtestaat[[#This Row],[Code]],Locaties[#All],2,FALSE)</f>
        <v>RSG Slingerbos</v>
      </c>
      <c r="C202" s="23" t="str">
        <f>VLOOKUP(Ruimtestaat[[#This Row],[Code]],Locaties[#All],4,FALSE)</f>
        <v>Eisenhowerlaan 59</v>
      </c>
      <c r="D202" s="23" t="str">
        <f>VLOOKUP(Ruimtestaat[[#This Row],[Code]],Locaties[#All],5,FALSE)</f>
        <v>3844 AS</v>
      </c>
      <c r="E202" s="23" t="str">
        <f>VLOOKUP(Ruimtestaat[[#This Row],[Code]],Locaties[#All],6,FALSE)</f>
        <v>Harderwijk</v>
      </c>
      <c r="F202" s="23"/>
      <c r="G202" s="60" t="s">
        <v>898</v>
      </c>
      <c r="H202" s="23" t="s">
        <v>535</v>
      </c>
      <c r="I202" s="23" t="s">
        <v>743</v>
      </c>
      <c r="J202" s="3" t="s">
        <v>1041</v>
      </c>
      <c r="K202" s="23">
        <v>2</v>
      </c>
      <c r="L202" s="60" t="str">
        <f>VLOOKUP(K202,Ruimtegroepen[],2,FALSE)</f>
        <v>Kantoren</v>
      </c>
      <c r="M202" s="23" t="s">
        <v>1094</v>
      </c>
      <c r="N202" s="23" t="s">
        <v>1095</v>
      </c>
      <c r="O202" s="86">
        <v>12.3</v>
      </c>
      <c r="P202" s="86"/>
      <c r="Q202" s="95" t="str">
        <f>LEFT(VLOOKUP(Ruimtestaat[[#This Row],[Ruimte code]],Ruimtegroepen[#All],4,1),2)</f>
        <v xml:space="preserve">B </v>
      </c>
      <c r="R202" s="95"/>
      <c r="S202" s="87">
        <v>40</v>
      </c>
      <c r="T202" s="87" t="s">
        <v>17</v>
      </c>
      <c r="U202" s="88">
        <f>IF(S202&gt;0,IF(RIGHT(Ruimtestaat[[#This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02" s="88">
        <f>IF(U202&gt;0,VLOOKUP($K202,Ruimtegroepen[],3,FALSE)*VLOOKUP($M202,Vloersoorten[],3,FALSE)*VLOOKUP($T202,Frequenties[],3,FALSE)*VLOOKUP($A202,Locaties[],3,FALSE),0)</f>
        <v>0</v>
      </c>
      <c r="W202" s="89">
        <f>Ruimtestaat[[#This Row],[Uitvoeringen werkdagen]]*Ruimtestaat[[#This Row],[Oppervlak (netto)]]</f>
        <v>984</v>
      </c>
      <c r="X202" s="90">
        <f>IF(V202&gt;0,Ruimtestaat[[#This Row],[Prest. (m2 /jaar) werkdagen]]/Ruimtestaat[[#This Row],[Norm (m2/uur) werkdagen]],0)</f>
        <v>0</v>
      </c>
      <c r="Y202" s="91">
        <f>Ruimtestaat[[#This Row],[uren / jaar werkdagen]]*Tariefsopbouw!$E$35</f>
        <v>0</v>
      </c>
      <c r="Z202" s="88"/>
      <c r="AA202" s="92">
        <f>IF(Ruimtestaat[[#This Row],[Frequentie weekend]]&gt;0,VALUE(LEFT(Z202,1))*S202,0)</f>
        <v>0</v>
      </c>
      <c r="AB202" s="88">
        <f>IF($AA202&gt;0,VLOOKUP($K202,Ruimtegroepen[],3,FALSE)*VLOOKUP($M202,Vloersoorten[],3,FALSE)*VLOOKUP($Z202,Frequenties[],3,FALSE)*VLOOKUP(#REF!,Locaties[],3,FALSE),0)</f>
        <v>0</v>
      </c>
      <c r="AC202" s="90">
        <f>Ruimtestaat[[#This Row],[Uitvoeringen weekend]]*Ruimtestaat[[#This Row],[Oppervlak (netto)]]</f>
        <v>0</v>
      </c>
      <c r="AD202" s="93">
        <f>IF(AC202&gt;0,Ruimtestaat[[#This Row],[Prest. (m2 /jaar) weekend]]/Ruimtestaat[[#This Row],[Norm (m2/uur) weekend]],0)</f>
        <v>0</v>
      </c>
      <c r="AE202" s="94">
        <f>Ruimtestaat[[#This Row],[uren / jaar weekend]]*Tariefsopbouw!$D$40</f>
        <v>0</v>
      </c>
      <c r="AF202" s="66">
        <f>Ruimtestaat[[#This Row],[Prest. (m2 /jaar) weekend]]+Ruimtestaat[[#This Row],[Prest. (m2 /jaar) werkdagen]]</f>
        <v>984</v>
      </c>
      <c r="AG202" s="66">
        <f>Ruimtestaat[[#This Row],[uren / jaar weekend]]+Ruimtestaat[[#This Row],[uren / jaar werkdagen]]</f>
        <v>0</v>
      </c>
      <c r="AH202" s="67">
        <f>Ruimtestaat[[#This Row],[kosten / jaar weekend]]+Ruimtestaat[[#This Row],[kosten / jaar werkdagen]]</f>
        <v>0</v>
      </c>
    </row>
    <row r="203" spans="1:34" ht="15" customHeight="1">
      <c r="A203" s="112">
        <v>2</v>
      </c>
      <c r="B203" s="23" t="str">
        <f>VLOOKUP(Ruimtestaat[[#This Row],[Code]],Locaties[#All],2,FALSE)</f>
        <v>RSG Slingerbos</v>
      </c>
      <c r="C203" s="23" t="str">
        <f>VLOOKUP(Ruimtestaat[[#This Row],[Code]],Locaties[#All],4,FALSE)</f>
        <v>Eisenhowerlaan 59</v>
      </c>
      <c r="D203" s="23" t="str">
        <f>VLOOKUP(Ruimtestaat[[#This Row],[Code]],Locaties[#All],5,FALSE)</f>
        <v>3844 AS</v>
      </c>
      <c r="E203" s="23" t="str">
        <f>VLOOKUP(Ruimtestaat[[#This Row],[Code]],Locaties[#All],6,FALSE)</f>
        <v>Harderwijk</v>
      </c>
      <c r="F203" s="23"/>
      <c r="G203" s="60" t="s">
        <v>899</v>
      </c>
      <c r="H203" s="23" t="s">
        <v>535</v>
      </c>
      <c r="I203" s="23" t="s">
        <v>744</v>
      </c>
      <c r="J203" s="3" t="s">
        <v>1028</v>
      </c>
      <c r="K203" s="23">
        <v>5</v>
      </c>
      <c r="L203" s="60" t="str">
        <f>VLOOKUP(K203,Ruimtegroepen[],2,FALSE)</f>
        <v>Sanitair</v>
      </c>
      <c r="M203" s="23" t="s">
        <v>113</v>
      </c>
      <c r="N203" s="23" t="s">
        <v>1091</v>
      </c>
      <c r="O203" s="86">
        <v>5.7</v>
      </c>
      <c r="P203" s="86"/>
      <c r="Q203" s="95" t="str">
        <f>LEFT(VLOOKUP(Ruimtestaat[[#This Row],[Ruimte code]],Ruimtegroepen[#All],4,1),2)</f>
        <v xml:space="preserve">S </v>
      </c>
      <c r="R203" s="95"/>
      <c r="S203" s="87">
        <v>40</v>
      </c>
      <c r="T203" s="87" t="s">
        <v>2</v>
      </c>
      <c r="U203" s="88">
        <f>IF(S203&gt;0,IF(RIGHT(Ruimtestaat[[#This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03" s="88">
        <f>IF(U203&gt;0,VLOOKUP($K203,Ruimtegroepen[],3,FALSE)*VLOOKUP($M203,Vloersoorten[],3,FALSE)*VLOOKUP($T203,Frequenties[],3,FALSE)*VLOOKUP($A203,Locaties[],3,FALSE),0)</f>
        <v>0</v>
      </c>
      <c r="W203" s="89">
        <f>Ruimtestaat[[#This Row],[Uitvoeringen werkdagen]]*Ruimtestaat[[#This Row],[Oppervlak (netto)]]</f>
        <v>1140</v>
      </c>
      <c r="X203" s="90">
        <f>IF(V203&gt;0,Ruimtestaat[[#This Row],[Prest. (m2 /jaar) werkdagen]]/Ruimtestaat[[#This Row],[Norm (m2/uur) werkdagen]],0)</f>
        <v>0</v>
      </c>
      <c r="Y203" s="91">
        <f>Ruimtestaat[[#This Row],[uren / jaar werkdagen]]*Tariefsopbouw!$E$35</f>
        <v>0</v>
      </c>
      <c r="Z203" s="88"/>
      <c r="AA203" s="92">
        <f>IF(Ruimtestaat[[#This Row],[Frequentie weekend]]&gt;0,VALUE(LEFT(Z203,1))*S203,0)</f>
        <v>0</v>
      </c>
      <c r="AB203" s="88">
        <f>IF($AA203&gt;0,VLOOKUP($K203,Ruimtegroepen[],3,FALSE)*VLOOKUP($M203,Vloersoorten[],3,FALSE)*VLOOKUP($Z203,Frequenties[],3,FALSE)*VLOOKUP(#REF!,Locaties[],3,FALSE),0)</f>
        <v>0</v>
      </c>
      <c r="AC203" s="90">
        <f>Ruimtestaat[[#This Row],[Uitvoeringen weekend]]*Ruimtestaat[[#This Row],[Oppervlak (netto)]]</f>
        <v>0</v>
      </c>
      <c r="AD203" s="93">
        <f>IF(AC203&gt;0,Ruimtestaat[[#This Row],[Prest. (m2 /jaar) weekend]]/Ruimtestaat[[#This Row],[Norm (m2/uur) weekend]],0)</f>
        <v>0</v>
      </c>
      <c r="AE203" s="94">
        <f>Ruimtestaat[[#This Row],[uren / jaar weekend]]*Tariefsopbouw!$D$40</f>
        <v>0</v>
      </c>
      <c r="AF203" s="66">
        <f>Ruimtestaat[[#This Row],[Prest. (m2 /jaar) weekend]]+Ruimtestaat[[#This Row],[Prest. (m2 /jaar) werkdagen]]</f>
        <v>1140</v>
      </c>
      <c r="AG203" s="66">
        <f>Ruimtestaat[[#This Row],[uren / jaar weekend]]+Ruimtestaat[[#This Row],[uren / jaar werkdagen]]</f>
        <v>0</v>
      </c>
      <c r="AH203" s="67">
        <f>Ruimtestaat[[#This Row],[kosten / jaar weekend]]+Ruimtestaat[[#This Row],[kosten / jaar werkdagen]]</f>
        <v>0</v>
      </c>
    </row>
    <row r="204" spans="1:34" ht="15" customHeight="1">
      <c r="A204" s="112">
        <v>2</v>
      </c>
      <c r="B204" s="23" t="str">
        <f>VLOOKUP(Ruimtestaat[[#This Row],[Code]],Locaties[#All],2,FALSE)</f>
        <v>RSG Slingerbos</v>
      </c>
      <c r="C204" s="23" t="str">
        <f>VLOOKUP(Ruimtestaat[[#This Row],[Code]],Locaties[#All],4,FALSE)</f>
        <v>Eisenhowerlaan 59</v>
      </c>
      <c r="D204" s="23" t="str">
        <f>VLOOKUP(Ruimtestaat[[#This Row],[Code]],Locaties[#All],5,FALSE)</f>
        <v>3844 AS</v>
      </c>
      <c r="E204" s="23" t="str">
        <f>VLOOKUP(Ruimtestaat[[#This Row],[Code]],Locaties[#All],6,FALSE)</f>
        <v>Harderwijk</v>
      </c>
      <c r="F204" s="23"/>
      <c r="G204" s="60" t="s">
        <v>900</v>
      </c>
      <c r="H204" s="23" t="s">
        <v>535</v>
      </c>
      <c r="I204" s="23" t="s">
        <v>745</v>
      </c>
      <c r="J204" s="3" t="s">
        <v>1029</v>
      </c>
      <c r="K204" s="23">
        <v>5</v>
      </c>
      <c r="L204" s="60" t="str">
        <f>VLOOKUP(K204,Ruimtegroepen[],2,FALSE)</f>
        <v>Sanitair</v>
      </c>
      <c r="M204" s="23" t="s">
        <v>113</v>
      </c>
      <c r="N204" s="23" t="s">
        <v>1091</v>
      </c>
      <c r="O204" s="86">
        <v>7.4</v>
      </c>
      <c r="P204" s="86"/>
      <c r="Q204" s="95" t="str">
        <f>LEFT(VLOOKUP(Ruimtestaat[[#This Row],[Ruimte code]],Ruimtegroepen[#All],4,1),2)</f>
        <v xml:space="preserve">S </v>
      </c>
      <c r="R204" s="95"/>
      <c r="S204" s="87">
        <v>40</v>
      </c>
      <c r="T204" s="87" t="s">
        <v>2</v>
      </c>
      <c r="U204" s="88">
        <f>IF(S204&gt;0,IF(RIGHT(Ruimtestaat[[#This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04" s="88">
        <f>IF(U204&gt;0,VLOOKUP($K204,Ruimtegroepen[],3,FALSE)*VLOOKUP($M204,Vloersoorten[],3,FALSE)*VLOOKUP($T204,Frequenties[],3,FALSE)*VLOOKUP($A204,Locaties[],3,FALSE),0)</f>
        <v>0</v>
      </c>
      <c r="W204" s="89">
        <f>Ruimtestaat[[#This Row],[Uitvoeringen werkdagen]]*Ruimtestaat[[#This Row],[Oppervlak (netto)]]</f>
        <v>1480</v>
      </c>
      <c r="X204" s="90">
        <f>IF(V204&gt;0,Ruimtestaat[[#This Row],[Prest. (m2 /jaar) werkdagen]]/Ruimtestaat[[#This Row],[Norm (m2/uur) werkdagen]],0)</f>
        <v>0</v>
      </c>
      <c r="Y204" s="91">
        <f>Ruimtestaat[[#This Row],[uren / jaar werkdagen]]*Tariefsopbouw!$E$35</f>
        <v>0</v>
      </c>
      <c r="Z204" s="88"/>
      <c r="AA204" s="92">
        <f>IF(Ruimtestaat[[#This Row],[Frequentie weekend]]&gt;0,VALUE(LEFT(Z204,1))*S204,0)</f>
        <v>0</v>
      </c>
      <c r="AB204" s="88">
        <f>IF($AA204&gt;0,VLOOKUP($K204,Ruimtegroepen[],3,FALSE)*VLOOKUP($M204,Vloersoorten[],3,FALSE)*VLOOKUP($Z204,Frequenties[],3,FALSE)*VLOOKUP(#REF!,Locaties[],3,FALSE),0)</f>
        <v>0</v>
      </c>
      <c r="AC204" s="90">
        <f>Ruimtestaat[[#This Row],[Uitvoeringen weekend]]*Ruimtestaat[[#This Row],[Oppervlak (netto)]]</f>
        <v>0</v>
      </c>
      <c r="AD204" s="93">
        <f>IF(AC204&gt;0,Ruimtestaat[[#This Row],[Prest. (m2 /jaar) weekend]]/Ruimtestaat[[#This Row],[Norm (m2/uur) weekend]],0)</f>
        <v>0</v>
      </c>
      <c r="AE204" s="94">
        <f>Ruimtestaat[[#This Row],[uren / jaar weekend]]*Tariefsopbouw!$D$40</f>
        <v>0</v>
      </c>
      <c r="AF204" s="66">
        <f>Ruimtestaat[[#This Row],[Prest. (m2 /jaar) weekend]]+Ruimtestaat[[#This Row],[Prest. (m2 /jaar) werkdagen]]</f>
        <v>1480</v>
      </c>
      <c r="AG204" s="66">
        <f>Ruimtestaat[[#This Row],[uren / jaar weekend]]+Ruimtestaat[[#This Row],[uren / jaar werkdagen]]</f>
        <v>0</v>
      </c>
      <c r="AH204" s="67">
        <f>Ruimtestaat[[#This Row],[kosten / jaar weekend]]+Ruimtestaat[[#This Row],[kosten / jaar werkdagen]]</f>
        <v>0</v>
      </c>
    </row>
    <row r="205" spans="1:34" ht="15" customHeight="1">
      <c r="A205" s="112">
        <v>2</v>
      </c>
      <c r="B205" s="23" t="str">
        <f>VLOOKUP(Ruimtestaat[[#This Row],[Code]],Locaties[#All],2,FALSE)</f>
        <v>RSG Slingerbos</v>
      </c>
      <c r="C205" s="23" t="str">
        <f>VLOOKUP(Ruimtestaat[[#This Row],[Code]],Locaties[#All],4,FALSE)</f>
        <v>Eisenhowerlaan 59</v>
      </c>
      <c r="D205" s="23" t="str">
        <f>VLOOKUP(Ruimtestaat[[#This Row],[Code]],Locaties[#All],5,FALSE)</f>
        <v>3844 AS</v>
      </c>
      <c r="E205" s="23" t="str">
        <f>VLOOKUP(Ruimtestaat[[#This Row],[Code]],Locaties[#All],6,FALSE)</f>
        <v>Harderwijk</v>
      </c>
      <c r="F205" s="23"/>
      <c r="G205" s="60" t="s">
        <v>901</v>
      </c>
      <c r="H205" s="23" t="s">
        <v>535</v>
      </c>
      <c r="I205" s="23" t="s">
        <v>746</v>
      </c>
      <c r="J205" s="3" t="s">
        <v>1042</v>
      </c>
      <c r="K205" s="23">
        <v>7</v>
      </c>
      <c r="L205" s="60" t="str">
        <f>VLOOKUP(K205,Ruimtegroepen[],2,FALSE)</f>
        <v>Entree</v>
      </c>
      <c r="M205" s="23" t="s">
        <v>112</v>
      </c>
      <c r="N205" s="23" t="s">
        <v>1090</v>
      </c>
      <c r="O205" s="86">
        <v>129.19999999999999</v>
      </c>
      <c r="P205" s="86"/>
      <c r="Q205" s="95" t="str">
        <f>LEFT(VLOOKUP(Ruimtestaat[[#This Row],[Ruimte code]],Ruimtegroepen[#All],4,1),2)</f>
        <v xml:space="preserve">V </v>
      </c>
      <c r="R205" s="95"/>
      <c r="S205" s="87">
        <v>40</v>
      </c>
      <c r="T205" s="87" t="s">
        <v>2</v>
      </c>
      <c r="U205" s="88">
        <f>IF(S205&gt;0,IF(RIGHT(Ruimtestaat[[#This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05" s="88">
        <f>IF(U205&gt;0,VLOOKUP($K205,Ruimtegroepen[],3,FALSE)*VLOOKUP($M205,Vloersoorten[],3,FALSE)*VLOOKUP($T205,Frequenties[],3,FALSE)*VLOOKUP($A205,Locaties[],3,FALSE),0)</f>
        <v>0</v>
      </c>
      <c r="W205" s="89">
        <f>Ruimtestaat[[#This Row],[Uitvoeringen werkdagen]]*Ruimtestaat[[#This Row],[Oppervlak (netto)]]</f>
        <v>25839.999999999996</v>
      </c>
      <c r="X205" s="90">
        <f>IF(V205&gt;0,Ruimtestaat[[#This Row],[Prest. (m2 /jaar) werkdagen]]/Ruimtestaat[[#This Row],[Norm (m2/uur) werkdagen]],0)</f>
        <v>0</v>
      </c>
      <c r="Y205" s="91">
        <f>Ruimtestaat[[#This Row],[uren / jaar werkdagen]]*Tariefsopbouw!$E$35</f>
        <v>0</v>
      </c>
      <c r="Z205" s="88"/>
      <c r="AA205" s="92">
        <f>IF(Ruimtestaat[[#This Row],[Frequentie weekend]]&gt;0,VALUE(LEFT(Z205,1))*S205,0)</f>
        <v>0</v>
      </c>
      <c r="AB205" s="88">
        <f>IF($AA205&gt;0,VLOOKUP($K205,Ruimtegroepen[],3,FALSE)*VLOOKUP($M205,Vloersoorten[],3,FALSE)*VLOOKUP($Z205,Frequenties[],3,FALSE)*VLOOKUP(#REF!,Locaties[],3,FALSE),0)</f>
        <v>0</v>
      </c>
      <c r="AC205" s="90">
        <f>Ruimtestaat[[#This Row],[Uitvoeringen weekend]]*Ruimtestaat[[#This Row],[Oppervlak (netto)]]</f>
        <v>0</v>
      </c>
      <c r="AD205" s="93">
        <f>IF(AC205&gt;0,Ruimtestaat[[#This Row],[Prest. (m2 /jaar) weekend]]/Ruimtestaat[[#This Row],[Norm (m2/uur) weekend]],0)</f>
        <v>0</v>
      </c>
      <c r="AE205" s="94">
        <f>Ruimtestaat[[#This Row],[uren / jaar weekend]]*Tariefsopbouw!$D$40</f>
        <v>0</v>
      </c>
      <c r="AF205" s="66">
        <f>Ruimtestaat[[#This Row],[Prest. (m2 /jaar) weekend]]+Ruimtestaat[[#This Row],[Prest. (m2 /jaar) werkdagen]]</f>
        <v>25839.999999999996</v>
      </c>
      <c r="AG205" s="66">
        <f>Ruimtestaat[[#This Row],[uren / jaar weekend]]+Ruimtestaat[[#This Row],[uren / jaar werkdagen]]</f>
        <v>0</v>
      </c>
      <c r="AH205" s="67">
        <f>Ruimtestaat[[#This Row],[kosten / jaar weekend]]+Ruimtestaat[[#This Row],[kosten / jaar werkdagen]]</f>
        <v>0</v>
      </c>
    </row>
    <row r="206" spans="1:34" ht="15" customHeight="1">
      <c r="A206" s="112">
        <v>2</v>
      </c>
      <c r="B206" s="23" t="str">
        <f>VLOOKUP(Ruimtestaat[[#This Row],[Code]],Locaties[#All],2,FALSE)</f>
        <v>RSG Slingerbos</v>
      </c>
      <c r="C206" s="23" t="str">
        <f>VLOOKUP(Ruimtestaat[[#This Row],[Code]],Locaties[#All],4,FALSE)</f>
        <v>Eisenhowerlaan 59</v>
      </c>
      <c r="D206" s="23" t="str">
        <f>VLOOKUP(Ruimtestaat[[#This Row],[Code]],Locaties[#All],5,FALSE)</f>
        <v>3844 AS</v>
      </c>
      <c r="E206" s="23" t="str">
        <f>VLOOKUP(Ruimtestaat[[#This Row],[Code]],Locaties[#All],6,FALSE)</f>
        <v>Harderwijk</v>
      </c>
      <c r="F206" s="23"/>
      <c r="G206" s="60" t="s">
        <v>902</v>
      </c>
      <c r="H206" s="23" t="s">
        <v>535</v>
      </c>
      <c r="I206" s="23" t="s">
        <v>747</v>
      </c>
      <c r="J206" s="3" t="s">
        <v>1017</v>
      </c>
      <c r="K206" s="23">
        <v>23</v>
      </c>
      <c r="L206" s="60" t="str">
        <f>VLOOKUP(K206,Ruimtegroepen[],2,FALSE)</f>
        <v>Niet in onderhoud</v>
      </c>
      <c r="M206" s="23" t="s">
        <v>112</v>
      </c>
      <c r="N206" s="23" t="s">
        <v>1090</v>
      </c>
      <c r="O206" s="86"/>
      <c r="P206" s="86">
        <v>12</v>
      </c>
      <c r="Q206" s="95" t="str">
        <f>LEFT(VLOOKUP(Ruimtestaat[[#This Row],[Ruimte code]],Ruimtegroepen[#All],4,1),2)</f>
        <v/>
      </c>
      <c r="R206" s="95"/>
      <c r="S206" s="87"/>
      <c r="T206" s="87"/>
      <c r="U206" s="88">
        <f>IF(S206&gt;0,IF(RIGHT(Ruimtestaat[[#This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206" s="88">
        <f>IF(U206&gt;0,VLOOKUP($K206,Ruimtegroepen[],3,FALSE)*VLOOKUP($M206,Vloersoorten[],3,FALSE)*VLOOKUP($T206,Frequenties[],3,FALSE)*VLOOKUP($A206,Locaties[],3,FALSE),0)</f>
        <v>0</v>
      </c>
      <c r="W206" s="89">
        <f>Ruimtestaat[[#This Row],[Uitvoeringen werkdagen]]*Ruimtestaat[[#This Row],[Oppervlak (netto)]]</f>
        <v>0</v>
      </c>
      <c r="X206" s="90">
        <f>IF(V206&gt;0,Ruimtestaat[[#This Row],[Prest. (m2 /jaar) werkdagen]]/Ruimtestaat[[#This Row],[Norm (m2/uur) werkdagen]],0)</f>
        <v>0</v>
      </c>
      <c r="Y206" s="91">
        <f>Ruimtestaat[[#This Row],[uren / jaar werkdagen]]*Tariefsopbouw!$E$35</f>
        <v>0</v>
      </c>
      <c r="Z206" s="88"/>
      <c r="AA206" s="92">
        <f>IF(Ruimtestaat[[#This Row],[Frequentie weekend]]&gt;0,VALUE(LEFT(Z206,1))*S206,0)</f>
        <v>0</v>
      </c>
      <c r="AB206" s="88">
        <f>IF($AA206&gt;0,VLOOKUP($K206,Ruimtegroepen[],3,FALSE)*VLOOKUP($M206,Vloersoorten[],3,FALSE)*VLOOKUP($Z206,Frequenties[],3,FALSE)*VLOOKUP(#REF!,Locaties[],3,FALSE),0)</f>
        <v>0</v>
      </c>
      <c r="AC206" s="90">
        <f>Ruimtestaat[[#This Row],[Uitvoeringen weekend]]*Ruimtestaat[[#This Row],[Oppervlak (netto)]]</f>
        <v>0</v>
      </c>
      <c r="AD206" s="93">
        <f>IF(AC206&gt;0,Ruimtestaat[[#This Row],[Prest. (m2 /jaar) weekend]]/Ruimtestaat[[#This Row],[Norm (m2/uur) weekend]],0)</f>
        <v>0</v>
      </c>
      <c r="AE206" s="94">
        <f>Ruimtestaat[[#This Row],[uren / jaar weekend]]*Tariefsopbouw!$D$40</f>
        <v>0</v>
      </c>
      <c r="AF206" s="66">
        <f>Ruimtestaat[[#This Row],[Prest. (m2 /jaar) weekend]]+Ruimtestaat[[#This Row],[Prest. (m2 /jaar) werkdagen]]</f>
        <v>0</v>
      </c>
      <c r="AG206" s="66">
        <f>Ruimtestaat[[#This Row],[uren / jaar weekend]]+Ruimtestaat[[#This Row],[uren / jaar werkdagen]]</f>
        <v>0</v>
      </c>
      <c r="AH206" s="67">
        <f>Ruimtestaat[[#This Row],[kosten / jaar weekend]]+Ruimtestaat[[#This Row],[kosten / jaar werkdagen]]</f>
        <v>0</v>
      </c>
    </row>
    <row r="207" spans="1:34" ht="15" customHeight="1">
      <c r="A207" s="112">
        <v>2</v>
      </c>
      <c r="B207" s="23" t="str">
        <f>VLOOKUP(Ruimtestaat[[#This Row],[Code]],Locaties[#All],2,FALSE)</f>
        <v>RSG Slingerbos</v>
      </c>
      <c r="C207" s="23" t="str">
        <f>VLOOKUP(Ruimtestaat[[#This Row],[Code]],Locaties[#All],4,FALSE)</f>
        <v>Eisenhowerlaan 59</v>
      </c>
      <c r="D207" s="23" t="str">
        <f>VLOOKUP(Ruimtestaat[[#This Row],[Code]],Locaties[#All],5,FALSE)</f>
        <v>3844 AS</v>
      </c>
      <c r="E207" s="23" t="str">
        <f>VLOOKUP(Ruimtestaat[[#This Row],[Code]],Locaties[#All],6,FALSE)</f>
        <v>Harderwijk</v>
      </c>
      <c r="F207" s="23"/>
      <c r="G207" s="60" t="s">
        <v>903</v>
      </c>
      <c r="H207" s="23" t="s">
        <v>535</v>
      </c>
      <c r="I207" s="23" t="s">
        <v>748</v>
      </c>
      <c r="J207" s="3" t="s">
        <v>1017</v>
      </c>
      <c r="K207" s="23">
        <v>23</v>
      </c>
      <c r="L207" s="60" t="str">
        <f>VLOOKUP(K207,Ruimtegroepen[],2,FALSE)</f>
        <v>Niet in onderhoud</v>
      </c>
      <c r="M207" s="23" t="s">
        <v>112</v>
      </c>
      <c r="N207" s="23" t="s">
        <v>1090</v>
      </c>
      <c r="O207" s="86"/>
      <c r="P207" s="86">
        <v>19.5</v>
      </c>
      <c r="Q207" s="95" t="str">
        <f>LEFT(VLOOKUP(Ruimtestaat[[#This Row],[Ruimte code]],Ruimtegroepen[#All],4,1),2)</f>
        <v/>
      </c>
      <c r="R207" s="95"/>
      <c r="S207" s="87"/>
      <c r="T207" s="87"/>
      <c r="U207" s="88">
        <f>IF(S207&gt;0,IF(RIGHT(Ruimtestaat[[#This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207" s="88">
        <f>IF(U207&gt;0,VLOOKUP($K207,Ruimtegroepen[],3,FALSE)*VLOOKUP($M207,Vloersoorten[],3,FALSE)*VLOOKUP($T207,Frequenties[],3,FALSE)*VLOOKUP($A207,Locaties[],3,FALSE),0)</f>
        <v>0</v>
      </c>
      <c r="W207" s="89">
        <f>Ruimtestaat[[#This Row],[Uitvoeringen werkdagen]]*Ruimtestaat[[#This Row],[Oppervlak (netto)]]</f>
        <v>0</v>
      </c>
      <c r="X207" s="90">
        <f>IF(V207&gt;0,Ruimtestaat[[#This Row],[Prest. (m2 /jaar) werkdagen]]/Ruimtestaat[[#This Row],[Norm (m2/uur) werkdagen]],0)</f>
        <v>0</v>
      </c>
      <c r="Y207" s="91">
        <f>Ruimtestaat[[#This Row],[uren / jaar werkdagen]]*Tariefsopbouw!$E$35</f>
        <v>0</v>
      </c>
      <c r="Z207" s="88"/>
      <c r="AA207" s="92">
        <f>IF(Ruimtestaat[[#This Row],[Frequentie weekend]]&gt;0,VALUE(LEFT(Z207,1))*S207,0)</f>
        <v>0</v>
      </c>
      <c r="AB207" s="88">
        <f>IF($AA207&gt;0,VLOOKUP($K207,Ruimtegroepen[],3,FALSE)*VLOOKUP($M207,Vloersoorten[],3,FALSE)*VLOOKUP($Z207,Frequenties[],3,FALSE)*VLOOKUP(#REF!,Locaties[],3,FALSE),0)</f>
        <v>0</v>
      </c>
      <c r="AC207" s="90">
        <f>Ruimtestaat[[#This Row],[Uitvoeringen weekend]]*Ruimtestaat[[#This Row],[Oppervlak (netto)]]</f>
        <v>0</v>
      </c>
      <c r="AD207" s="93">
        <f>IF(AC207&gt;0,Ruimtestaat[[#This Row],[Prest. (m2 /jaar) weekend]]/Ruimtestaat[[#This Row],[Norm (m2/uur) weekend]],0)</f>
        <v>0</v>
      </c>
      <c r="AE207" s="94">
        <f>Ruimtestaat[[#This Row],[uren / jaar weekend]]*Tariefsopbouw!$D$40</f>
        <v>0</v>
      </c>
      <c r="AF207" s="66">
        <f>Ruimtestaat[[#This Row],[Prest. (m2 /jaar) weekend]]+Ruimtestaat[[#This Row],[Prest. (m2 /jaar) werkdagen]]</f>
        <v>0</v>
      </c>
      <c r="AG207" s="66">
        <f>Ruimtestaat[[#This Row],[uren / jaar weekend]]+Ruimtestaat[[#This Row],[uren / jaar werkdagen]]</f>
        <v>0</v>
      </c>
      <c r="AH207" s="67">
        <f>Ruimtestaat[[#This Row],[kosten / jaar weekend]]+Ruimtestaat[[#This Row],[kosten / jaar werkdagen]]</f>
        <v>0</v>
      </c>
    </row>
    <row r="208" spans="1:34" ht="15" customHeight="1">
      <c r="A208" s="112">
        <v>2</v>
      </c>
      <c r="B208" s="23" t="str">
        <f>VLOOKUP(Ruimtestaat[[#This Row],[Code]],Locaties[#All],2,FALSE)</f>
        <v>RSG Slingerbos</v>
      </c>
      <c r="C208" s="23" t="str">
        <f>VLOOKUP(Ruimtestaat[[#This Row],[Code]],Locaties[#All],4,FALSE)</f>
        <v>Eisenhowerlaan 59</v>
      </c>
      <c r="D208" s="23" t="str">
        <f>VLOOKUP(Ruimtestaat[[#This Row],[Code]],Locaties[#All],5,FALSE)</f>
        <v>3844 AS</v>
      </c>
      <c r="E208" s="23" t="str">
        <f>VLOOKUP(Ruimtestaat[[#This Row],[Code]],Locaties[#All],6,FALSE)</f>
        <v>Harderwijk</v>
      </c>
      <c r="F208" s="23"/>
      <c r="G208" s="60" t="s">
        <v>904</v>
      </c>
      <c r="H208" s="23" t="s">
        <v>535</v>
      </c>
      <c r="I208" s="23" t="s">
        <v>749</v>
      </c>
      <c r="J208" s="3" t="s">
        <v>1017</v>
      </c>
      <c r="K208" s="23">
        <v>23</v>
      </c>
      <c r="L208" s="60" t="str">
        <f>VLOOKUP(K208,Ruimtegroepen[],2,FALSE)</f>
        <v>Niet in onderhoud</v>
      </c>
      <c r="M208" s="23" t="s">
        <v>112</v>
      </c>
      <c r="N208" s="23" t="s">
        <v>1090</v>
      </c>
      <c r="O208" s="86"/>
      <c r="P208" s="86">
        <v>5.5</v>
      </c>
      <c r="Q208" s="95" t="str">
        <f>LEFT(VLOOKUP(Ruimtestaat[[#This Row],[Ruimte code]],Ruimtegroepen[#All],4,1),2)</f>
        <v/>
      </c>
      <c r="R208" s="95"/>
      <c r="S208" s="87"/>
      <c r="T208" s="87"/>
      <c r="U208" s="88">
        <f>IF(S208&gt;0,IF(RIGHT(Ruimtestaat[[#This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208" s="88">
        <f>IF(U208&gt;0,VLOOKUP($K208,Ruimtegroepen[],3,FALSE)*VLOOKUP($M208,Vloersoorten[],3,FALSE)*VLOOKUP($T208,Frequenties[],3,FALSE)*VLOOKUP($A208,Locaties[],3,FALSE),0)</f>
        <v>0</v>
      </c>
      <c r="W208" s="89">
        <f>Ruimtestaat[[#This Row],[Uitvoeringen werkdagen]]*Ruimtestaat[[#This Row],[Oppervlak (netto)]]</f>
        <v>0</v>
      </c>
      <c r="X208" s="90">
        <f>IF(V208&gt;0,Ruimtestaat[[#This Row],[Prest. (m2 /jaar) werkdagen]]/Ruimtestaat[[#This Row],[Norm (m2/uur) werkdagen]],0)</f>
        <v>0</v>
      </c>
      <c r="Y208" s="91">
        <f>Ruimtestaat[[#This Row],[uren / jaar werkdagen]]*Tariefsopbouw!$E$35</f>
        <v>0</v>
      </c>
      <c r="Z208" s="88"/>
      <c r="AA208" s="92">
        <f>IF(Ruimtestaat[[#This Row],[Frequentie weekend]]&gt;0,VALUE(LEFT(Z208,1))*S208,0)</f>
        <v>0</v>
      </c>
      <c r="AB208" s="88">
        <f>IF($AA208&gt;0,VLOOKUP($K208,Ruimtegroepen[],3,FALSE)*VLOOKUP($M208,Vloersoorten[],3,FALSE)*VLOOKUP($Z208,Frequenties[],3,FALSE)*VLOOKUP(#REF!,Locaties[],3,FALSE),0)</f>
        <v>0</v>
      </c>
      <c r="AC208" s="90">
        <f>Ruimtestaat[[#This Row],[Uitvoeringen weekend]]*Ruimtestaat[[#This Row],[Oppervlak (netto)]]</f>
        <v>0</v>
      </c>
      <c r="AD208" s="93">
        <f>IF(AC208&gt;0,Ruimtestaat[[#This Row],[Prest. (m2 /jaar) weekend]]/Ruimtestaat[[#This Row],[Norm (m2/uur) weekend]],0)</f>
        <v>0</v>
      </c>
      <c r="AE208" s="94">
        <f>Ruimtestaat[[#This Row],[uren / jaar weekend]]*Tariefsopbouw!$D$40</f>
        <v>0</v>
      </c>
      <c r="AF208" s="66">
        <f>Ruimtestaat[[#This Row],[Prest. (m2 /jaar) weekend]]+Ruimtestaat[[#This Row],[Prest. (m2 /jaar) werkdagen]]</f>
        <v>0</v>
      </c>
      <c r="AG208" s="66">
        <f>Ruimtestaat[[#This Row],[uren / jaar weekend]]+Ruimtestaat[[#This Row],[uren / jaar werkdagen]]</f>
        <v>0</v>
      </c>
      <c r="AH208" s="67">
        <f>Ruimtestaat[[#This Row],[kosten / jaar weekend]]+Ruimtestaat[[#This Row],[kosten / jaar werkdagen]]</f>
        <v>0</v>
      </c>
    </row>
    <row r="209" spans="1:34" ht="15" customHeight="1">
      <c r="A209" s="112">
        <v>2</v>
      </c>
      <c r="B209" s="23" t="str">
        <f>VLOOKUP(Ruimtestaat[[#This Row],[Code]],Locaties[#All],2,FALSE)</f>
        <v>RSG Slingerbos</v>
      </c>
      <c r="C209" s="23" t="str">
        <f>VLOOKUP(Ruimtestaat[[#This Row],[Code]],Locaties[#All],4,FALSE)</f>
        <v>Eisenhowerlaan 59</v>
      </c>
      <c r="D209" s="23" t="str">
        <f>VLOOKUP(Ruimtestaat[[#This Row],[Code]],Locaties[#All],5,FALSE)</f>
        <v>3844 AS</v>
      </c>
      <c r="E209" s="23" t="str">
        <f>VLOOKUP(Ruimtestaat[[#This Row],[Code]],Locaties[#All],6,FALSE)</f>
        <v>Harderwijk</v>
      </c>
      <c r="F209" s="23"/>
      <c r="G209" s="60" t="s">
        <v>905</v>
      </c>
      <c r="H209" s="23" t="s">
        <v>535</v>
      </c>
      <c r="I209" s="23" t="s">
        <v>750</v>
      </c>
      <c r="J209" s="3" t="s">
        <v>1028</v>
      </c>
      <c r="K209" s="23">
        <v>5</v>
      </c>
      <c r="L209" s="60" t="str">
        <f>VLOOKUP(K209,Ruimtegroepen[],2,FALSE)</f>
        <v>Sanitair</v>
      </c>
      <c r="M209" s="23" t="s">
        <v>113</v>
      </c>
      <c r="N209" s="23" t="s">
        <v>1091</v>
      </c>
      <c r="O209" s="86">
        <v>6.1</v>
      </c>
      <c r="P209" s="86"/>
      <c r="Q209" s="95" t="str">
        <f>LEFT(VLOOKUP(Ruimtestaat[[#This Row],[Ruimte code]],Ruimtegroepen[#All],4,1),2)</f>
        <v xml:space="preserve">S </v>
      </c>
      <c r="R209" s="95"/>
      <c r="S209" s="87">
        <v>40</v>
      </c>
      <c r="T209" s="87" t="s">
        <v>2</v>
      </c>
      <c r="U209" s="88">
        <f>IF(S209&gt;0,IF(RIGHT(Ruimtestaat[[#This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09" s="88">
        <f>IF(U209&gt;0,VLOOKUP($K209,Ruimtegroepen[],3,FALSE)*VLOOKUP($M209,Vloersoorten[],3,FALSE)*VLOOKUP($T209,Frequenties[],3,FALSE)*VLOOKUP($A209,Locaties[],3,FALSE),0)</f>
        <v>0</v>
      </c>
      <c r="W209" s="89">
        <f>Ruimtestaat[[#This Row],[Uitvoeringen werkdagen]]*Ruimtestaat[[#This Row],[Oppervlak (netto)]]</f>
        <v>1220</v>
      </c>
      <c r="X209" s="90">
        <f>IF(V209&gt;0,Ruimtestaat[[#This Row],[Prest. (m2 /jaar) werkdagen]]/Ruimtestaat[[#This Row],[Norm (m2/uur) werkdagen]],0)</f>
        <v>0</v>
      </c>
      <c r="Y209" s="91">
        <f>Ruimtestaat[[#This Row],[uren / jaar werkdagen]]*Tariefsopbouw!$E$35</f>
        <v>0</v>
      </c>
      <c r="Z209" s="88"/>
      <c r="AA209" s="92">
        <f>IF(Ruimtestaat[[#This Row],[Frequentie weekend]]&gt;0,VALUE(LEFT(Z209,1))*S209,0)</f>
        <v>0</v>
      </c>
      <c r="AB209" s="88">
        <f>IF($AA209&gt;0,VLOOKUP($K209,Ruimtegroepen[],3,FALSE)*VLOOKUP($M209,Vloersoorten[],3,FALSE)*VLOOKUP($Z209,Frequenties[],3,FALSE)*VLOOKUP(#REF!,Locaties[],3,FALSE),0)</f>
        <v>0</v>
      </c>
      <c r="AC209" s="90">
        <f>Ruimtestaat[[#This Row],[Uitvoeringen weekend]]*Ruimtestaat[[#This Row],[Oppervlak (netto)]]</f>
        <v>0</v>
      </c>
      <c r="AD209" s="93">
        <f>IF(AC209&gt;0,Ruimtestaat[[#This Row],[Prest. (m2 /jaar) weekend]]/Ruimtestaat[[#This Row],[Norm (m2/uur) weekend]],0)</f>
        <v>0</v>
      </c>
      <c r="AE209" s="94">
        <f>Ruimtestaat[[#This Row],[uren / jaar weekend]]*Tariefsopbouw!$D$40</f>
        <v>0</v>
      </c>
      <c r="AF209" s="66">
        <f>Ruimtestaat[[#This Row],[Prest. (m2 /jaar) weekend]]+Ruimtestaat[[#This Row],[Prest. (m2 /jaar) werkdagen]]</f>
        <v>1220</v>
      </c>
      <c r="AG209" s="66">
        <f>Ruimtestaat[[#This Row],[uren / jaar weekend]]+Ruimtestaat[[#This Row],[uren / jaar werkdagen]]</f>
        <v>0</v>
      </c>
      <c r="AH209" s="67">
        <f>Ruimtestaat[[#This Row],[kosten / jaar weekend]]+Ruimtestaat[[#This Row],[kosten / jaar werkdagen]]</f>
        <v>0</v>
      </c>
    </row>
    <row r="210" spans="1:34" ht="15" customHeight="1">
      <c r="A210" s="112">
        <v>2</v>
      </c>
      <c r="B210" s="23" t="str">
        <f>VLOOKUP(Ruimtestaat[[#This Row],[Code]],Locaties[#All],2,FALSE)</f>
        <v>RSG Slingerbos</v>
      </c>
      <c r="C210" s="23" t="str">
        <f>VLOOKUP(Ruimtestaat[[#This Row],[Code]],Locaties[#All],4,FALSE)</f>
        <v>Eisenhowerlaan 59</v>
      </c>
      <c r="D210" s="23" t="str">
        <f>VLOOKUP(Ruimtestaat[[#This Row],[Code]],Locaties[#All],5,FALSE)</f>
        <v>3844 AS</v>
      </c>
      <c r="E210" s="23" t="str">
        <f>VLOOKUP(Ruimtestaat[[#This Row],[Code]],Locaties[#All],6,FALSE)</f>
        <v>Harderwijk</v>
      </c>
      <c r="F210" s="23"/>
      <c r="G210" s="60" t="s">
        <v>906</v>
      </c>
      <c r="H210" s="23" t="s">
        <v>535</v>
      </c>
      <c r="I210" s="23" t="s">
        <v>751</v>
      </c>
      <c r="J210" s="3" t="s">
        <v>1029</v>
      </c>
      <c r="K210" s="23">
        <v>5</v>
      </c>
      <c r="L210" s="60" t="str">
        <f>VLOOKUP(K210,Ruimtegroepen[],2,FALSE)</f>
        <v>Sanitair</v>
      </c>
      <c r="M210" s="23" t="s">
        <v>113</v>
      </c>
      <c r="N210" s="23" t="s">
        <v>1091</v>
      </c>
      <c r="O210" s="86">
        <v>6.1</v>
      </c>
      <c r="P210" s="86"/>
      <c r="Q210" s="95" t="str">
        <f>LEFT(VLOOKUP(Ruimtestaat[[#This Row],[Ruimte code]],Ruimtegroepen[#All],4,1),2)</f>
        <v xml:space="preserve">S </v>
      </c>
      <c r="R210" s="95"/>
      <c r="S210" s="87">
        <v>40</v>
      </c>
      <c r="T210" s="87" t="s">
        <v>2</v>
      </c>
      <c r="U210" s="88">
        <f>IF(S210&gt;0,IF(RIGHT(Ruimtestaat[[#This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10" s="88">
        <f>IF(U210&gt;0,VLOOKUP($K210,Ruimtegroepen[],3,FALSE)*VLOOKUP($M210,Vloersoorten[],3,FALSE)*VLOOKUP($T210,Frequenties[],3,FALSE)*VLOOKUP($A210,Locaties[],3,FALSE),0)</f>
        <v>0</v>
      </c>
      <c r="W210" s="89">
        <f>Ruimtestaat[[#This Row],[Uitvoeringen werkdagen]]*Ruimtestaat[[#This Row],[Oppervlak (netto)]]</f>
        <v>1220</v>
      </c>
      <c r="X210" s="90">
        <f>IF(V210&gt;0,Ruimtestaat[[#This Row],[Prest. (m2 /jaar) werkdagen]]/Ruimtestaat[[#This Row],[Norm (m2/uur) werkdagen]],0)</f>
        <v>0</v>
      </c>
      <c r="Y210" s="91">
        <f>Ruimtestaat[[#This Row],[uren / jaar werkdagen]]*Tariefsopbouw!$E$35</f>
        <v>0</v>
      </c>
      <c r="Z210" s="88"/>
      <c r="AA210" s="92">
        <f>IF(Ruimtestaat[[#This Row],[Frequentie weekend]]&gt;0,VALUE(LEFT(Z210,1))*S210,0)</f>
        <v>0</v>
      </c>
      <c r="AB210" s="88">
        <f>IF($AA210&gt;0,VLOOKUP($K210,Ruimtegroepen[],3,FALSE)*VLOOKUP($M210,Vloersoorten[],3,FALSE)*VLOOKUP($Z210,Frequenties[],3,FALSE)*VLOOKUP(#REF!,Locaties[],3,FALSE),0)</f>
        <v>0</v>
      </c>
      <c r="AC210" s="90">
        <f>Ruimtestaat[[#This Row],[Uitvoeringen weekend]]*Ruimtestaat[[#This Row],[Oppervlak (netto)]]</f>
        <v>0</v>
      </c>
      <c r="AD210" s="93">
        <f>IF(AC210&gt;0,Ruimtestaat[[#This Row],[Prest. (m2 /jaar) weekend]]/Ruimtestaat[[#This Row],[Norm (m2/uur) weekend]],0)</f>
        <v>0</v>
      </c>
      <c r="AE210" s="94">
        <f>Ruimtestaat[[#This Row],[uren / jaar weekend]]*Tariefsopbouw!$D$40</f>
        <v>0</v>
      </c>
      <c r="AF210" s="66">
        <f>Ruimtestaat[[#This Row],[Prest. (m2 /jaar) weekend]]+Ruimtestaat[[#This Row],[Prest. (m2 /jaar) werkdagen]]</f>
        <v>1220</v>
      </c>
      <c r="AG210" s="66">
        <f>Ruimtestaat[[#This Row],[uren / jaar weekend]]+Ruimtestaat[[#This Row],[uren / jaar werkdagen]]</f>
        <v>0</v>
      </c>
      <c r="AH210" s="67">
        <f>Ruimtestaat[[#This Row],[kosten / jaar weekend]]+Ruimtestaat[[#This Row],[kosten / jaar werkdagen]]</f>
        <v>0</v>
      </c>
    </row>
    <row r="211" spans="1:34" ht="15" customHeight="1">
      <c r="A211" s="112">
        <v>2</v>
      </c>
      <c r="B211" s="23" t="str">
        <f>VLOOKUP(Ruimtestaat[[#This Row],[Code]],Locaties[#All],2,FALSE)</f>
        <v>RSG Slingerbos</v>
      </c>
      <c r="C211" s="23" t="str">
        <f>VLOOKUP(Ruimtestaat[[#This Row],[Code]],Locaties[#All],4,FALSE)</f>
        <v>Eisenhowerlaan 59</v>
      </c>
      <c r="D211" s="23" t="str">
        <f>VLOOKUP(Ruimtestaat[[#This Row],[Code]],Locaties[#All],5,FALSE)</f>
        <v>3844 AS</v>
      </c>
      <c r="E211" s="23" t="str">
        <f>VLOOKUP(Ruimtestaat[[#This Row],[Code]],Locaties[#All],6,FALSE)</f>
        <v>Harderwijk</v>
      </c>
      <c r="F211" s="23"/>
      <c r="G211" s="60" t="s">
        <v>469</v>
      </c>
      <c r="H211" s="23" t="s">
        <v>535</v>
      </c>
      <c r="I211" s="23">
        <v>46</v>
      </c>
      <c r="J211" s="3" t="s">
        <v>1043</v>
      </c>
      <c r="K211" s="23">
        <v>16</v>
      </c>
      <c r="L211" s="60" t="str">
        <f>VLOOKUP(K211,Ruimtegroepen[],2,FALSE)</f>
        <v>Leslokalen theorie</v>
      </c>
      <c r="M211" s="23" t="s">
        <v>112</v>
      </c>
      <c r="N211" s="23" t="s">
        <v>1090</v>
      </c>
      <c r="O211" s="86">
        <v>57.2</v>
      </c>
      <c r="P211" s="86"/>
      <c r="Q211" s="95" t="str">
        <f>LEFT(VLOOKUP(Ruimtestaat[[#This Row],[Ruimte code]],Ruimtegroepen[#All],4,1),2)</f>
        <v xml:space="preserve">L </v>
      </c>
      <c r="R211" s="95"/>
      <c r="S211" s="87">
        <v>40</v>
      </c>
      <c r="T211" s="87" t="s">
        <v>2</v>
      </c>
      <c r="U211" s="88">
        <f>IF(S211&gt;0,IF(RIGHT(Ruimtestaat[[#This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11" s="88">
        <f>IF(U211&gt;0,VLOOKUP($K211,Ruimtegroepen[],3,FALSE)*VLOOKUP($M211,Vloersoorten[],3,FALSE)*VLOOKUP($T211,Frequenties[],3,FALSE)*VLOOKUP($A211,Locaties[],3,FALSE),0)</f>
        <v>0</v>
      </c>
      <c r="W211" s="89">
        <f>Ruimtestaat[[#This Row],[Uitvoeringen werkdagen]]*Ruimtestaat[[#This Row],[Oppervlak (netto)]]</f>
        <v>11440</v>
      </c>
      <c r="X211" s="90">
        <f>IF(V211&gt;0,Ruimtestaat[[#This Row],[Prest. (m2 /jaar) werkdagen]]/Ruimtestaat[[#This Row],[Norm (m2/uur) werkdagen]],0)</f>
        <v>0</v>
      </c>
      <c r="Y211" s="91">
        <f>Ruimtestaat[[#This Row],[uren / jaar werkdagen]]*Tariefsopbouw!$E$35</f>
        <v>0</v>
      </c>
      <c r="Z211" s="88"/>
      <c r="AA211" s="92">
        <f>IF(Ruimtestaat[[#This Row],[Frequentie weekend]]&gt;0,VALUE(LEFT(Z211,1))*S211,0)</f>
        <v>0</v>
      </c>
      <c r="AB211" s="88">
        <f>IF($AA211&gt;0,VLOOKUP($K211,Ruimtegroepen[],3,FALSE)*VLOOKUP($M211,Vloersoorten[],3,FALSE)*VLOOKUP($Z211,Frequenties[],3,FALSE)*VLOOKUP(#REF!,Locaties[],3,FALSE),0)</f>
        <v>0</v>
      </c>
      <c r="AC211" s="90">
        <f>Ruimtestaat[[#This Row],[Uitvoeringen weekend]]*Ruimtestaat[[#This Row],[Oppervlak (netto)]]</f>
        <v>0</v>
      </c>
      <c r="AD211" s="93">
        <f>IF(AC211&gt;0,Ruimtestaat[[#This Row],[Prest. (m2 /jaar) weekend]]/Ruimtestaat[[#This Row],[Norm (m2/uur) weekend]],0)</f>
        <v>0</v>
      </c>
      <c r="AE211" s="94">
        <f>Ruimtestaat[[#This Row],[uren / jaar weekend]]*Tariefsopbouw!$D$40</f>
        <v>0</v>
      </c>
      <c r="AF211" s="66">
        <f>Ruimtestaat[[#This Row],[Prest. (m2 /jaar) weekend]]+Ruimtestaat[[#This Row],[Prest. (m2 /jaar) werkdagen]]</f>
        <v>11440</v>
      </c>
      <c r="AG211" s="66">
        <f>Ruimtestaat[[#This Row],[uren / jaar weekend]]+Ruimtestaat[[#This Row],[uren / jaar werkdagen]]</f>
        <v>0</v>
      </c>
      <c r="AH211" s="67">
        <f>Ruimtestaat[[#This Row],[kosten / jaar weekend]]+Ruimtestaat[[#This Row],[kosten / jaar werkdagen]]</f>
        <v>0</v>
      </c>
    </row>
    <row r="212" spans="1:34" ht="15" customHeight="1">
      <c r="A212" s="112">
        <v>2</v>
      </c>
      <c r="B212" s="23" t="str">
        <f>VLOOKUP(Ruimtestaat[[#This Row],[Code]],Locaties[#All],2,FALSE)</f>
        <v>RSG Slingerbos</v>
      </c>
      <c r="C212" s="23" t="str">
        <f>VLOOKUP(Ruimtestaat[[#This Row],[Code]],Locaties[#All],4,FALSE)</f>
        <v>Eisenhowerlaan 59</v>
      </c>
      <c r="D212" s="23" t="str">
        <f>VLOOKUP(Ruimtestaat[[#This Row],[Code]],Locaties[#All],5,FALSE)</f>
        <v>3844 AS</v>
      </c>
      <c r="E212" s="23" t="str">
        <f>VLOOKUP(Ruimtestaat[[#This Row],[Code]],Locaties[#All],6,FALSE)</f>
        <v>Harderwijk</v>
      </c>
      <c r="F212" s="23"/>
      <c r="G212" s="60" t="s">
        <v>470</v>
      </c>
      <c r="H212" s="23" t="s">
        <v>535</v>
      </c>
      <c r="I212" s="23">
        <v>5</v>
      </c>
      <c r="J212" s="3" t="s">
        <v>1044</v>
      </c>
      <c r="K212" s="23">
        <v>16</v>
      </c>
      <c r="L212" s="60" t="str">
        <f>VLOOKUP(K212,Ruimtegroepen[],2,FALSE)</f>
        <v>Leslokalen theorie</v>
      </c>
      <c r="M212" s="23" t="s">
        <v>112</v>
      </c>
      <c r="N212" s="23" t="s">
        <v>1090</v>
      </c>
      <c r="O212" s="86">
        <v>215.4</v>
      </c>
      <c r="P212" s="86"/>
      <c r="Q212" s="95" t="str">
        <f>LEFT(VLOOKUP(Ruimtestaat[[#This Row],[Ruimte code]],Ruimtegroepen[#All],4,1),2)</f>
        <v xml:space="preserve">L </v>
      </c>
      <c r="R212" s="95"/>
      <c r="S212" s="87">
        <v>40</v>
      </c>
      <c r="T212" s="87" t="s">
        <v>2</v>
      </c>
      <c r="U212" s="88">
        <f>IF(S212&gt;0,IF(RIGHT(Ruimtestaat[[#This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12" s="88">
        <f>IF(U212&gt;0,VLOOKUP($K212,Ruimtegroepen[],3,FALSE)*VLOOKUP($M212,Vloersoorten[],3,FALSE)*VLOOKUP($T212,Frequenties[],3,FALSE)*VLOOKUP($A212,Locaties[],3,FALSE),0)</f>
        <v>0</v>
      </c>
      <c r="W212" s="89">
        <f>Ruimtestaat[[#This Row],[Uitvoeringen werkdagen]]*Ruimtestaat[[#This Row],[Oppervlak (netto)]]</f>
        <v>43080</v>
      </c>
      <c r="X212" s="90">
        <f>IF(V212&gt;0,Ruimtestaat[[#This Row],[Prest. (m2 /jaar) werkdagen]]/Ruimtestaat[[#This Row],[Norm (m2/uur) werkdagen]],0)</f>
        <v>0</v>
      </c>
      <c r="Y212" s="91">
        <f>Ruimtestaat[[#This Row],[uren / jaar werkdagen]]*Tariefsopbouw!$E$35</f>
        <v>0</v>
      </c>
      <c r="Z212" s="88"/>
      <c r="AA212" s="92">
        <f>IF(Ruimtestaat[[#This Row],[Frequentie weekend]]&gt;0,VALUE(LEFT(Z212,1))*S212,0)</f>
        <v>0</v>
      </c>
      <c r="AB212" s="88">
        <f>IF($AA212&gt;0,VLOOKUP($K212,Ruimtegroepen[],3,FALSE)*VLOOKUP($M212,Vloersoorten[],3,FALSE)*VLOOKUP($Z212,Frequenties[],3,FALSE)*VLOOKUP(#REF!,Locaties[],3,FALSE),0)</f>
        <v>0</v>
      </c>
      <c r="AC212" s="90">
        <f>Ruimtestaat[[#This Row],[Uitvoeringen weekend]]*Ruimtestaat[[#This Row],[Oppervlak (netto)]]</f>
        <v>0</v>
      </c>
      <c r="AD212" s="93">
        <f>IF(AC212&gt;0,Ruimtestaat[[#This Row],[Prest. (m2 /jaar) weekend]]/Ruimtestaat[[#This Row],[Norm (m2/uur) weekend]],0)</f>
        <v>0</v>
      </c>
      <c r="AE212" s="94">
        <f>Ruimtestaat[[#This Row],[uren / jaar weekend]]*Tariefsopbouw!$D$40</f>
        <v>0</v>
      </c>
      <c r="AF212" s="66">
        <f>Ruimtestaat[[#This Row],[Prest. (m2 /jaar) weekend]]+Ruimtestaat[[#This Row],[Prest. (m2 /jaar) werkdagen]]</f>
        <v>43080</v>
      </c>
      <c r="AG212" s="66">
        <f>Ruimtestaat[[#This Row],[uren / jaar weekend]]+Ruimtestaat[[#This Row],[uren / jaar werkdagen]]</f>
        <v>0</v>
      </c>
      <c r="AH212" s="67">
        <f>Ruimtestaat[[#This Row],[kosten / jaar weekend]]+Ruimtestaat[[#This Row],[kosten / jaar werkdagen]]</f>
        <v>0</v>
      </c>
    </row>
    <row r="213" spans="1:34" ht="15" customHeight="1">
      <c r="A213" s="112">
        <v>2</v>
      </c>
      <c r="B213" s="23" t="str">
        <f>VLOOKUP(Ruimtestaat[[#This Row],[Code]],Locaties[#All],2,FALSE)</f>
        <v>RSG Slingerbos</v>
      </c>
      <c r="C213" s="23" t="str">
        <f>VLOOKUP(Ruimtestaat[[#This Row],[Code]],Locaties[#All],4,FALSE)</f>
        <v>Eisenhowerlaan 59</v>
      </c>
      <c r="D213" s="23" t="str">
        <f>VLOOKUP(Ruimtestaat[[#This Row],[Code]],Locaties[#All],5,FALSE)</f>
        <v>3844 AS</v>
      </c>
      <c r="E213" s="23" t="str">
        <f>VLOOKUP(Ruimtestaat[[#This Row],[Code]],Locaties[#All],6,FALSE)</f>
        <v>Harderwijk</v>
      </c>
      <c r="F213" s="23"/>
      <c r="G213" s="60" t="s">
        <v>471</v>
      </c>
      <c r="H213" s="23" t="s">
        <v>535</v>
      </c>
      <c r="I213" s="23">
        <v>9</v>
      </c>
      <c r="J213" s="3" t="s">
        <v>1045</v>
      </c>
      <c r="K213" s="23">
        <v>16</v>
      </c>
      <c r="L213" s="60" t="str">
        <f>VLOOKUP(K213,Ruimtegroepen[],2,FALSE)</f>
        <v>Leslokalen theorie</v>
      </c>
      <c r="M213" s="23" t="s">
        <v>112</v>
      </c>
      <c r="N213" s="23" t="s">
        <v>1090</v>
      </c>
      <c r="O213" s="86">
        <v>46.8</v>
      </c>
      <c r="P213" s="86"/>
      <c r="Q213" s="95" t="str">
        <f>LEFT(VLOOKUP(Ruimtestaat[[#This Row],[Ruimte code]],Ruimtegroepen[#All],4,1),2)</f>
        <v xml:space="preserve">L </v>
      </c>
      <c r="R213" s="95"/>
      <c r="S213" s="87">
        <v>40</v>
      </c>
      <c r="T213" s="87" t="s">
        <v>2</v>
      </c>
      <c r="U213" s="88">
        <f>IF(S213&gt;0,IF(RIGHT(Ruimtestaat[[#This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13" s="88">
        <f>IF(U213&gt;0,VLOOKUP($K213,Ruimtegroepen[],3,FALSE)*VLOOKUP($M213,Vloersoorten[],3,FALSE)*VLOOKUP($T213,Frequenties[],3,FALSE)*VLOOKUP($A213,Locaties[],3,FALSE),0)</f>
        <v>0</v>
      </c>
      <c r="W213" s="89">
        <f>Ruimtestaat[[#This Row],[Uitvoeringen werkdagen]]*Ruimtestaat[[#This Row],[Oppervlak (netto)]]</f>
        <v>9360</v>
      </c>
      <c r="X213" s="90">
        <f>IF(V213&gt;0,Ruimtestaat[[#This Row],[Prest. (m2 /jaar) werkdagen]]/Ruimtestaat[[#This Row],[Norm (m2/uur) werkdagen]],0)</f>
        <v>0</v>
      </c>
      <c r="Y213" s="91">
        <f>Ruimtestaat[[#This Row],[uren / jaar werkdagen]]*Tariefsopbouw!$E$35</f>
        <v>0</v>
      </c>
      <c r="Z213" s="88"/>
      <c r="AA213" s="92">
        <f>IF(Ruimtestaat[[#This Row],[Frequentie weekend]]&gt;0,VALUE(LEFT(Z213,1))*S213,0)</f>
        <v>0</v>
      </c>
      <c r="AB213" s="88">
        <f>IF($AA213&gt;0,VLOOKUP($K213,Ruimtegroepen[],3,FALSE)*VLOOKUP($M213,Vloersoorten[],3,FALSE)*VLOOKUP($Z213,Frequenties[],3,FALSE)*VLOOKUP(#REF!,Locaties[],3,FALSE),0)</f>
        <v>0</v>
      </c>
      <c r="AC213" s="90">
        <f>Ruimtestaat[[#This Row],[Uitvoeringen weekend]]*Ruimtestaat[[#This Row],[Oppervlak (netto)]]</f>
        <v>0</v>
      </c>
      <c r="AD213" s="93">
        <f>IF(AC213&gt;0,Ruimtestaat[[#This Row],[Prest. (m2 /jaar) weekend]]/Ruimtestaat[[#This Row],[Norm (m2/uur) weekend]],0)</f>
        <v>0</v>
      </c>
      <c r="AE213" s="94">
        <f>Ruimtestaat[[#This Row],[uren / jaar weekend]]*Tariefsopbouw!$D$40</f>
        <v>0</v>
      </c>
      <c r="AF213" s="66">
        <f>Ruimtestaat[[#This Row],[Prest. (m2 /jaar) weekend]]+Ruimtestaat[[#This Row],[Prest. (m2 /jaar) werkdagen]]</f>
        <v>9360</v>
      </c>
      <c r="AG213" s="66">
        <f>Ruimtestaat[[#This Row],[uren / jaar weekend]]+Ruimtestaat[[#This Row],[uren / jaar werkdagen]]</f>
        <v>0</v>
      </c>
      <c r="AH213" s="67">
        <f>Ruimtestaat[[#This Row],[kosten / jaar weekend]]+Ruimtestaat[[#This Row],[kosten / jaar werkdagen]]</f>
        <v>0</v>
      </c>
    </row>
    <row r="214" spans="1:34" ht="15" customHeight="1">
      <c r="A214" s="112">
        <v>2</v>
      </c>
      <c r="B214" s="23" t="str">
        <f>VLOOKUP(Ruimtestaat[[#This Row],[Code]],Locaties[#All],2,FALSE)</f>
        <v>RSG Slingerbos</v>
      </c>
      <c r="C214" s="23" t="str">
        <f>VLOOKUP(Ruimtestaat[[#This Row],[Code]],Locaties[#All],4,FALSE)</f>
        <v>Eisenhowerlaan 59</v>
      </c>
      <c r="D214" s="23" t="str">
        <f>VLOOKUP(Ruimtestaat[[#This Row],[Code]],Locaties[#All],5,FALSE)</f>
        <v>3844 AS</v>
      </c>
      <c r="E214" s="23" t="str">
        <f>VLOOKUP(Ruimtestaat[[#This Row],[Code]],Locaties[#All],6,FALSE)</f>
        <v>Harderwijk</v>
      </c>
      <c r="F214" s="23"/>
      <c r="G214" s="60" t="s">
        <v>907</v>
      </c>
      <c r="H214" s="23" t="s">
        <v>535</v>
      </c>
      <c r="I214" s="23">
        <v>3</v>
      </c>
      <c r="J214" s="3" t="s">
        <v>1046</v>
      </c>
      <c r="K214" s="23">
        <v>14</v>
      </c>
      <c r="L214" s="60" t="str">
        <f>VLOOKUP(K214,Ruimtegroepen[],2,FALSE)</f>
        <v>Praktijklokalen binas/zorg</v>
      </c>
      <c r="M214" s="23" t="s">
        <v>112</v>
      </c>
      <c r="N214" s="23" t="s">
        <v>1090</v>
      </c>
      <c r="O214" s="86">
        <v>106.5</v>
      </c>
      <c r="P214" s="86"/>
      <c r="Q214" s="95" t="str">
        <f>LEFT(VLOOKUP(Ruimtestaat[[#This Row],[Ruimte code]],Ruimtegroepen[#All],4,1),2)</f>
        <v xml:space="preserve">L </v>
      </c>
      <c r="R214" s="95"/>
      <c r="S214" s="87">
        <v>40</v>
      </c>
      <c r="T214" s="87" t="s">
        <v>2</v>
      </c>
      <c r="U214" s="88">
        <f>IF(S214&gt;0,IF(RIGHT(Ruimtestaat[[#This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14" s="88">
        <f>IF(U214&gt;0,VLOOKUP($K214,Ruimtegroepen[],3,FALSE)*VLOOKUP($M214,Vloersoorten[],3,FALSE)*VLOOKUP($T214,Frequenties[],3,FALSE)*VLOOKUP($A214,Locaties[],3,FALSE),0)</f>
        <v>0</v>
      </c>
      <c r="W214" s="89">
        <f>Ruimtestaat[[#This Row],[Uitvoeringen werkdagen]]*Ruimtestaat[[#This Row],[Oppervlak (netto)]]</f>
        <v>21300</v>
      </c>
      <c r="X214" s="90">
        <f>IF(V214&gt;0,Ruimtestaat[[#This Row],[Prest. (m2 /jaar) werkdagen]]/Ruimtestaat[[#This Row],[Norm (m2/uur) werkdagen]],0)</f>
        <v>0</v>
      </c>
      <c r="Y214" s="91">
        <f>Ruimtestaat[[#This Row],[uren / jaar werkdagen]]*Tariefsopbouw!$E$35</f>
        <v>0</v>
      </c>
      <c r="Z214" s="88"/>
      <c r="AA214" s="92">
        <f>IF(Ruimtestaat[[#This Row],[Frequentie weekend]]&gt;0,VALUE(LEFT(Z214,1))*S214,0)</f>
        <v>0</v>
      </c>
      <c r="AB214" s="88">
        <f>IF($AA214&gt;0,VLOOKUP($K214,Ruimtegroepen[],3,FALSE)*VLOOKUP($M214,Vloersoorten[],3,FALSE)*VLOOKUP($Z214,Frequenties[],3,FALSE)*VLOOKUP(#REF!,Locaties[],3,FALSE),0)</f>
        <v>0</v>
      </c>
      <c r="AC214" s="90">
        <f>Ruimtestaat[[#This Row],[Uitvoeringen weekend]]*Ruimtestaat[[#This Row],[Oppervlak (netto)]]</f>
        <v>0</v>
      </c>
      <c r="AD214" s="93">
        <f>IF(AC214&gt;0,Ruimtestaat[[#This Row],[Prest. (m2 /jaar) weekend]]/Ruimtestaat[[#This Row],[Norm (m2/uur) weekend]],0)</f>
        <v>0</v>
      </c>
      <c r="AE214" s="94">
        <f>Ruimtestaat[[#This Row],[uren / jaar weekend]]*Tariefsopbouw!$D$40</f>
        <v>0</v>
      </c>
      <c r="AF214" s="66">
        <f>Ruimtestaat[[#This Row],[Prest. (m2 /jaar) weekend]]+Ruimtestaat[[#This Row],[Prest. (m2 /jaar) werkdagen]]</f>
        <v>21300</v>
      </c>
      <c r="AG214" s="66">
        <f>Ruimtestaat[[#This Row],[uren / jaar weekend]]+Ruimtestaat[[#This Row],[uren / jaar werkdagen]]</f>
        <v>0</v>
      </c>
      <c r="AH214" s="67">
        <f>Ruimtestaat[[#This Row],[kosten / jaar weekend]]+Ruimtestaat[[#This Row],[kosten / jaar werkdagen]]</f>
        <v>0</v>
      </c>
    </row>
    <row r="215" spans="1:34" ht="15" customHeight="1">
      <c r="A215" s="112">
        <v>2</v>
      </c>
      <c r="B215" s="23" t="str">
        <f>VLOOKUP(Ruimtestaat[[#This Row],[Code]],Locaties[#All],2,FALSE)</f>
        <v>RSG Slingerbos</v>
      </c>
      <c r="C215" s="23" t="str">
        <f>VLOOKUP(Ruimtestaat[[#This Row],[Code]],Locaties[#All],4,FALSE)</f>
        <v>Eisenhowerlaan 59</v>
      </c>
      <c r="D215" s="23" t="str">
        <f>VLOOKUP(Ruimtestaat[[#This Row],[Code]],Locaties[#All],5,FALSE)</f>
        <v>3844 AS</v>
      </c>
      <c r="E215" s="23" t="str">
        <f>VLOOKUP(Ruimtestaat[[#This Row],[Code]],Locaties[#All],6,FALSE)</f>
        <v>Harderwijk</v>
      </c>
      <c r="F215" s="23"/>
      <c r="G215" s="60" t="s">
        <v>908</v>
      </c>
      <c r="H215" s="23" t="s">
        <v>535</v>
      </c>
      <c r="I215" s="23" t="s">
        <v>752</v>
      </c>
      <c r="J215" s="3" t="s">
        <v>1047</v>
      </c>
      <c r="K215" s="23">
        <v>23</v>
      </c>
      <c r="L215" s="60" t="str">
        <f>VLOOKUP(K215,Ruimtegroepen[],2,FALSE)</f>
        <v>Niet in onderhoud</v>
      </c>
      <c r="M215" s="23" t="s">
        <v>112</v>
      </c>
      <c r="N215" s="23" t="s">
        <v>1090</v>
      </c>
      <c r="O215" s="86"/>
      <c r="P215" s="86">
        <v>19.8</v>
      </c>
      <c r="Q215" s="95" t="str">
        <f>LEFT(VLOOKUP(Ruimtestaat[[#This Row],[Ruimte code]],Ruimtegroepen[#All],4,1),2)</f>
        <v/>
      </c>
      <c r="R215" s="95"/>
      <c r="S215" s="87"/>
      <c r="T215" s="87"/>
      <c r="U215" s="88">
        <f>IF(S215&gt;0,IF(RIGHT(Ruimtestaat[[#This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215" s="88">
        <f>IF(U215&gt;0,VLOOKUP($K215,Ruimtegroepen[],3,FALSE)*VLOOKUP($M215,Vloersoorten[],3,FALSE)*VLOOKUP($T215,Frequenties[],3,FALSE)*VLOOKUP($A215,Locaties[],3,FALSE),0)</f>
        <v>0</v>
      </c>
      <c r="W215" s="89">
        <f>Ruimtestaat[[#This Row],[Uitvoeringen werkdagen]]*Ruimtestaat[[#This Row],[Oppervlak (netto)]]</f>
        <v>0</v>
      </c>
      <c r="X215" s="90">
        <f>IF(V215&gt;0,Ruimtestaat[[#This Row],[Prest. (m2 /jaar) werkdagen]]/Ruimtestaat[[#This Row],[Norm (m2/uur) werkdagen]],0)</f>
        <v>0</v>
      </c>
      <c r="Y215" s="91">
        <f>Ruimtestaat[[#This Row],[uren / jaar werkdagen]]*Tariefsopbouw!$E$35</f>
        <v>0</v>
      </c>
      <c r="Z215" s="88"/>
      <c r="AA215" s="92">
        <f>IF(Ruimtestaat[[#This Row],[Frequentie weekend]]&gt;0,VALUE(LEFT(Z215,1))*S215,0)</f>
        <v>0</v>
      </c>
      <c r="AB215" s="88">
        <f>IF($AA215&gt;0,VLOOKUP($K215,Ruimtegroepen[],3,FALSE)*VLOOKUP($M215,Vloersoorten[],3,FALSE)*VLOOKUP($Z215,Frequenties[],3,FALSE)*VLOOKUP(#REF!,Locaties[],3,FALSE),0)</f>
        <v>0</v>
      </c>
      <c r="AC215" s="90">
        <f>Ruimtestaat[[#This Row],[Uitvoeringen weekend]]*Ruimtestaat[[#This Row],[Oppervlak (netto)]]</f>
        <v>0</v>
      </c>
      <c r="AD215" s="93">
        <f>IF(AC215&gt;0,Ruimtestaat[[#This Row],[Prest. (m2 /jaar) weekend]]/Ruimtestaat[[#This Row],[Norm (m2/uur) weekend]],0)</f>
        <v>0</v>
      </c>
      <c r="AE215" s="94">
        <f>Ruimtestaat[[#This Row],[uren / jaar weekend]]*Tariefsopbouw!$D$40</f>
        <v>0</v>
      </c>
      <c r="AF215" s="66">
        <f>Ruimtestaat[[#This Row],[Prest. (m2 /jaar) weekend]]+Ruimtestaat[[#This Row],[Prest. (m2 /jaar) werkdagen]]</f>
        <v>0</v>
      </c>
      <c r="AG215" s="66">
        <f>Ruimtestaat[[#This Row],[uren / jaar weekend]]+Ruimtestaat[[#This Row],[uren / jaar werkdagen]]</f>
        <v>0</v>
      </c>
      <c r="AH215" s="67">
        <f>Ruimtestaat[[#This Row],[kosten / jaar weekend]]+Ruimtestaat[[#This Row],[kosten / jaar werkdagen]]</f>
        <v>0</v>
      </c>
    </row>
    <row r="216" spans="1:34" ht="15" customHeight="1">
      <c r="A216" s="112">
        <v>2</v>
      </c>
      <c r="B216" s="23" t="str">
        <f>VLOOKUP(Ruimtestaat[[#This Row],[Code]],Locaties[#All],2,FALSE)</f>
        <v>RSG Slingerbos</v>
      </c>
      <c r="C216" s="23" t="str">
        <f>VLOOKUP(Ruimtestaat[[#This Row],[Code]],Locaties[#All],4,FALSE)</f>
        <v>Eisenhowerlaan 59</v>
      </c>
      <c r="D216" s="23" t="str">
        <f>VLOOKUP(Ruimtestaat[[#This Row],[Code]],Locaties[#All],5,FALSE)</f>
        <v>3844 AS</v>
      </c>
      <c r="E216" s="23" t="str">
        <f>VLOOKUP(Ruimtestaat[[#This Row],[Code]],Locaties[#All],6,FALSE)</f>
        <v>Harderwijk</v>
      </c>
      <c r="F216" s="23"/>
      <c r="G216" s="60" t="s">
        <v>909</v>
      </c>
      <c r="H216" s="23" t="s">
        <v>535</v>
      </c>
      <c r="I216" s="23">
        <v>2</v>
      </c>
      <c r="J216" s="3" t="s">
        <v>1048</v>
      </c>
      <c r="K216" s="23">
        <v>14</v>
      </c>
      <c r="L216" s="60" t="str">
        <f>VLOOKUP(K216,Ruimtegroepen[],2,FALSE)</f>
        <v>Praktijklokalen binas/zorg</v>
      </c>
      <c r="M216" s="23" t="s">
        <v>112</v>
      </c>
      <c r="N216" s="23" t="s">
        <v>1090</v>
      </c>
      <c r="O216" s="86">
        <v>50.3</v>
      </c>
      <c r="P216" s="86"/>
      <c r="Q216" s="95" t="str">
        <f>LEFT(VLOOKUP(Ruimtestaat[[#This Row],[Ruimte code]],Ruimtegroepen[#All],4,1),2)</f>
        <v xml:space="preserve">L </v>
      </c>
      <c r="R216" s="95"/>
      <c r="S216" s="87">
        <v>40</v>
      </c>
      <c r="T216" s="87" t="s">
        <v>2</v>
      </c>
      <c r="U216" s="88">
        <f>IF(S216&gt;0,IF(RIGHT(Ruimtestaat[[#This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16" s="88">
        <f>IF(U216&gt;0,VLOOKUP($K216,Ruimtegroepen[],3,FALSE)*VLOOKUP($M216,Vloersoorten[],3,FALSE)*VLOOKUP($T216,Frequenties[],3,FALSE)*VLOOKUP($A216,Locaties[],3,FALSE),0)</f>
        <v>0</v>
      </c>
      <c r="W216" s="89">
        <f>Ruimtestaat[[#This Row],[Uitvoeringen werkdagen]]*Ruimtestaat[[#This Row],[Oppervlak (netto)]]</f>
        <v>10060</v>
      </c>
      <c r="X216" s="90">
        <f>IF(V216&gt;0,Ruimtestaat[[#This Row],[Prest. (m2 /jaar) werkdagen]]/Ruimtestaat[[#This Row],[Norm (m2/uur) werkdagen]],0)</f>
        <v>0</v>
      </c>
      <c r="Y216" s="91">
        <f>Ruimtestaat[[#This Row],[uren / jaar werkdagen]]*Tariefsopbouw!$E$35</f>
        <v>0</v>
      </c>
      <c r="Z216" s="88"/>
      <c r="AA216" s="92">
        <f>IF(Ruimtestaat[[#This Row],[Frequentie weekend]]&gt;0,VALUE(LEFT(Z216,1))*S216,0)</f>
        <v>0</v>
      </c>
      <c r="AB216" s="88">
        <f>IF($AA216&gt;0,VLOOKUP($K216,Ruimtegroepen[],3,FALSE)*VLOOKUP($M216,Vloersoorten[],3,FALSE)*VLOOKUP($Z216,Frequenties[],3,FALSE)*VLOOKUP(#REF!,Locaties[],3,FALSE),0)</f>
        <v>0</v>
      </c>
      <c r="AC216" s="90">
        <f>Ruimtestaat[[#This Row],[Uitvoeringen weekend]]*Ruimtestaat[[#This Row],[Oppervlak (netto)]]</f>
        <v>0</v>
      </c>
      <c r="AD216" s="93">
        <f>IF(AC216&gt;0,Ruimtestaat[[#This Row],[Prest. (m2 /jaar) weekend]]/Ruimtestaat[[#This Row],[Norm (m2/uur) weekend]],0)</f>
        <v>0</v>
      </c>
      <c r="AE216" s="94">
        <f>Ruimtestaat[[#This Row],[uren / jaar weekend]]*Tariefsopbouw!$D$40</f>
        <v>0</v>
      </c>
      <c r="AF216" s="66">
        <f>Ruimtestaat[[#This Row],[Prest. (m2 /jaar) weekend]]+Ruimtestaat[[#This Row],[Prest. (m2 /jaar) werkdagen]]</f>
        <v>10060</v>
      </c>
      <c r="AG216" s="66">
        <f>Ruimtestaat[[#This Row],[uren / jaar weekend]]+Ruimtestaat[[#This Row],[uren / jaar werkdagen]]</f>
        <v>0</v>
      </c>
      <c r="AH216" s="67">
        <f>Ruimtestaat[[#This Row],[kosten / jaar weekend]]+Ruimtestaat[[#This Row],[kosten / jaar werkdagen]]</f>
        <v>0</v>
      </c>
    </row>
    <row r="217" spans="1:34" ht="15" customHeight="1">
      <c r="A217" s="112">
        <v>2</v>
      </c>
      <c r="B217" s="23" t="str">
        <f>VLOOKUP(Ruimtestaat[[#This Row],[Code]],Locaties[#All],2,FALSE)</f>
        <v>RSG Slingerbos</v>
      </c>
      <c r="C217" s="23" t="str">
        <f>VLOOKUP(Ruimtestaat[[#This Row],[Code]],Locaties[#All],4,FALSE)</f>
        <v>Eisenhowerlaan 59</v>
      </c>
      <c r="D217" s="23" t="str">
        <f>VLOOKUP(Ruimtestaat[[#This Row],[Code]],Locaties[#All],5,FALSE)</f>
        <v>3844 AS</v>
      </c>
      <c r="E217" s="23" t="str">
        <f>VLOOKUP(Ruimtestaat[[#This Row],[Code]],Locaties[#All],6,FALSE)</f>
        <v>Harderwijk</v>
      </c>
      <c r="F217" s="23"/>
      <c r="G217" s="60" t="s">
        <v>910</v>
      </c>
      <c r="H217" s="23" t="s">
        <v>535</v>
      </c>
      <c r="I217" s="23">
        <v>2</v>
      </c>
      <c r="J217" s="3" t="s">
        <v>1048</v>
      </c>
      <c r="K217" s="23">
        <v>14</v>
      </c>
      <c r="L217" s="60" t="str">
        <f>VLOOKUP(K217,Ruimtegroepen[],2,FALSE)</f>
        <v>Praktijklokalen binas/zorg</v>
      </c>
      <c r="M217" s="23" t="s">
        <v>112</v>
      </c>
      <c r="N217" s="23" t="s">
        <v>1090</v>
      </c>
      <c r="O217" s="86">
        <v>80.599999999999994</v>
      </c>
      <c r="P217" s="86"/>
      <c r="Q217" s="95" t="str">
        <f>LEFT(VLOOKUP(Ruimtestaat[[#This Row],[Ruimte code]],Ruimtegroepen[#All],4,1),2)</f>
        <v xml:space="preserve">L </v>
      </c>
      <c r="R217" s="95"/>
      <c r="S217" s="87">
        <v>40</v>
      </c>
      <c r="T217" s="87" t="s">
        <v>2</v>
      </c>
      <c r="U217" s="88">
        <f>IF(S217&gt;0,IF(RIGHT(Ruimtestaat[[#This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17" s="88">
        <f>IF(U217&gt;0,VLOOKUP($K217,Ruimtegroepen[],3,FALSE)*VLOOKUP($M217,Vloersoorten[],3,FALSE)*VLOOKUP($T217,Frequenties[],3,FALSE)*VLOOKUP($A217,Locaties[],3,FALSE),0)</f>
        <v>0</v>
      </c>
      <c r="W217" s="89">
        <f>Ruimtestaat[[#This Row],[Uitvoeringen werkdagen]]*Ruimtestaat[[#This Row],[Oppervlak (netto)]]</f>
        <v>16119.999999999998</v>
      </c>
      <c r="X217" s="90">
        <f>IF(V217&gt;0,Ruimtestaat[[#This Row],[Prest. (m2 /jaar) werkdagen]]/Ruimtestaat[[#This Row],[Norm (m2/uur) werkdagen]],0)</f>
        <v>0</v>
      </c>
      <c r="Y217" s="91">
        <f>Ruimtestaat[[#This Row],[uren / jaar werkdagen]]*Tariefsopbouw!$E$35</f>
        <v>0</v>
      </c>
      <c r="Z217" s="88"/>
      <c r="AA217" s="92">
        <f>IF(Ruimtestaat[[#This Row],[Frequentie weekend]]&gt;0,VALUE(LEFT(Z217,1))*S217,0)</f>
        <v>0</v>
      </c>
      <c r="AB217" s="88">
        <f>IF($AA217&gt;0,VLOOKUP($K217,Ruimtegroepen[],3,FALSE)*VLOOKUP($M217,Vloersoorten[],3,FALSE)*VLOOKUP($Z217,Frequenties[],3,FALSE)*VLOOKUP(#REF!,Locaties[],3,FALSE),0)</f>
        <v>0</v>
      </c>
      <c r="AC217" s="90">
        <f>Ruimtestaat[[#This Row],[Uitvoeringen weekend]]*Ruimtestaat[[#This Row],[Oppervlak (netto)]]</f>
        <v>0</v>
      </c>
      <c r="AD217" s="93">
        <f>IF(AC217&gt;0,Ruimtestaat[[#This Row],[Prest. (m2 /jaar) weekend]]/Ruimtestaat[[#This Row],[Norm (m2/uur) weekend]],0)</f>
        <v>0</v>
      </c>
      <c r="AE217" s="94">
        <f>Ruimtestaat[[#This Row],[uren / jaar weekend]]*Tariefsopbouw!$D$40</f>
        <v>0</v>
      </c>
      <c r="AF217" s="66">
        <f>Ruimtestaat[[#This Row],[Prest. (m2 /jaar) weekend]]+Ruimtestaat[[#This Row],[Prest. (m2 /jaar) werkdagen]]</f>
        <v>16119.999999999998</v>
      </c>
      <c r="AG217" s="66">
        <f>Ruimtestaat[[#This Row],[uren / jaar weekend]]+Ruimtestaat[[#This Row],[uren / jaar werkdagen]]</f>
        <v>0</v>
      </c>
      <c r="AH217" s="67">
        <f>Ruimtestaat[[#This Row],[kosten / jaar weekend]]+Ruimtestaat[[#This Row],[kosten / jaar werkdagen]]</f>
        <v>0</v>
      </c>
    </row>
    <row r="218" spans="1:34" ht="15" customHeight="1">
      <c r="A218" s="112">
        <v>2</v>
      </c>
      <c r="B218" s="23" t="str">
        <f>VLOOKUP(Ruimtestaat[[#This Row],[Code]],Locaties[#All],2,FALSE)</f>
        <v>RSG Slingerbos</v>
      </c>
      <c r="C218" s="23" t="str">
        <f>VLOOKUP(Ruimtestaat[[#This Row],[Code]],Locaties[#All],4,FALSE)</f>
        <v>Eisenhowerlaan 59</v>
      </c>
      <c r="D218" s="23" t="str">
        <f>VLOOKUP(Ruimtestaat[[#This Row],[Code]],Locaties[#All],5,FALSE)</f>
        <v>3844 AS</v>
      </c>
      <c r="E218" s="23" t="str">
        <f>VLOOKUP(Ruimtestaat[[#This Row],[Code]],Locaties[#All],6,FALSE)</f>
        <v>Harderwijk</v>
      </c>
      <c r="F218" s="23"/>
      <c r="G218" s="60" t="s">
        <v>911</v>
      </c>
      <c r="H218" s="23" t="s">
        <v>535</v>
      </c>
      <c r="I218" s="23" t="s">
        <v>753</v>
      </c>
      <c r="J218" s="3" t="s">
        <v>1017</v>
      </c>
      <c r="K218" s="23">
        <v>23</v>
      </c>
      <c r="L218" s="60" t="str">
        <f>VLOOKUP(K218,Ruimtegroepen[],2,FALSE)</f>
        <v>Niet in onderhoud</v>
      </c>
      <c r="M218" s="23" t="s">
        <v>112</v>
      </c>
      <c r="N218" s="23" t="s">
        <v>1090</v>
      </c>
      <c r="O218" s="86"/>
      <c r="P218" s="86">
        <v>11.3</v>
      </c>
      <c r="Q218" s="95" t="str">
        <f>LEFT(VLOOKUP(Ruimtestaat[[#This Row],[Ruimte code]],Ruimtegroepen[#All],4,1),2)</f>
        <v/>
      </c>
      <c r="R218" s="95"/>
      <c r="S218" s="87"/>
      <c r="T218" s="87"/>
      <c r="U218" s="88">
        <f>IF(S218&gt;0,IF(RIGHT(Ruimtestaat[[#This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218" s="88">
        <f>IF(U218&gt;0,VLOOKUP($K218,Ruimtegroepen[],3,FALSE)*VLOOKUP($M218,Vloersoorten[],3,FALSE)*VLOOKUP($T218,Frequenties[],3,FALSE)*VLOOKUP($A218,Locaties[],3,FALSE),0)</f>
        <v>0</v>
      </c>
      <c r="W218" s="89">
        <f>Ruimtestaat[[#This Row],[Uitvoeringen werkdagen]]*Ruimtestaat[[#This Row],[Oppervlak (netto)]]</f>
        <v>0</v>
      </c>
      <c r="X218" s="90">
        <f>IF(V218&gt;0,Ruimtestaat[[#This Row],[Prest. (m2 /jaar) werkdagen]]/Ruimtestaat[[#This Row],[Norm (m2/uur) werkdagen]],0)</f>
        <v>0</v>
      </c>
      <c r="Y218" s="91">
        <f>Ruimtestaat[[#This Row],[uren / jaar werkdagen]]*Tariefsopbouw!$E$35</f>
        <v>0</v>
      </c>
      <c r="Z218" s="88"/>
      <c r="AA218" s="92">
        <f>IF(Ruimtestaat[[#This Row],[Frequentie weekend]]&gt;0,VALUE(LEFT(Z218,1))*S218,0)</f>
        <v>0</v>
      </c>
      <c r="AB218" s="88">
        <f>IF($AA218&gt;0,VLOOKUP($K218,Ruimtegroepen[],3,FALSE)*VLOOKUP($M218,Vloersoorten[],3,FALSE)*VLOOKUP($Z218,Frequenties[],3,FALSE)*VLOOKUP(#REF!,Locaties[],3,FALSE),0)</f>
        <v>0</v>
      </c>
      <c r="AC218" s="90">
        <f>Ruimtestaat[[#This Row],[Uitvoeringen weekend]]*Ruimtestaat[[#This Row],[Oppervlak (netto)]]</f>
        <v>0</v>
      </c>
      <c r="AD218" s="93">
        <f>IF(AC218&gt;0,Ruimtestaat[[#This Row],[Prest. (m2 /jaar) weekend]]/Ruimtestaat[[#This Row],[Norm (m2/uur) weekend]],0)</f>
        <v>0</v>
      </c>
      <c r="AE218" s="94">
        <f>Ruimtestaat[[#This Row],[uren / jaar weekend]]*Tariefsopbouw!$D$40</f>
        <v>0</v>
      </c>
      <c r="AF218" s="66">
        <f>Ruimtestaat[[#This Row],[Prest. (m2 /jaar) weekend]]+Ruimtestaat[[#This Row],[Prest. (m2 /jaar) werkdagen]]</f>
        <v>0</v>
      </c>
      <c r="AG218" s="66">
        <f>Ruimtestaat[[#This Row],[uren / jaar weekend]]+Ruimtestaat[[#This Row],[uren / jaar werkdagen]]</f>
        <v>0</v>
      </c>
      <c r="AH218" s="67">
        <f>Ruimtestaat[[#This Row],[kosten / jaar weekend]]+Ruimtestaat[[#This Row],[kosten / jaar werkdagen]]</f>
        <v>0</v>
      </c>
    </row>
    <row r="219" spans="1:34" ht="15" customHeight="1">
      <c r="A219" s="112">
        <v>2</v>
      </c>
      <c r="B219" s="23" t="str">
        <f>VLOOKUP(Ruimtestaat[[#This Row],[Code]],Locaties[#All],2,FALSE)</f>
        <v>RSG Slingerbos</v>
      </c>
      <c r="C219" s="23" t="str">
        <f>VLOOKUP(Ruimtestaat[[#This Row],[Code]],Locaties[#All],4,FALSE)</f>
        <v>Eisenhowerlaan 59</v>
      </c>
      <c r="D219" s="23" t="str">
        <f>VLOOKUP(Ruimtestaat[[#This Row],[Code]],Locaties[#All],5,FALSE)</f>
        <v>3844 AS</v>
      </c>
      <c r="E219" s="23" t="str">
        <f>VLOOKUP(Ruimtestaat[[#This Row],[Code]],Locaties[#All],6,FALSE)</f>
        <v>Harderwijk</v>
      </c>
      <c r="F219" s="23"/>
      <c r="G219" s="60" t="s">
        <v>912</v>
      </c>
      <c r="H219" s="23" t="s">
        <v>535</v>
      </c>
      <c r="I219" s="23">
        <v>28</v>
      </c>
      <c r="J219" s="3" t="s">
        <v>1049</v>
      </c>
      <c r="K219" s="23">
        <v>16</v>
      </c>
      <c r="L219" s="60" t="str">
        <f>VLOOKUP(K219,Ruimtegroepen[],2,FALSE)</f>
        <v>Leslokalen theorie</v>
      </c>
      <c r="M219" s="23" t="s">
        <v>112</v>
      </c>
      <c r="N219" s="23" t="s">
        <v>1090</v>
      </c>
      <c r="O219" s="86">
        <v>80</v>
      </c>
      <c r="P219" s="86"/>
      <c r="Q219" s="95" t="str">
        <f>LEFT(VLOOKUP(Ruimtestaat[[#This Row],[Ruimte code]],Ruimtegroepen[#All],4,1),2)</f>
        <v xml:space="preserve">L </v>
      </c>
      <c r="R219" s="95"/>
      <c r="S219" s="87">
        <v>40</v>
      </c>
      <c r="T219" s="87" t="s">
        <v>2</v>
      </c>
      <c r="U219" s="88">
        <f>IF(S219&gt;0,IF(RIGHT(Ruimtestaat[[#This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19" s="88">
        <f>IF(U219&gt;0,VLOOKUP($K219,Ruimtegroepen[],3,FALSE)*VLOOKUP($M219,Vloersoorten[],3,FALSE)*VLOOKUP($T219,Frequenties[],3,FALSE)*VLOOKUP($A219,Locaties[],3,FALSE),0)</f>
        <v>0</v>
      </c>
      <c r="W219" s="89">
        <f>Ruimtestaat[[#This Row],[Uitvoeringen werkdagen]]*Ruimtestaat[[#This Row],[Oppervlak (netto)]]</f>
        <v>16000</v>
      </c>
      <c r="X219" s="90">
        <f>IF(V219&gt;0,Ruimtestaat[[#This Row],[Prest. (m2 /jaar) werkdagen]]/Ruimtestaat[[#This Row],[Norm (m2/uur) werkdagen]],0)</f>
        <v>0</v>
      </c>
      <c r="Y219" s="91">
        <f>Ruimtestaat[[#This Row],[uren / jaar werkdagen]]*Tariefsopbouw!$E$35</f>
        <v>0</v>
      </c>
      <c r="Z219" s="88"/>
      <c r="AA219" s="92">
        <f>IF(Ruimtestaat[[#This Row],[Frequentie weekend]]&gt;0,VALUE(LEFT(Z219,1))*S219,0)</f>
        <v>0</v>
      </c>
      <c r="AB219" s="88">
        <f>IF($AA219&gt;0,VLOOKUP($K219,Ruimtegroepen[],3,FALSE)*VLOOKUP($M219,Vloersoorten[],3,FALSE)*VLOOKUP($Z219,Frequenties[],3,FALSE)*VLOOKUP(#REF!,Locaties[],3,FALSE),0)</f>
        <v>0</v>
      </c>
      <c r="AC219" s="90">
        <f>Ruimtestaat[[#This Row],[Uitvoeringen weekend]]*Ruimtestaat[[#This Row],[Oppervlak (netto)]]</f>
        <v>0</v>
      </c>
      <c r="AD219" s="93">
        <f>IF(AC219&gt;0,Ruimtestaat[[#This Row],[Prest. (m2 /jaar) weekend]]/Ruimtestaat[[#This Row],[Norm (m2/uur) weekend]],0)</f>
        <v>0</v>
      </c>
      <c r="AE219" s="94">
        <f>Ruimtestaat[[#This Row],[uren / jaar weekend]]*Tariefsopbouw!$D$40</f>
        <v>0</v>
      </c>
      <c r="AF219" s="66">
        <f>Ruimtestaat[[#This Row],[Prest. (m2 /jaar) weekend]]+Ruimtestaat[[#This Row],[Prest. (m2 /jaar) werkdagen]]</f>
        <v>16000</v>
      </c>
      <c r="AG219" s="66">
        <f>Ruimtestaat[[#This Row],[uren / jaar weekend]]+Ruimtestaat[[#This Row],[uren / jaar werkdagen]]</f>
        <v>0</v>
      </c>
      <c r="AH219" s="67">
        <f>Ruimtestaat[[#This Row],[kosten / jaar weekend]]+Ruimtestaat[[#This Row],[kosten / jaar werkdagen]]</f>
        <v>0</v>
      </c>
    </row>
    <row r="220" spans="1:34" ht="15" customHeight="1">
      <c r="A220" s="112">
        <v>2</v>
      </c>
      <c r="B220" s="23" t="str">
        <f>VLOOKUP(Ruimtestaat[[#This Row],[Code]],Locaties[#All],2,FALSE)</f>
        <v>RSG Slingerbos</v>
      </c>
      <c r="C220" s="23" t="str">
        <f>VLOOKUP(Ruimtestaat[[#This Row],[Code]],Locaties[#All],4,FALSE)</f>
        <v>Eisenhowerlaan 59</v>
      </c>
      <c r="D220" s="23" t="str">
        <f>VLOOKUP(Ruimtestaat[[#This Row],[Code]],Locaties[#All],5,FALSE)</f>
        <v>3844 AS</v>
      </c>
      <c r="E220" s="23" t="str">
        <f>VLOOKUP(Ruimtestaat[[#This Row],[Code]],Locaties[#All],6,FALSE)</f>
        <v>Harderwijk</v>
      </c>
      <c r="F220" s="23"/>
      <c r="G220" s="60" t="s">
        <v>913</v>
      </c>
      <c r="H220" s="23" t="s">
        <v>535</v>
      </c>
      <c r="I220" s="23" t="s">
        <v>754</v>
      </c>
      <c r="J220" s="3" t="s">
        <v>1017</v>
      </c>
      <c r="K220" s="23">
        <v>23</v>
      </c>
      <c r="L220" s="60" t="str">
        <f>VLOOKUP(K220,Ruimtegroepen[],2,FALSE)</f>
        <v>Niet in onderhoud</v>
      </c>
      <c r="M220" s="23" t="s">
        <v>112</v>
      </c>
      <c r="N220" s="23" t="s">
        <v>1090</v>
      </c>
      <c r="O220" s="86"/>
      <c r="P220" s="86">
        <v>20.9</v>
      </c>
      <c r="Q220" s="95" t="str">
        <f>LEFT(VLOOKUP(Ruimtestaat[[#This Row],[Ruimte code]],Ruimtegroepen[#All],4,1),2)</f>
        <v/>
      </c>
      <c r="R220" s="95"/>
      <c r="S220" s="87"/>
      <c r="T220" s="87"/>
      <c r="U220" s="88">
        <f>IF(S220&gt;0,IF(RIGHT(Ruimtestaat[[#This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220" s="88">
        <f>IF(U220&gt;0,VLOOKUP($K220,Ruimtegroepen[],3,FALSE)*VLOOKUP($M220,Vloersoorten[],3,FALSE)*VLOOKUP($T220,Frequenties[],3,FALSE)*VLOOKUP($A220,Locaties[],3,FALSE),0)</f>
        <v>0</v>
      </c>
      <c r="W220" s="89">
        <f>Ruimtestaat[[#This Row],[Uitvoeringen werkdagen]]*Ruimtestaat[[#This Row],[Oppervlak (netto)]]</f>
        <v>0</v>
      </c>
      <c r="X220" s="90">
        <f>IF(V220&gt;0,Ruimtestaat[[#This Row],[Prest. (m2 /jaar) werkdagen]]/Ruimtestaat[[#This Row],[Norm (m2/uur) werkdagen]],0)</f>
        <v>0</v>
      </c>
      <c r="Y220" s="91">
        <f>Ruimtestaat[[#This Row],[uren / jaar werkdagen]]*Tariefsopbouw!$E$35</f>
        <v>0</v>
      </c>
      <c r="Z220" s="88"/>
      <c r="AA220" s="92">
        <f>IF(Ruimtestaat[[#This Row],[Frequentie weekend]]&gt;0,VALUE(LEFT(Z220,1))*S220,0)</f>
        <v>0</v>
      </c>
      <c r="AB220" s="88">
        <f>IF($AA220&gt;0,VLOOKUP($K220,Ruimtegroepen[],3,FALSE)*VLOOKUP($M220,Vloersoorten[],3,FALSE)*VLOOKUP($Z220,Frequenties[],3,FALSE)*VLOOKUP(#REF!,Locaties[],3,FALSE),0)</f>
        <v>0</v>
      </c>
      <c r="AC220" s="90">
        <f>Ruimtestaat[[#This Row],[Uitvoeringen weekend]]*Ruimtestaat[[#This Row],[Oppervlak (netto)]]</f>
        <v>0</v>
      </c>
      <c r="AD220" s="93">
        <f>IF(AC220&gt;0,Ruimtestaat[[#This Row],[Prest. (m2 /jaar) weekend]]/Ruimtestaat[[#This Row],[Norm (m2/uur) weekend]],0)</f>
        <v>0</v>
      </c>
      <c r="AE220" s="94">
        <f>Ruimtestaat[[#This Row],[uren / jaar weekend]]*Tariefsopbouw!$D$40</f>
        <v>0</v>
      </c>
      <c r="AF220" s="66">
        <f>Ruimtestaat[[#This Row],[Prest. (m2 /jaar) weekend]]+Ruimtestaat[[#This Row],[Prest. (m2 /jaar) werkdagen]]</f>
        <v>0</v>
      </c>
      <c r="AG220" s="66">
        <f>Ruimtestaat[[#This Row],[uren / jaar weekend]]+Ruimtestaat[[#This Row],[uren / jaar werkdagen]]</f>
        <v>0</v>
      </c>
      <c r="AH220" s="67">
        <f>Ruimtestaat[[#This Row],[kosten / jaar weekend]]+Ruimtestaat[[#This Row],[kosten / jaar werkdagen]]</f>
        <v>0</v>
      </c>
    </row>
    <row r="221" spans="1:34" ht="15" customHeight="1">
      <c r="A221" s="112">
        <v>2</v>
      </c>
      <c r="B221" s="23" t="str">
        <f>VLOOKUP(Ruimtestaat[[#This Row],[Code]],Locaties[#All],2,FALSE)</f>
        <v>RSG Slingerbos</v>
      </c>
      <c r="C221" s="23" t="str">
        <f>VLOOKUP(Ruimtestaat[[#This Row],[Code]],Locaties[#All],4,FALSE)</f>
        <v>Eisenhowerlaan 59</v>
      </c>
      <c r="D221" s="23" t="str">
        <f>VLOOKUP(Ruimtestaat[[#This Row],[Code]],Locaties[#All],5,FALSE)</f>
        <v>3844 AS</v>
      </c>
      <c r="E221" s="23" t="str">
        <f>VLOOKUP(Ruimtestaat[[#This Row],[Code]],Locaties[#All],6,FALSE)</f>
        <v>Harderwijk</v>
      </c>
      <c r="F221" s="23"/>
      <c r="G221" s="60" t="s">
        <v>914</v>
      </c>
      <c r="H221" s="23" t="s">
        <v>535</v>
      </c>
      <c r="I221" s="23">
        <v>27</v>
      </c>
      <c r="J221" s="3" t="s">
        <v>1049</v>
      </c>
      <c r="K221" s="23">
        <v>16</v>
      </c>
      <c r="L221" s="60" t="str">
        <f>VLOOKUP(K221,Ruimtegroepen[],2,FALSE)</f>
        <v>Leslokalen theorie</v>
      </c>
      <c r="M221" s="23" t="s">
        <v>112</v>
      </c>
      <c r="N221" s="23" t="s">
        <v>1090</v>
      </c>
      <c r="O221" s="86">
        <v>79.2</v>
      </c>
      <c r="P221" s="86"/>
      <c r="Q221" s="95" t="str">
        <f>LEFT(VLOOKUP(Ruimtestaat[[#This Row],[Ruimte code]],Ruimtegroepen[#All],4,1),2)</f>
        <v xml:space="preserve">L </v>
      </c>
      <c r="R221" s="95"/>
      <c r="S221" s="87">
        <v>40</v>
      </c>
      <c r="T221" s="87" t="s">
        <v>2</v>
      </c>
      <c r="U221" s="88">
        <f>IF(S221&gt;0,IF(RIGHT(Ruimtestaat[[#This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21" s="88">
        <f>IF(U221&gt;0,VLOOKUP($K221,Ruimtegroepen[],3,FALSE)*VLOOKUP($M221,Vloersoorten[],3,FALSE)*VLOOKUP($T221,Frequenties[],3,FALSE)*VLOOKUP($A221,Locaties[],3,FALSE),0)</f>
        <v>0</v>
      </c>
      <c r="W221" s="89">
        <f>Ruimtestaat[[#This Row],[Uitvoeringen werkdagen]]*Ruimtestaat[[#This Row],[Oppervlak (netto)]]</f>
        <v>15840</v>
      </c>
      <c r="X221" s="90">
        <f>IF(V221&gt;0,Ruimtestaat[[#This Row],[Prest. (m2 /jaar) werkdagen]]/Ruimtestaat[[#This Row],[Norm (m2/uur) werkdagen]],0)</f>
        <v>0</v>
      </c>
      <c r="Y221" s="91">
        <f>Ruimtestaat[[#This Row],[uren / jaar werkdagen]]*Tariefsopbouw!$E$35</f>
        <v>0</v>
      </c>
      <c r="Z221" s="88"/>
      <c r="AA221" s="92">
        <f>IF(Ruimtestaat[[#This Row],[Frequentie weekend]]&gt;0,VALUE(LEFT(Z221,1))*S221,0)</f>
        <v>0</v>
      </c>
      <c r="AB221" s="88">
        <f>IF($AA221&gt;0,VLOOKUP($K221,Ruimtegroepen[],3,FALSE)*VLOOKUP($M221,Vloersoorten[],3,FALSE)*VLOOKUP($Z221,Frequenties[],3,FALSE)*VLOOKUP(#REF!,Locaties[],3,FALSE),0)</f>
        <v>0</v>
      </c>
      <c r="AC221" s="90">
        <f>Ruimtestaat[[#This Row],[Uitvoeringen weekend]]*Ruimtestaat[[#This Row],[Oppervlak (netto)]]</f>
        <v>0</v>
      </c>
      <c r="AD221" s="93">
        <f>IF(AC221&gt;0,Ruimtestaat[[#This Row],[Prest. (m2 /jaar) weekend]]/Ruimtestaat[[#This Row],[Norm (m2/uur) weekend]],0)</f>
        <v>0</v>
      </c>
      <c r="AE221" s="94">
        <f>Ruimtestaat[[#This Row],[uren / jaar weekend]]*Tariefsopbouw!$D$40</f>
        <v>0</v>
      </c>
      <c r="AF221" s="66">
        <f>Ruimtestaat[[#This Row],[Prest. (m2 /jaar) weekend]]+Ruimtestaat[[#This Row],[Prest. (m2 /jaar) werkdagen]]</f>
        <v>15840</v>
      </c>
      <c r="AG221" s="66">
        <f>Ruimtestaat[[#This Row],[uren / jaar weekend]]+Ruimtestaat[[#This Row],[uren / jaar werkdagen]]</f>
        <v>0</v>
      </c>
      <c r="AH221" s="67">
        <f>Ruimtestaat[[#This Row],[kosten / jaar weekend]]+Ruimtestaat[[#This Row],[kosten / jaar werkdagen]]</f>
        <v>0</v>
      </c>
    </row>
    <row r="222" spans="1:34" ht="15" customHeight="1">
      <c r="A222" s="112">
        <v>2</v>
      </c>
      <c r="B222" s="23" t="str">
        <f>VLOOKUP(Ruimtestaat[[#This Row],[Code]],Locaties[#All],2,FALSE)</f>
        <v>RSG Slingerbos</v>
      </c>
      <c r="C222" s="23" t="str">
        <f>VLOOKUP(Ruimtestaat[[#This Row],[Code]],Locaties[#All],4,FALSE)</f>
        <v>Eisenhowerlaan 59</v>
      </c>
      <c r="D222" s="23" t="str">
        <f>VLOOKUP(Ruimtestaat[[#This Row],[Code]],Locaties[#All],5,FALSE)</f>
        <v>3844 AS</v>
      </c>
      <c r="E222" s="23" t="str">
        <f>VLOOKUP(Ruimtestaat[[#This Row],[Code]],Locaties[#All],6,FALSE)</f>
        <v>Harderwijk</v>
      </c>
      <c r="F222" s="23"/>
      <c r="G222" s="60" t="s">
        <v>915</v>
      </c>
      <c r="H222" s="23" t="s">
        <v>535</v>
      </c>
      <c r="I222" s="23" t="s">
        <v>755</v>
      </c>
      <c r="J222" s="3" t="s">
        <v>1050</v>
      </c>
      <c r="K222" s="23">
        <v>2</v>
      </c>
      <c r="L222" s="60" t="str">
        <f>VLOOKUP(K222,Ruimtegroepen[],2,FALSE)</f>
        <v>Kantoren</v>
      </c>
      <c r="M222" s="23" t="s">
        <v>112</v>
      </c>
      <c r="N222" s="23" t="s">
        <v>1090</v>
      </c>
      <c r="O222" s="86">
        <v>48.7</v>
      </c>
      <c r="P222" s="86"/>
      <c r="Q222" s="95" t="str">
        <f>LEFT(VLOOKUP(Ruimtestaat[[#This Row],[Ruimte code]],Ruimtegroepen[#All],4,1),2)</f>
        <v xml:space="preserve">B </v>
      </c>
      <c r="R222" s="95"/>
      <c r="S222" s="87">
        <v>40</v>
      </c>
      <c r="T222" s="87" t="s">
        <v>17</v>
      </c>
      <c r="U222" s="88">
        <f>IF(S222&gt;0,IF(RIGHT(Ruimtestaat[[#This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22" s="88">
        <f>IF(U222&gt;0,VLOOKUP($K222,Ruimtegroepen[],3,FALSE)*VLOOKUP($M222,Vloersoorten[],3,FALSE)*VLOOKUP($T222,Frequenties[],3,FALSE)*VLOOKUP($A222,Locaties[],3,FALSE),0)</f>
        <v>0</v>
      </c>
      <c r="W222" s="89">
        <f>Ruimtestaat[[#This Row],[Uitvoeringen werkdagen]]*Ruimtestaat[[#This Row],[Oppervlak (netto)]]</f>
        <v>3896</v>
      </c>
      <c r="X222" s="90">
        <f>IF(V222&gt;0,Ruimtestaat[[#This Row],[Prest. (m2 /jaar) werkdagen]]/Ruimtestaat[[#This Row],[Norm (m2/uur) werkdagen]],0)</f>
        <v>0</v>
      </c>
      <c r="Y222" s="91">
        <f>Ruimtestaat[[#This Row],[uren / jaar werkdagen]]*Tariefsopbouw!$E$35</f>
        <v>0</v>
      </c>
      <c r="Z222" s="88"/>
      <c r="AA222" s="92">
        <f>IF(Ruimtestaat[[#This Row],[Frequentie weekend]]&gt;0,VALUE(LEFT(Z222,1))*S222,0)</f>
        <v>0</v>
      </c>
      <c r="AB222" s="88">
        <f>IF($AA222&gt;0,VLOOKUP($K222,Ruimtegroepen[],3,FALSE)*VLOOKUP($M222,Vloersoorten[],3,FALSE)*VLOOKUP($Z222,Frequenties[],3,FALSE)*VLOOKUP(#REF!,Locaties[],3,FALSE),0)</f>
        <v>0</v>
      </c>
      <c r="AC222" s="90">
        <f>Ruimtestaat[[#This Row],[Uitvoeringen weekend]]*Ruimtestaat[[#This Row],[Oppervlak (netto)]]</f>
        <v>0</v>
      </c>
      <c r="AD222" s="93">
        <f>IF(AC222&gt;0,Ruimtestaat[[#This Row],[Prest. (m2 /jaar) weekend]]/Ruimtestaat[[#This Row],[Norm (m2/uur) weekend]],0)</f>
        <v>0</v>
      </c>
      <c r="AE222" s="94">
        <f>Ruimtestaat[[#This Row],[uren / jaar weekend]]*Tariefsopbouw!$D$40</f>
        <v>0</v>
      </c>
      <c r="AF222" s="66">
        <f>Ruimtestaat[[#This Row],[Prest. (m2 /jaar) weekend]]+Ruimtestaat[[#This Row],[Prest. (m2 /jaar) werkdagen]]</f>
        <v>3896</v>
      </c>
      <c r="AG222" s="66">
        <f>Ruimtestaat[[#This Row],[uren / jaar weekend]]+Ruimtestaat[[#This Row],[uren / jaar werkdagen]]</f>
        <v>0</v>
      </c>
      <c r="AH222" s="67">
        <f>Ruimtestaat[[#This Row],[kosten / jaar weekend]]+Ruimtestaat[[#This Row],[kosten / jaar werkdagen]]</f>
        <v>0</v>
      </c>
    </row>
    <row r="223" spans="1:34" ht="15" customHeight="1">
      <c r="A223" s="112">
        <v>2</v>
      </c>
      <c r="B223" s="23" t="str">
        <f>VLOOKUP(Ruimtestaat[[#This Row],[Code]],Locaties[#All],2,FALSE)</f>
        <v>RSG Slingerbos</v>
      </c>
      <c r="C223" s="23" t="str">
        <f>VLOOKUP(Ruimtestaat[[#This Row],[Code]],Locaties[#All],4,FALSE)</f>
        <v>Eisenhowerlaan 59</v>
      </c>
      <c r="D223" s="23" t="str">
        <f>VLOOKUP(Ruimtestaat[[#This Row],[Code]],Locaties[#All],5,FALSE)</f>
        <v>3844 AS</v>
      </c>
      <c r="E223" s="23" t="str">
        <f>VLOOKUP(Ruimtestaat[[#This Row],[Code]],Locaties[#All],6,FALSE)</f>
        <v>Harderwijk</v>
      </c>
      <c r="F223" s="23"/>
      <c r="G223" s="60" t="s">
        <v>916</v>
      </c>
      <c r="H223" s="23" t="s">
        <v>535</v>
      </c>
      <c r="I223" s="23" t="s">
        <v>756</v>
      </c>
      <c r="J223" s="3" t="s">
        <v>544</v>
      </c>
      <c r="K223" s="23">
        <v>20</v>
      </c>
      <c r="L223" s="60" t="str">
        <f>VLOOKUP(K223,Ruimtegroepen[],2,FALSE)</f>
        <v>Spreekkamers</v>
      </c>
      <c r="M223" s="23" t="s">
        <v>112</v>
      </c>
      <c r="N223" s="23" t="s">
        <v>1090</v>
      </c>
      <c r="O223" s="86">
        <v>21.6</v>
      </c>
      <c r="P223" s="86"/>
      <c r="Q223" s="95" t="str">
        <f>LEFT(VLOOKUP(Ruimtestaat[[#This Row],[Ruimte code]],Ruimtegroepen[#All],4,1),2)</f>
        <v xml:space="preserve">B </v>
      </c>
      <c r="R223" s="95"/>
      <c r="S223" s="87">
        <v>40</v>
      </c>
      <c r="T223" s="87" t="s">
        <v>17</v>
      </c>
      <c r="U223" s="88">
        <f>IF(S223&gt;0,IF(RIGHT(Ruimtestaat[[#This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23" s="88">
        <f>IF(U223&gt;0,VLOOKUP($K223,Ruimtegroepen[],3,FALSE)*VLOOKUP($M223,Vloersoorten[],3,FALSE)*VLOOKUP($T223,Frequenties[],3,FALSE)*VLOOKUP($A223,Locaties[],3,FALSE),0)</f>
        <v>0</v>
      </c>
      <c r="W223" s="89">
        <f>Ruimtestaat[[#This Row],[Uitvoeringen werkdagen]]*Ruimtestaat[[#This Row],[Oppervlak (netto)]]</f>
        <v>1728</v>
      </c>
      <c r="X223" s="90">
        <f>IF(V223&gt;0,Ruimtestaat[[#This Row],[Prest. (m2 /jaar) werkdagen]]/Ruimtestaat[[#This Row],[Norm (m2/uur) werkdagen]],0)</f>
        <v>0</v>
      </c>
      <c r="Y223" s="91">
        <f>Ruimtestaat[[#This Row],[uren / jaar werkdagen]]*Tariefsopbouw!$E$35</f>
        <v>0</v>
      </c>
      <c r="Z223" s="88"/>
      <c r="AA223" s="92">
        <f>IF(Ruimtestaat[[#This Row],[Frequentie weekend]]&gt;0,VALUE(LEFT(Z223,1))*S223,0)</f>
        <v>0</v>
      </c>
      <c r="AB223" s="88">
        <f>IF($AA223&gt;0,VLOOKUP($K223,Ruimtegroepen[],3,FALSE)*VLOOKUP($M223,Vloersoorten[],3,FALSE)*VLOOKUP($Z223,Frequenties[],3,FALSE)*VLOOKUP(#REF!,Locaties[],3,FALSE),0)</f>
        <v>0</v>
      </c>
      <c r="AC223" s="90">
        <f>Ruimtestaat[[#This Row],[Uitvoeringen weekend]]*Ruimtestaat[[#This Row],[Oppervlak (netto)]]</f>
        <v>0</v>
      </c>
      <c r="AD223" s="93">
        <f>IF(AC223&gt;0,Ruimtestaat[[#This Row],[Prest. (m2 /jaar) weekend]]/Ruimtestaat[[#This Row],[Norm (m2/uur) weekend]],0)</f>
        <v>0</v>
      </c>
      <c r="AE223" s="94">
        <f>Ruimtestaat[[#This Row],[uren / jaar weekend]]*Tariefsopbouw!$D$40</f>
        <v>0</v>
      </c>
      <c r="AF223" s="66">
        <f>Ruimtestaat[[#This Row],[Prest. (m2 /jaar) weekend]]+Ruimtestaat[[#This Row],[Prest. (m2 /jaar) werkdagen]]</f>
        <v>1728</v>
      </c>
      <c r="AG223" s="66">
        <f>Ruimtestaat[[#This Row],[uren / jaar weekend]]+Ruimtestaat[[#This Row],[uren / jaar werkdagen]]</f>
        <v>0</v>
      </c>
      <c r="AH223" s="67">
        <f>Ruimtestaat[[#This Row],[kosten / jaar weekend]]+Ruimtestaat[[#This Row],[kosten / jaar werkdagen]]</f>
        <v>0</v>
      </c>
    </row>
    <row r="224" spans="1:34" ht="15" customHeight="1">
      <c r="A224" s="112">
        <v>2</v>
      </c>
      <c r="B224" s="23" t="str">
        <f>VLOOKUP(Ruimtestaat[[#This Row],[Code]],Locaties[#All],2,FALSE)</f>
        <v>RSG Slingerbos</v>
      </c>
      <c r="C224" s="23" t="str">
        <f>VLOOKUP(Ruimtestaat[[#This Row],[Code]],Locaties[#All],4,FALSE)</f>
        <v>Eisenhowerlaan 59</v>
      </c>
      <c r="D224" s="23" t="str">
        <f>VLOOKUP(Ruimtestaat[[#This Row],[Code]],Locaties[#All],5,FALSE)</f>
        <v>3844 AS</v>
      </c>
      <c r="E224" s="23" t="str">
        <f>VLOOKUP(Ruimtestaat[[#This Row],[Code]],Locaties[#All],6,FALSE)</f>
        <v>Harderwijk</v>
      </c>
      <c r="F224" s="23"/>
      <c r="G224" s="60" t="s">
        <v>917</v>
      </c>
      <c r="H224" s="23" t="s">
        <v>535</v>
      </c>
      <c r="I224" s="23" t="s">
        <v>757</v>
      </c>
      <c r="J224" s="3" t="s">
        <v>544</v>
      </c>
      <c r="K224" s="23">
        <v>20</v>
      </c>
      <c r="L224" s="60" t="str">
        <f>VLOOKUP(K224,Ruimtegroepen[],2,FALSE)</f>
        <v>Spreekkamers</v>
      </c>
      <c r="M224" s="23" t="s">
        <v>112</v>
      </c>
      <c r="N224" s="23" t="s">
        <v>1090</v>
      </c>
      <c r="O224" s="86">
        <v>9.3000000000000007</v>
      </c>
      <c r="P224" s="86"/>
      <c r="Q224" s="95" t="str">
        <f>LEFT(VLOOKUP(Ruimtestaat[[#This Row],[Ruimte code]],Ruimtegroepen[#All],4,1),2)</f>
        <v xml:space="preserve">B </v>
      </c>
      <c r="R224" s="95"/>
      <c r="S224" s="87">
        <v>40</v>
      </c>
      <c r="T224" s="87" t="s">
        <v>17</v>
      </c>
      <c r="U224" s="88">
        <f>IF(S224&gt;0,IF(RIGHT(Ruimtestaat[[#This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24" s="88">
        <f>IF(U224&gt;0,VLOOKUP($K224,Ruimtegroepen[],3,FALSE)*VLOOKUP($M224,Vloersoorten[],3,FALSE)*VLOOKUP($T224,Frequenties[],3,FALSE)*VLOOKUP($A224,Locaties[],3,FALSE),0)</f>
        <v>0</v>
      </c>
      <c r="W224" s="89">
        <f>Ruimtestaat[[#This Row],[Uitvoeringen werkdagen]]*Ruimtestaat[[#This Row],[Oppervlak (netto)]]</f>
        <v>744</v>
      </c>
      <c r="X224" s="90">
        <f>IF(V224&gt;0,Ruimtestaat[[#This Row],[Prest. (m2 /jaar) werkdagen]]/Ruimtestaat[[#This Row],[Norm (m2/uur) werkdagen]],0)</f>
        <v>0</v>
      </c>
      <c r="Y224" s="91">
        <f>Ruimtestaat[[#This Row],[uren / jaar werkdagen]]*Tariefsopbouw!$E$35</f>
        <v>0</v>
      </c>
      <c r="Z224" s="88"/>
      <c r="AA224" s="92">
        <f>IF(Ruimtestaat[[#This Row],[Frequentie weekend]]&gt;0,VALUE(LEFT(Z224,1))*S224,0)</f>
        <v>0</v>
      </c>
      <c r="AB224" s="88">
        <f>IF($AA224&gt;0,VLOOKUP($K224,Ruimtegroepen[],3,FALSE)*VLOOKUP($M224,Vloersoorten[],3,FALSE)*VLOOKUP($Z224,Frequenties[],3,FALSE)*VLOOKUP(#REF!,Locaties[],3,FALSE),0)</f>
        <v>0</v>
      </c>
      <c r="AC224" s="90">
        <f>Ruimtestaat[[#This Row],[Uitvoeringen weekend]]*Ruimtestaat[[#This Row],[Oppervlak (netto)]]</f>
        <v>0</v>
      </c>
      <c r="AD224" s="93">
        <f>IF(AC224&gt;0,Ruimtestaat[[#This Row],[Prest. (m2 /jaar) weekend]]/Ruimtestaat[[#This Row],[Norm (m2/uur) weekend]],0)</f>
        <v>0</v>
      </c>
      <c r="AE224" s="94">
        <f>Ruimtestaat[[#This Row],[uren / jaar weekend]]*Tariefsopbouw!$D$40</f>
        <v>0</v>
      </c>
      <c r="AF224" s="66">
        <f>Ruimtestaat[[#This Row],[Prest. (m2 /jaar) weekend]]+Ruimtestaat[[#This Row],[Prest. (m2 /jaar) werkdagen]]</f>
        <v>744</v>
      </c>
      <c r="AG224" s="66">
        <f>Ruimtestaat[[#This Row],[uren / jaar weekend]]+Ruimtestaat[[#This Row],[uren / jaar werkdagen]]</f>
        <v>0</v>
      </c>
      <c r="AH224" s="67">
        <f>Ruimtestaat[[#This Row],[kosten / jaar weekend]]+Ruimtestaat[[#This Row],[kosten / jaar werkdagen]]</f>
        <v>0</v>
      </c>
    </row>
    <row r="225" spans="1:34" ht="15" customHeight="1">
      <c r="A225" s="112">
        <v>2</v>
      </c>
      <c r="B225" s="23" t="str">
        <f>VLOOKUP(Ruimtestaat[[#This Row],[Code]],Locaties[#All],2,FALSE)</f>
        <v>RSG Slingerbos</v>
      </c>
      <c r="C225" s="23" t="str">
        <f>VLOOKUP(Ruimtestaat[[#This Row],[Code]],Locaties[#All],4,FALSE)</f>
        <v>Eisenhowerlaan 59</v>
      </c>
      <c r="D225" s="23" t="str">
        <f>VLOOKUP(Ruimtestaat[[#This Row],[Code]],Locaties[#All],5,FALSE)</f>
        <v>3844 AS</v>
      </c>
      <c r="E225" s="23" t="str">
        <f>VLOOKUP(Ruimtestaat[[#This Row],[Code]],Locaties[#All],6,FALSE)</f>
        <v>Harderwijk</v>
      </c>
      <c r="F225" s="23"/>
      <c r="G225" s="60" t="s">
        <v>918</v>
      </c>
      <c r="H225" s="23" t="s">
        <v>535</v>
      </c>
      <c r="I225" s="23" t="s">
        <v>758</v>
      </c>
      <c r="J225" s="3" t="s">
        <v>1051</v>
      </c>
      <c r="K225" s="23">
        <v>2</v>
      </c>
      <c r="L225" s="60" t="str">
        <f>VLOOKUP(K225,Ruimtegroepen[],2,FALSE)</f>
        <v>Kantoren</v>
      </c>
      <c r="M225" s="23" t="s">
        <v>112</v>
      </c>
      <c r="N225" s="23" t="s">
        <v>1090</v>
      </c>
      <c r="O225" s="86">
        <v>39.6</v>
      </c>
      <c r="P225" s="86"/>
      <c r="Q225" s="95" t="str">
        <f>LEFT(VLOOKUP(Ruimtestaat[[#This Row],[Ruimte code]],Ruimtegroepen[#All],4,1),2)</f>
        <v xml:space="preserve">B </v>
      </c>
      <c r="R225" s="95"/>
      <c r="S225" s="87">
        <v>40</v>
      </c>
      <c r="T225" s="87" t="s">
        <v>17</v>
      </c>
      <c r="U225" s="88">
        <f>IF(S225&gt;0,IF(RIGHT(Ruimtestaat[[#This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25" s="88">
        <f>IF(U225&gt;0,VLOOKUP($K225,Ruimtegroepen[],3,FALSE)*VLOOKUP($M225,Vloersoorten[],3,FALSE)*VLOOKUP($T225,Frequenties[],3,FALSE)*VLOOKUP($A225,Locaties[],3,FALSE),0)</f>
        <v>0</v>
      </c>
      <c r="W225" s="89">
        <f>Ruimtestaat[[#This Row],[Uitvoeringen werkdagen]]*Ruimtestaat[[#This Row],[Oppervlak (netto)]]</f>
        <v>3168</v>
      </c>
      <c r="X225" s="90">
        <f>IF(V225&gt;0,Ruimtestaat[[#This Row],[Prest. (m2 /jaar) werkdagen]]/Ruimtestaat[[#This Row],[Norm (m2/uur) werkdagen]],0)</f>
        <v>0</v>
      </c>
      <c r="Y225" s="91">
        <f>Ruimtestaat[[#This Row],[uren / jaar werkdagen]]*Tariefsopbouw!$E$35</f>
        <v>0</v>
      </c>
      <c r="Z225" s="88"/>
      <c r="AA225" s="92">
        <f>IF(Ruimtestaat[[#This Row],[Frequentie weekend]]&gt;0,VALUE(LEFT(Z225,1))*S225,0)</f>
        <v>0</v>
      </c>
      <c r="AB225" s="88">
        <f>IF($AA225&gt;0,VLOOKUP($K225,Ruimtegroepen[],3,FALSE)*VLOOKUP($M225,Vloersoorten[],3,FALSE)*VLOOKUP($Z225,Frequenties[],3,FALSE)*VLOOKUP(#REF!,Locaties[],3,FALSE),0)</f>
        <v>0</v>
      </c>
      <c r="AC225" s="90">
        <f>Ruimtestaat[[#This Row],[Uitvoeringen weekend]]*Ruimtestaat[[#This Row],[Oppervlak (netto)]]</f>
        <v>0</v>
      </c>
      <c r="AD225" s="93">
        <f>IF(AC225&gt;0,Ruimtestaat[[#This Row],[Prest. (m2 /jaar) weekend]]/Ruimtestaat[[#This Row],[Norm (m2/uur) weekend]],0)</f>
        <v>0</v>
      </c>
      <c r="AE225" s="94">
        <f>Ruimtestaat[[#This Row],[uren / jaar weekend]]*Tariefsopbouw!$D$40</f>
        <v>0</v>
      </c>
      <c r="AF225" s="66">
        <f>Ruimtestaat[[#This Row],[Prest. (m2 /jaar) weekend]]+Ruimtestaat[[#This Row],[Prest. (m2 /jaar) werkdagen]]</f>
        <v>3168</v>
      </c>
      <c r="AG225" s="66">
        <f>Ruimtestaat[[#This Row],[uren / jaar weekend]]+Ruimtestaat[[#This Row],[uren / jaar werkdagen]]</f>
        <v>0</v>
      </c>
      <c r="AH225" s="67">
        <f>Ruimtestaat[[#This Row],[kosten / jaar weekend]]+Ruimtestaat[[#This Row],[kosten / jaar werkdagen]]</f>
        <v>0</v>
      </c>
    </row>
    <row r="226" spans="1:34" ht="15" customHeight="1">
      <c r="A226" s="112">
        <v>2</v>
      </c>
      <c r="B226" s="23" t="str">
        <f>VLOOKUP(Ruimtestaat[[#This Row],[Code]],Locaties[#All],2,FALSE)</f>
        <v>RSG Slingerbos</v>
      </c>
      <c r="C226" s="23" t="str">
        <f>VLOOKUP(Ruimtestaat[[#This Row],[Code]],Locaties[#All],4,FALSE)</f>
        <v>Eisenhowerlaan 59</v>
      </c>
      <c r="D226" s="23" t="str">
        <f>VLOOKUP(Ruimtestaat[[#This Row],[Code]],Locaties[#All],5,FALSE)</f>
        <v>3844 AS</v>
      </c>
      <c r="E226" s="23" t="str">
        <f>VLOOKUP(Ruimtestaat[[#This Row],[Code]],Locaties[#All],6,FALSE)</f>
        <v>Harderwijk</v>
      </c>
      <c r="F226" s="23"/>
      <c r="G226" s="60" t="s">
        <v>919</v>
      </c>
      <c r="H226" s="23" t="s">
        <v>535</v>
      </c>
      <c r="I226" s="23">
        <v>4</v>
      </c>
      <c r="J226" s="3" t="s">
        <v>1052</v>
      </c>
      <c r="K226" s="23">
        <v>14</v>
      </c>
      <c r="L226" s="60" t="str">
        <f>VLOOKUP(K226,Ruimtegroepen[],2,FALSE)</f>
        <v>Praktijklokalen binas/zorg</v>
      </c>
      <c r="M226" s="23" t="s">
        <v>112</v>
      </c>
      <c r="N226" s="23" t="s">
        <v>1090</v>
      </c>
      <c r="O226" s="86">
        <v>59.2</v>
      </c>
      <c r="P226" s="86"/>
      <c r="Q226" s="95" t="str">
        <f>LEFT(VLOOKUP(Ruimtestaat[[#This Row],[Ruimte code]],Ruimtegroepen[#All],4,1),2)</f>
        <v xml:space="preserve">L </v>
      </c>
      <c r="R226" s="95"/>
      <c r="S226" s="87">
        <v>40</v>
      </c>
      <c r="T226" s="87" t="s">
        <v>2</v>
      </c>
      <c r="U226" s="88">
        <f>IF(S226&gt;0,IF(RIGHT(Ruimtestaat[[#This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26" s="88">
        <f>IF(U226&gt;0,VLOOKUP($K226,Ruimtegroepen[],3,FALSE)*VLOOKUP($M226,Vloersoorten[],3,FALSE)*VLOOKUP($T226,Frequenties[],3,FALSE)*VLOOKUP($A226,Locaties[],3,FALSE),0)</f>
        <v>0</v>
      </c>
      <c r="W226" s="89">
        <f>Ruimtestaat[[#This Row],[Uitvoeringen werkdagen]]*Ruimtestaat[[#This Row],[Oppervlak (netto)]]</f>
        <v>11840</v>
      </c>
      <c r="X226" s="90">
        <f>IF(V226&gt;0,Ruimtestaat[[#This Row],[Prest. (m2 /jaar) werkdagen]]/Ruimtestaat[[#This Row],[Norm (m2/uur) werkdagen]],0)</f>
        <v>0</v>
      </c>
      <c r="Y226" s="91">
        <f>Ruimtestaat[[#This Row],[uren / jaar werkdagen]]*Tariefsopbouw!$E$35</f>
        <v>0</v>
      </c>
      <c r="Z226" s="88"/>
      <c r="AA226" s="92">
        <f>IF(Ruimtestaat[[#This Row],[Frequentie weekend]]&gt;0,VALUE(LEFT(Z226,1))*S226,0)</f>
        <v>0</v>
      </c>
      <c r="AB226" s="88">
        <f>IF($AA226&gt;0,VLOOKUP($K226,Ruimtegroepen[],3,FALSE)*VLOOKUP($M226,Vloersoorten[],3,FALSE)*VLOOKUP($Z226,Frequenties[],3,FALSE)*VLOOKUP(#REF!,Locaties[],3,FALSE),0)</f>
        <v>0</v>
      </c>
      <c r="AC226" s="90">
        <f>Ruimtestaat[[#This Row],[Uitvoeringen weekend]]*Ruimtestaat[[#This Row],[Oppervlak (netto)]]</f>
        <v>0</v>
      </c>
      <c r="AD226" s="93">
        <f>IF(AC226&gt;0,Ruimtestaat[[#This Row],[Prest. (m2 /jaar) weekend]]/Ruimtestaat[[#This Row],[Norm (m2/uur) weekend]],0)</f>
        <v>0</v>
      </c>
      <c r="AE226" s="94">
        <f>Ruimtestaat[[#This Row],[uren / jaar weekend]]*Tariefsopbouw!$D$40</f>
        <v>0</v>
      </c>
      <c r="AF226" s="66">
        <f>Ruimtestaat[[#This Row],[Prest. (m2 /jaar) weekend]]+Ruimtestaat[[#This Row],[Prest. (m2 /jaar) werkdagen]]</f>
        <v>11840</v>
      </c>
      <c r="AG226" s="66">
        <f>Ruimtestaat[[#This Row],[uren / jaar weekend]]+Ruimtestaat[[#This Row],[uren / jaar werkdagen]]</f>
        <v>0</v>
      </c>
      <c r="AH226" s="67">
        <f>Ruimtestaat[[#This Row],[kosten / jaar weekend]]+Ruimtestaat[[#This Row],[kosten / jaar werkdagen]]</f>
        <v>0</v>
      </c>
    </row>
    <row r="227" spans="1:34" ht="15" customHeight="1">
      <c r="A227" s="112">
        <v>2</v>
      </c>
      <c r="B227" s="23" t="str">
        <f>VLOOKUP(Ruimtestaat[[#This Row],[Code]],Locaties[#All],2,FALSE)</f>
        <v>RSG Slingerbos</v>
      </c>
      <c r="C227" s="23" t="str">
        <f>VLOOKUP(Ruimtestaat[[#This Row],[Code]],Locaties[#All],4,FALSE)</f>
        <v>Eisenhowerlaan 59</v>
      </c>
      <c r="D227" s="23" t="str">
        <f>VLOOKUP(Ruimtestaat[[#This Row],[Code]],Locaties[#All],5,FALSE)</f>
        <v>3844 AS</v>
      </c>
      <c r="E227" s="23" t="str">
        <f>VLOOKUP(Ruimtestaat[[#This Row],[Code]],Locaties[#All],6,FALSE)</f>
        <v>Harderwijk</v>
      </c>
      <c r="F227" s="23"/>
      <c r="G227" s="60" t="s">
        <v>920</v>
      </c>
      <c r="H227" s="23" t="s">
        <v>535</v>
      </c>
      <c r="I227" s="23" t="s">
        <v>759</v>
      </c>
      <c r="J227" s="3" t="s">
        <v>1041</v>
      </c>
      <c r="K227" s="23">
        <v>2</v>
      </c>
      <c r="L227" s="60" t="str">
        <f>VLOOKUP(K227,Ruimtegroepen[],2,FALSE)</f>
        <v>Kantoren</v>
      </c>
      <c r="M227" s="23" t="s">
        <v>112</v>
      </c>
      <c r="N227" s="23" t="s">
        <v>1090</v>
      </c>
      <c r="O227" s="86">
        <v>12.4</v>
      </c>
      <c r="P227" s="86"/>
      <c r="Q227" s="95" t="str">
        <f>LEFT(VLOOKUP(Ruimtestaat[[#This Row],[Ruimte code]],Ruimtegroepen[#All],4,1),2)</f>
        <v xml:space="preserve">B </v>
      </c>
      <c r="R227" s="95"/>
      <c r="S227" s="87">
        <v>40</v>
      </c>
      <c r="T227" s="87" t="s">
        <v>17</v>
      </c>
      <c r="U227" s="88">
        <f>IF(S227&gt;0,IF(RIGHT(Ruimtestaat[[#This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27" s="88">
        <f>IF(U227&gt;0,VLOOKUP($K227,Ruimtegroepen[],3,FALSE)*VLOOKUP($M227,Vloersoorten[],3,FALSE)*VLOOKUP($T227,Frequenties[],3,FALSE)*VLOOKUP($A227,Locaties[],3,FALSE),0)</f>
        <v>0</v>
      </c>
      <c r="W227" s="89">
        <f>Ruimtestaat[[#This Row],[Uitvoeringen werkdagen]]*Ruimtestaat[[#This Row],[Oppervlak (netto)]]</f>
        <v>992</v>
      </c>
      <c r="X227" s="90">
        <f>IF(V227&gt;0,Ruimtestaat[[#This Row],[Prest. (m2 /jaar) werkdagen]]/Ruimtestaat[[#This Row],[Norm (m2/uur) werkdagen]],0)</f>
        <v>0</v>
      </c>
      <c r="Y227" s="91">
        <f>Ruimtestaat[[#This Row],[uren / jaar werkdagen]]*Tariefsopbouw!$E$35</f>
        <v>0</v>
      </c>
      <c r="Z227" s="88"/>
      <c r="AA227" s="92">
        <f>IF(Ruimtestaat[[#This Row],[Frequentie weekend]]&gt;0,VALUE(LEFT(Z227,1))*S227,0)</f>
        <v>0</v>
      </c>
      <c r="AB227" s="88">
        <f>IF($AA227&gt;0,VLOOKUP($K227,Ruimtegroepen[],3,FALSE)*VLOOKUP($M227,Vloersoorten[],3,FALSE)*VLOOKUP($Z227,Frequenties[],3,FALSE)*VLOOKUP(#REF!,Locaties[],3,FALSE),0)</f>
        <v>0</v>
      </c>
      <c r="AC227" s="90">
        <f>Ruimtestaat[[#This Row],[Uitvoeringen weekend]]*Ruimtestaat[[#This Row],[Oppervlak (netto)]]</f>
        <v>0</v>
      </c>
      <c r="AD227" s="93">
        <f>IF(AC227&gt;0,Ruimtestaat[[#This Row],[Prest. (m2 /jaar) weekend]]/Ruimtestaat[[#This Row],[Norm (m2/uur) weekend]],0)</f>
        <v>0</v>
      </c>
      <c r="AE227" s="94">
        <f>Ruimtestaat[[#This Row],[uren / jaar weekend]]*Tariefsopbouw!$D$40</f>
        <v>0</v>
      </c>
      <c r="AF227" s="66">
        <f>Ruimtestaat[[#This Row],[Prest. (m2 /jaar) weekend]]+Ruimtestaat[[#This Row],[Prest. (m2 /jaar) werkdagen]]</f>
        <v>992</v>
      </c>
      <c r="AG227" s="66">
        <f>Ruimtestaat[[#This Row],[uren / jaar weekend]]+Ruimtestaat[[#This Row],[uren / jaar werkdagen]]</f>
        <v>0</v>
      </c>
      <c r="AH227" s="67">
        <f>Ruimtestaat[[#This Row],[kosten / jaar weekend]]+Ruimtestaat[[#This Row],[kosten / jaar werkdagen]]</f>
        <v>0</v>
      </c>
    </row>
    <row r="228" spans="1:34" ht="15" customHeight="1">
      <c r="A228" s="112">
        <v>2</v>
      </c>
      <c r="B228" s="23" t="str">
        <f>VLOOKUP(Ruimtestaat[[#This Row],[Code]],Locaties[#All],2,FALSE)</f>
        <v>RSG Slingerbos</v>
      </c>
      <c r="C228" s="23" t="str">
        <f>VLOOKUP(Ruimtestaat[[#This Row],[Code]],Locaties[#All],4,FALSE)</f>
        <v>Eisenhowerlaan 59</v>
      </c>
      <c r="D228" s="23" t="str">
        <f>VLOOKUP(Ruimtestaat[[#This Row],[Code]],Locaties[#All],5,FALSE)</f>
        <v>3844 AS</v>
      </c>
      <c r="E228" s="23" t="str">
        <f>VLOOKUP(Ruimtestaat[[#This Row],[Code]],Locaties[#All],6,FALSE)</f>
        <v>Harderwijk</v>
      </c>
      <c r="F228" s="23"/>
      <c r="G228" s="60" t="s">
        <v>921</v>
      </c>
      <c r="H228" s="23" t="s">
        <v>535</v>
      </c>
      <c r="I228" s="23" t="s">
        <v>759</v>
      </c>
      <c r="J228" s="3" t="s">
        <v>1041</v>
      </c>
      <c r="K228" s="23">
        <v>2</v>
      </c>
      <c r="L228" s="60" t="str">
        <f>VLOOKUP(K228,Ruimtegroepen[],2,FALSE)</f>
        <v>Kantoren</v>
      </c>
      <c r="M228" s="23" t="s">
        <v>112</v>
      </c>
      <c r="N228" s="23" t="s">
        <v>1090</v>
      </c>
      <c r="O228" s="86">
        <v>12.4</v>
      </c>
      <c r="P228" s="86"/>
      <c r="Q228" s="95" t="str">
        <f>LEFT(VLOOKUP(Ruimtestaat[[#This Row],[Ruimte code]],Ruimtegroepen[#All],4,1),2)</f>
        <v xml:space="preserve">B </v>
      </c>
      <c r="R228" s="95"/>
      <c r="S228" s="87">
        <v>40</v>
      </c>
      <c r="T228" s="87" t="s">
        <v>17</v>
      </c>
      <c r="U228" s="88">
        <f>IF(S228&gt;0,IF(RIGHT(Ruimtestaat[[#This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28" s="88">
        <f>IF(U228&gt;0,VLOOKUP($K228,Ruimtegroepen[],3,FALSE)*VLOOKUP($M228,Vloersoorten[],3,FALSE)*VLOOKUP($T228,Frequenties[],3,FALSE)*VLOOKUP($A228,Locaties[],3,FALSE),0)</f>
        <v>0</v>
      </c>
      <c r="W228" s="89">
        <f>Ruimtestaat[[#This Row],[Uitvoeringen werkdagen]]*Ruimtestaat[[#This Row],[Oppervlak (netto)]]</f>
        <v>992</v>
      </c>
      <c r="X228" s="90">
        <f>IF(V228&gt;0,Ruimtestaat[[#This Row],[Prest. (m2 /jaar) werkdagen]]/Ruimtestaat[[#This Row],[Norm (m2/uur) werkdagen]],0)</f>
        <v>0</v>
      </c>
      <c r="Y228" s="91">
        <f>Ruimtestaat[[#This Row],[uren / jaar werkdagen]]*Tariefsopbouw!$E$35</f>
        <v>0</v>
      </c>
      <c r="Z228" s="88"/>
      <c r="AA228" s="92">
        <f>IF(Ruimtestaat[[#This Row],[Frequentie weekend]]&gt;0,VALUE(LEFT(Z228,1))*S228,0)</f>
        <v>0</v>
      </c>
      <c r="AB228" s="88">
        <f>IF($AA228&gt;0,VLOOKUP($K228,Ruimtegroepen[],3,FALSE)*VLOOKUP($M228,Vloersoorten[],3,FALSE)*VLOOKUP($Z228,Frequenties[],3,FALSE)*VLOOKUP(#REF!,Locaties[],3,FALSE),0)</f>
        <v>0</v>
      </c>
      <c r="AC228" s="90">
        <f>Ruimtestaat[[#This Row],[Uitvoeringen weekend]]*Ruimtestaat[[#This Row],[Oppervlak (netto)]]</f>
        <v>0</v>
      </c>
      <c r="AD228" s="93">
        <f>IF(AC228&gt;0,Ruimtestaat[[#This Row],[Prest. (m2 /jaar) weekend]]/Ruimtestaat[[#This Row],[Norm (m2/uur) weekend]],0)</f>
        <v>0</v>
      </c>
      <c r="AE228" s="94">
        <f>Ruimtestaat[[#This Row],[uren / jaar weekend]]*Tariefsopbouw!$D$40</f>
        <v>0</v>
      </c>
      <c r="AF228" s="66">
        <f>Ruimtestaat[[#This Row],[Prest. (m2 /jaar) weekend]]+Ruimtestaat[[#This Row],[Prest. (m2 /jaar) werkdagen]]</f>
        <v>992</v>
      </c>
      <c r="AG228" s="66">
        <f>Ruimtestaat[[#This Row],[uren / jaar weekend]]+Ruimtestaat[[#This Row],[uren / jaar werkdagen]]</f>
        <v>0</v>
      </c>
      <c r="AH228" s="67">
        <f>Ruimtestaat[[#This Row],[kosten / jaar weekend]]+Ruimtestaat[[#This Row],[kosten / jaar werkdagen]]</f>
        <v>0</v>
      </c>
    </row>
    <row r="229" spans="1:34" ht="15" customHeight="1">
      <c r="A229" s="112">
        <v>2</v>
      </c>
      <c r="B229" s="23" t="str">
        <f>VLOOKUP(Ruimtestaat[[#This Row],[Code]],Locaties[#All],2,FALSE)</f>
        <v>RSG Slingerbos</v>
      </c>
      <c r="C229" s="23" t="str">
        <f>VLOOKUP(Ruimtestaat[[#This Row],[Code]],Locaties[#All],4,FALSE)</f>
        <v>Eisenhowerlaan 59</v>
      </c>
      <c r="D229" s="23" t="str">
        <f>VLOOKUP(Ruimtestaat[[#This Row],[Code]],Locaties[#All],5,FALSE)</f>
        <v>3844 AS</v>
      </c>
      <c r="E229" s="23" t="str">
        <f>VLOOKUP(Ruimtestaat[[#This Row],[Code]],Locaties[#All],6,FALSE)</f>
        <v>Harderwijk</v>
      </c>
      <c r="F229" s="23"/>
      <c r="G229" s="60" t="s">
        <v>922</v>
      </c>
      <c r="H229" s="23" t="s">
        <v>535</v>
      </c>
      <c r="I229" s="23" t="s">
        <v>760</v>
      </c>
      <c r="J229" s="3" t="s">
        <v>1041</v>
      </c>
      <c r="K229" s="23">
        <v>2</v>
      </c>
      <c r="L229" s="60" t="str">
        <f>VLOOKUP(K229,Ruimtegroepen[],2,FALSE)</f>
        <v>Kantoren</v>
      </c>
      <c r="M229" s="23" t="s">
        <v>112</v>
      </c>
      <c r="N229" s="23" t="s">
        <v>1090</v>
      </c>
      <c r="O229" s="86">
        <v>6</v>
      </c>
      <c r="P229" s="86"/>
      <c r="Q229" s="95" t="str">
        <f>LEFT(VLOOKUP(Ruimtestaat[[#This Row],[Ruimte code]],Ruimtegroepen[#All],4,1),2)</f>
        <v xml:space="preserve">B </v>
      </c>
      <c r="R229" s="95"/>
      <c r="S229" s="87">
        <v>40</v>
      </c>
      <c r="T229" s="87" t="s">
        <v>17</v>
      </c>
      <c r="U229" s="88">
        <f>IF(S229&gt;0,IF(RIGHT(Ruimtestaat[[#This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29" s="88">
        <f>IF(U229&gt;0,VLOOKUP($K229,Ruimtegroepen[],3,FALSE)*VLOOKUP($M229,Vloersoorten[],3,FALSE)*VLOOKUP($T229,Frequenties[],3,FALSE)*VLOOKUP($A229,Locaties[],3,FALSE),0)</f>
        <v>0</v>
      </c>
      <c r="W229" s="89">
        <f>Ruimtestaat[[#This Row],[Uitvoeringen werkdagen]]*Ruimtestaat[[#This Row],[Oppervlak (netto)]]</f>
        <v>480</v>
      </c>
      <c r="X229" s="90">
        <f>IF(V229&gt;0,Ruimtestaat[[#This Row],[Prest. (m2 /jaar) werkdagen]]/Ruimtestaat[[#This Row],[Norm (m2/uur) werkdagen]],0)</f>
        <v>0</v>
      </c>
      <c r="Y229" s="91">
        <f>Ruimtestaat[[#This Row],[uren / jaar werkdagen]]*Tariefsopbouw!$E$35</f>
        <v>0</v>
      </c>
      <c r="Z229" s="88"/>
      <c r="AA229" s="92">
        <f>IF(Ruimtestaat[[#This Row],[Frequentie weekend]]&gt;0,VALUE(LEFT(Z229,1))*S229,0)</f>
        <v>0</v>
      </c>
      <c r="AB229" s="88">
        <f>IF($AA229&gt;0,VLOOKUP($K229,Ruimtegroepen[],3,FALSE)*VLOOKUP($M229,Vloersoorten[],3,FALSE)*VLOOKUP($Z229,Frequenties[],3,FALSE)*VLOOKUP(#REF!,Locaties[],3,FALSE),0)</f>
        <v>0</v>
      </c>
      <c r="AC229" s="90">
        <f>Ruimtestaat[[#This Row],[Uitvoeringen weekend]]*Ruimtestaat[[#This Row],[Oppervlak (netto)]]</f>
        <v>0</v>
      </c>
      <c r="AD229" s="93">
        <f>IF(AC229&gt;0,Ruimtestaat[[#This Row],[Prest. (m2 /jaar) weekend]]/Ruimtestaat[[#This Row],[Norm (m2/uur) weekend]],0)</f>
        <v>0</v>
      </c>
      <c r="AE229" s="94">
        <f>Ruimtestaat[[#This Row],[uren / jaar weekend]]*Tariefsopbouw!$D$40</f>
        <v>0</v>
      </c>
      <c r="AF229" s="66">
        <f>Ruimtestaat[[#This Row],[Prest. (m2 /jaar) weekend]]+Ruimtestaat[[#This Row],[Prest. (m2 /jaar) werkdagen]]</f>
        <v>480</v>
      </c>
      <c r="AG229" s="66">
        <f>Ruimtestaat[[#This Row],[uren / jaar weekend]]+Ruimtestaat[[#This Row],[uren / jaar werkdagen]]</f>
        <v>0</v>
      </c>
      <c r="AH229" s="67">
        <f>Ruimtestaat[[#This Row],[kosten / jaar weekend]]+Ruimtestaat[[#This Row],[kosten / jaar werkdagen]]</f>
        <v>0</v>
      </c>
    </row>
    <row r="230" spans="1:34" ht="15" customHeight="1">
      <c r="A230" s="112">
        <v>2</v>
      </c>
      <c r="B230" s="23" t="str">
        <f>VLOOKUP(Ruimtestaat[[#This Row],[Code]],Locaties[#All],2,FALSE)</f>
        <v>RSG Slingerbos</v>
      </c>
      <c r="C230" s="23" t="str">
        <f>VLOOKUP(Ruimtestaat[[#This Row],[Code]],Locaties[#All],4,FALSE)</f>
        <v>Eisenhowerlaan 59</v>
      </c>
      <c r="D230" s="23" t="str">
        <f>VLOOKUP(Ruimtestaat[[#This Row],[Code]],Locaties[#All],5,FALSE)</f>
        <v>3844 AS</v>
      </c>
      <c r="E230" s="23" t="str">
        <f>VLOOKUP(Ruimtestaat[[#This Row],[Code]],Locaties[#All],6,FALSE)</f>
        <v>Harderwijk</v>
      </c>
      <c r="F230" s="23"/>
      <c r="G230" s="60" t="s">
        <v>923</v>
      </c>
      <c r="H230" s="23" t="s">
        <v>535</v>
      </c>
      <c r="I230" s="23" t="s">
        <v>761</v>
      </c>
      <c r="J230" s="3" t="s">
        <v>1041</v>
      </c>
      <c r="K230" s="23">
        <v>2</v>
      </c>
      <c r="L230" s="60" t="str">
        <f>VLOOKUP(K230,Ruimtegroepen[],2,FALSE)</f>
        <v>Kantoren</v>
      </c>
      <c r="M230" s="23" t="s">
        <v>112</v>
      </c>
      <c r="N230" s="23" t="s">
        <v>1090</v>
      </c>
      <c r="O230" s="86">
        <v>6</v>
      </c>
      <c r="P230" s="86"/>
      <c r="Q230" s="95" t="str">
        <f>LEFT(VLOOKUP(Ruimtestaat[[#This Row],[Ruimte code]],Ruimtegroepen[#All],4,1),2)</f>
        <v xml:space="preserve">B </v>
      </c>
      <c r="R230" s="95"/>
      <c r="S230" s="87">
        <v>40</v>
      </c>
      <c r="T230" s="87" t="s">
        <v>17</v>
      </c>
      <c r="U230" s="88">
        <f>IF(S230&gt;0,IF(RIGHT(Ruimtestaat[[#This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30" s="88">
        <f>IF(U230&gt;0,VLOOKUP($K230,Ruimtegroepen[],3,FALSE)*VLOOKUP($M230,Vloersoorten[],3,FALSE)*VLOOKUP($T230,Frequenties[],3,FALSE)*VLOOKUP($A230,Locaties[],3,FALSE),0)</f>
        <v>0</v>
      </c>
      <c r="W230" s="89">
        <f>Ruimtestaat[[#This Row],[Uitvoeringen werkdagen]]*Ruimtestaat[[#This Row],[Oppervlak (netto)]]</f>
        <v>480</v>
      </c>
      <c r="X230" s="90">
        <f>IF(V230&gt;0,Ruimtestaat[[#This Row],[Prest. (m2 /jaar) werkdagen]]/Ruimtestaat[[#This Row],[Norm (m2/uur) werkdagen]],0)</f>
        <v>0</v>
      </c>
      <c r="Y230" s="91">
        <f>Ruimtestaat[[#This Row],[uren / jaar werkdagen]]*Tariefsopbouw!$E$35</f>
        <v>0</v>
      </c>
      <c r="Z230" s="88"/>
      <c r="AA230" s="92">
        <f>IF(Ruimtestaat[[#This Row],[Frequentie weekend]]&gt;0,VALUE(LEFT(Z230,1))*S230,0)</f>
        <v>0</v>
      </c>
      <c r="AB230" s="88">
        <f>IF($AA230&gt;0,VLOOKUP($K230,Ruimtegroepen[],3,FALSE)*VLOOKUP($M230,Vloersoorten[],3,FALSE)*VLOOKUP($Z230,Frequenties[],3,FALSE)*VLOOKUP(#REF!,Locaties[],3,FALSE),0)</f>
        <v>0</v>
      </c>
      <c r="AC230" s="90">
        <f>Ruimtestaat[[#This Row],[Uitvoeringen weekend]]*Ruimtestaat[[#This Row],[Oppervlak (netto)]]</f>
        <v>0</v>
      </c>
      <c r="AD230" s="93">
        <f>IF(AC230&gt;0,Ruimtestaat[[#This Row],[Prest. (m2 /jaar) weekend]]/Ruimtestaat[[#This Row],[Norm (m2/uur) weekend]],0)</f>
        <v>0</v>
      </c>
      <c r="AE230" s="94">
        <f>Ruimtestaat[[#This Row],[uren / jaar weekend]]*Tariefsopbouw!$D$40</f>
        <v>0</v>
      </c>
      <c r="AF230" s="66">
        <f>Ruimtestaat[[#This Row],[Prest. (m2 /jaar) weekend]]+Ruimtestaat[[#This Row],[Prest. (m2 /jaar) werkdagen]]</f>
        <v>480</v>
      </c>
      <c r="AG230" s="66">
        <f>Ruimtestaat[[#This Row],[uren / jaar weekend]]+Ruimtestaat[[#This Row],[uren / jaar werkdagen]]</f>
        <v>0</v>
      </c>
      <c r="AH230" s="67">
        <f>Ruimtestaat[[#This Row],[kosten / jaar weekend]]+Ruimtestaat[[#This Row],[kosten / jaar werkdagen]]</f>
        <v>0</v>
      </c>
    </row>
    <row r="231" spans="1:34" ht="15" customHeight="1">
      <c r="A231" s="112">
        <v>2</v>
      </c>
      <c r="B231" s="23" t="str">
        <f>VLOOKUP(Ruimtestaat[[#This Row],[Code]],Locaties[#All],2,FALSE)</f>
        <v>RSG Slingerbos</v>
      </c>
      <c r="C231" s="23" t="str">
        <f>VLOOKUP(Ruimtestaat[[#This Row],[Code]],Locaties[#All],4,FALSE)</f>
        <v>Eisenhowerlaan 59</v>
      </c>
      <c r="D231" s="23" t="str">
        <f>VLOOKUP(Ruimtestaat[[#This Row],[Code]],Locaties[#All],5,FALSE)</f>
        <v>3844 AS</v>
      </c>
      <c r="E231" s="23" t="str">
        <f>VLOOKUP(Ruimtestaat[[#This Row],[Code]],Locaties[#All],6,FALSE)</f>
        <v>Harderwijk</v>
      </c>
      <c r="F231" s="23"/>
      <c r="G231" s="60" t="s">
        <v>924</v>
      </c>
      <c r="H231" s="23" t="s">
        <v>535</v>
      </c>
      <c r="I231" s="23" t="s">
        <v>762</v>
      </c>
      <c r="J231" s="3" t="s">
        <v>1041</v>
      </c>
      <c r="K231" s="23">
        <v>2</v>
      </c>
      <c r="L231" s="60" t="str">
        <f>VLOOKUP(K231,Ruimtegroepen[],2,FALSE)</f>
        <v>Kantoren</v>
      </c>
      <c r="M231" s="23" t="s">
        <v>112</v>
      </c>
      <c r="N231" s="23" t="s">
        <v>1090</v>
      </c>
      <c r="O231" s="86">
        <v>12.4</v>
      </c>
      <c r="P231" s="86"/>
      <c r="Q231" s="95" t="str">
        <f>LEFT(VLOOKUP(Ruimtestaat[[#This Row],[Ruimte code]],Ruimtegroepen[#All],4,1),2)</f>
        <v xml:space="preserve">B </v>
      </c>
      <c r="R231" s="95"/>
      <c r="S231" s="87">
        <v>40</v>
      </c>
      <c r="T231" s="87" t="s">
        <v>17</v>
      </c>
      <c r="U231" s="88">
        <f>IF(S231&gt;0,IF(RIGHT(Ruimtestaat[[#This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31" s="88">
        <f>IF(U231&gt;0,VLOOKUP($K231,Ruimtegroepen[],3,FALSE)*VLOOKUP($M231,Vloersoorten[],3,FALSE)*VLOOKUP($T231,Frequenties[],3,FALSE)*VLOOKUP($A231,Locaties[],3,FALSE),0)</f>
        <v>0</v>
      </c>
      <c r="W231" s="89">
        <f>Ruimtestaat[[#This Row],[Uitvoeringen werkdagen]]*Ruimtestaat[[#This Row],[Oppervlak (netto)]]</f>
        <v>992</v>
      </c>
      <c r="X231" s="90">
        <f>IF(V231&gt;0,Ruimtestaat[[#This Row],[Prest. (m2 /jaar) werkdagen]]/Ruimtestaat[[#This Row],[Norm (m2/uur) werkdagen]],0)</f>
        <v>0</v>
      </c>
      <c r="Y231" s="91">
        <f>Ruimtestaat[[#This Row],[uren / jaar werkdagen]]*Tariefsopbouw!$E$35</f>
        <v>0</v>
      </c>
      <c r="Z231" s="88"/>
      <c r="AA231" s="92">
        <f>IF(Ruimtestaat[[#This Row],[Frequentie weekend]]&gt;0,VALUE(LEFT(Z231,1))*S231,0)</f>
        <v>0</v>
      </c>
      <c r="AB231" s="88">
        <f>IF($AA231&gt;0,VLOOKUP($K231,Ruimtegroepen[],3,FALSE)*VLOOKUP($M231,Vloersoorten[],3,FALSE)*VLOOKUP($Z231,Frequenties[],3,FALSE)*VLOOKUP(#REF!,Locaties[],3,FALSE),0)</f>
        <v>0</v>
      </c>
      <c r="AC231" s="90">
        <f>Ruimtestaat[[#This Row],[Uitvoeringen weekend]]*Ruimtestaat[[#This Row],[Oppervlak (netto)]]</f>
        <v>0</v>
      </c>
      <c r="AD231" s="93">
        <f>IF(AC231&gt;0,Ruimtestaat[[#This Row],[Prest. (m2 /jaar) weekend]]/Ruimtestaat[[#This Row],[Norm (m2/uur) weekend]],0)</f>
        <v>0</v>
      </c>
      <c r="AE231" s="94">
        <f>Ruimtestaat[[#This Row],[uren / jaar weekend]]*Tariefsopbouw!$D$40</f>
        <v>0</v>
      </c>
      <c r="AF231" s="66">
        <f>Ruimtestaat[[#This Row],[Prest. (m2 /jaar) weekend]]+Ruimtestaat[[#This Row],[Prest. (m2 /jaar) werkdagen]]</f>
        <v>992</v>
      </c>
      <c r="AG231" s="66">
        <f>Ruimtestaat[[#This Row],[uren / jaar weekend]]+Ruimtestaat[[#This Row],[uren / jaar werkdagen]]</f>
        <v>0</v>
      </c>
      <c r="AH231" s="67">
        <f>Ruimtestaat[[#This Row],[kosten / jaar weekend]]+Ruimtestaat[[#This Row],[kosten / jaar werkdagen]]</f>
        <v>0</v>
      </c>
    </row>
    <row r="232" spans="1:34" ht="15" customHeight="1">
      <c r="A232" s="112">
        <v>2</v>
      </c>
      <c r="B232" s="23" t="str">
        <f>VLOOKUP(Ruimtestaat[[#This Row],[Code]],Locaties[#All],2,FALSE)</f>
        <v>RSG Slingerbos</v>
      </c>
      <c r="C232" s="23" t="str">
        <f>VLOOKUP(Ruimtestaat[[#This Row],[Code]],Locaties[#All],4,FALSE)</f>
        <v>Eisenhowerlaan 59</v>
      </c>
      <c r="D232" s="23" t="str">
        <f>VLOOKUP(Ruimtestaat[[#This Row],[Code]],Locaties[#All],5,FALSE)</f>
        <v>3844 AS</v>
      </c>
      <c r="E232" s="23" t="str">
        <f>VLOOKUP(Ruimtestaat[[#This Row],[Code]],Locaties[#All],6,FALSE)</f>
        <v>Harderwijk</v>
      </c>
      <c r="F232" s="23"/>
      <c r="G232" s="60" t="s">
        <v>925</v>
      </c>
      <c r="H232" s="23" t="s">
        <v>535</v>
      </c>
      <c r="I232" s="23" t="s">
        <v>762</v>
      </c>
      <c r="J232" s="3" t="s">
        <v>1041</v>
      </c>
      <c r="K232" s="23">
        <v>2</v>
      </c>
      <c r="L232" s="60" t="str">
        <f>VLOOKUP(K232,Ruimtegroepen[],2,FALSE)</f>
        <v>Kantoren</v>
      </c>
      <c r="M232" s="23" t="s">
        <v>112</v>
      </c>
      <c r="N232" s="23" t="s">
        <v>1090</v>
      </c>
      <c r="O232" s="86">
        <v>12.4</v>
      </c>
      <c r="P232" s="86"/>
      <c r="Q232" s="95" t="str">
        <f>LEFT(VLOOKUP(Ruimtestaat[[#This Row],[Ruimte code]],Ruimtegroepen[#All],4,1),2)</f>
        <v xml:space="preserve">B </v>
      </c>
      <c r="R232" s="95"/>
      <c r="S232" s="87">
        <v>40</v>
      </c>
      <c r="T232" s="87" t="s">
        <v>17</v>
      </c>
      <c r="U232" s="88">
        <f>IF(S232&gt;0,IF(RIGHT(Ruimtestaat[[#This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32" s="88">
        <f>IF(U232&gt;0,VLOOKUP($K232,Ruimtegroepen[],3,FALSE)*VLOOKUP($M232,Vloersoorten[],3,FALSE)*VLOOKUP($T232,Frequenties[],3,FALSE)*VLOOKUP($A232,Locaties[],3,FALSE),0)</f>
        <v>0</v>
      </c>
      <c r="W232" s="89">
        <f>Ruimtestaat[[#This Row],[Uitvoeringen werkdagen]]*Ruimtestaat[[#This Row],[Oppervlak (netto)]]</f>
        <v>992</v>
      </c>
      <c r="X232" s="90">
        <f>IF(V232&gt;0,Ruimtestaat[[#This Row],[Prest. (m2 /jaar) werkdagen]]/Ruimtestaat[[#This Row],[Norm (m2/uur) werkdagen]],0)</f>
        <v>0</v>
      </c>
      <c r="Y232" s="91">
        <f>Ruimtestaat[[#This Row],[uren / jaar werkdagen]]*Tariefsopbouw!$E$35</f>
        <v>0</v>
      </c>
      <c r="Z232" s="88"/>
      <c r="AA232" s="92">
        <f>IF(Ruimtestaat[[#This Row],[Frequentie weekend]]&gt;0,VALUE(LEFT(Z232,1))*S232,0)</f>
        <v>0</v>
      </c>
      <c r="AB232" s="88">
        <f>IF($AA232&gt;0,VLOOKUP($K232,Ruimtegroepen[],3,FALSE)*VLOOKUP($M232,Vloersoorten[],3,FALSE)*VLOOKUP($Z232,Frequenties[],3,FALSE)*VLOOKUP(#REF!,Locaties[],3,FALSE),0)</f>
        <v>0</v>
      </c>
      <c r="AC232" s="90">
        <f>Ruimtestaat[[#This Row],[Uitvoeringen weekend]]*Ruimtestaat[[#This Row],[Oppervlak (netto)]]</f>
        <v>0</v>
      </c>
      <c r="AD232" s="93">
        <f>IF(AC232&gt;0,Ruimtestaat[[#This Row],[Prest. (m2 /jaar) weekend]]/Ruimtestaat[[#This Row],[Norm (m2/uur) weekend]],0)</f>
        <v>0</v>
      </c>
      <c r="AE232" s="94">
        <f>Ruimtestaat[[#This Row],[uren / jaar weekend]]*Tariefsopbouw!$D$40</f>
        <v>0</v>
      </c>
      <c r="AF232" s="66">
        <f>Ruimtestaat[[#This Row],[Prest. (m2 /jaar) weekend]]+Ruimtestaat[[#This Row],[Prest. (m2 /jaar) werkdagen]]</f>
        <v>992</v>
      </c>
      <c r="AG232" s="66">
        <f>Ruimtestaat[[#This Row],[uren / jaar weekend]]+Ruimtestaat[[#This Row],[uren / jaar werkdagen]]</f>
        <v>0</v>
      </c>
      <c r="AH232" s="67">
        <f>Ruimtestaat[[#This Row],[kosten / jaar weekend]]+Ruimtestaat[[#This Row],[kosten / jaar werkdagen]]</f>
        <v>0</v>
      </c>
    </row>
    <row r="233" spans="1:34" ht="15" customHeight="1">
      <c r="A233" s="112">
        <v>2</v>
      </c>
      <c r="B233" s="23" t="str">
        <f>VLOOKUP(Ruimtestaat[[#This Row],[Code]],Locaties[#All],2,FALSE)</f>
        <v>RSG Slingerbos</v>
      </c>
      <c r="C233" s="23" t="str">
        <f>VLOOKUP(Ruimtestaat[[#This Row],[Code]],Locaties[#All],4,FALSE)</f>
        <v>Eisenhowerlaan 59</v>
      </c>
      <c r="D233" s="23" t="str">
        <f>VLOOKUP(Ruimtestaat[[#This Row],[Code]],Locaties[#All],5,FALSE)</f>
        <v>3844 AS</v>
      </c>
      <c r="E233" s="23" t="str">
        <f>VLOOKUP(Ruimtestaat[[#This Row],[Code]],Locaties[#All],6,FALSE)</f>
        <v>Harderwijk</v>
      </c>
      <c r="F233" s="23"/>
      <c r="G233" s="60" t="s">
        <v>926</v>
      </c>
      <c r="H233" s="23" t="s">
        <v>535</v>
      </c>
      <c r="I233" s="23" t="s">
        <v>763</v>
      </c>
      <c r="J233" s="3" t="s">
        <v>1053</v>
      </c>
      <c r="K233" s="23">
        <v>23</v>
      </c>
      <c r="L233" s="60" t="str">
        <f>VLOOKUP(K233,Ruimtegroepen[],2,FALSE)</f>
        <v>Niet in onderhoud</v>
      </c>
      <c r="M233" s="23" t="s">
        <v>113</v>
      </c>
      <c r="N233" s="23" t="s">
        <v>1091</v>
      </c>
      <c r="O233" s="86"/>
      <c r="P233" s="86">
        <v>37.5</v>
      </c>
      <c r="Q233" s="95" t="str">
        <f>LEFT(VLOOKUP(Ruimtestaat[[#This Row],[Ruimte code]],Ruimtegroepen[#All],4,1),2)</f>
        <v/>
      </c>
      <c r="R233" s="95"/>
      <c r="S233" s="87"/>
      <c r="T233" s="87"/>
      <c r="U233" s="88">
        <f>IF(S233&gt;0,IF(RIGHT(Ruimtestaat[[#This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233" s="88">
        <f>IF(U233&gt;0,VLOOKUP($K233,Ruimtegroepen[],3,FALSE)*VLOOKUP($M233,Vloersoorten[],3,FALSE)*VLOOKUP($T233,Frequenties[],3,FALSE)*VLOOKUP($A233,Locaties[],3,FALSE),0)</f>
        <v>0</v>
      </c>
      <c r="W233" s="89">
        <f>Ruimtestaat[[#This Row],[Uitvoeringen werkdagen]]*Ruimtestaat[[#This Row],[Oppervlak (netto)]]</f>
        <v>0</v>
      </c>
      <c r="X233" s="90">
        <f>IF(V233&gt;0,Ruimtestaat[[#This Row],[Prest. (m2 /jaar) werkdagen]]/Ruimtestaat[[#This Row],[Norm (m2/uur) werkdagen]],0)</f>
        <v>0</v>
      </c>
      <c r="Y233" s="91">
        <f>Ruimtestaat[[#This Row],[uren / jaar werkdagen]]*Tariefsopbouw!$E$35</f>
        <v>0</v>
      </c>
      <c r="Z233" s="88"/>
      <c r="AA233" s="92">
        <f>IF(Ruimtestaat[[#This Row],[Frequentie weekend]]&gt;0,VALUE(LEFT(Z233,1))*S233,0)</f>
        <v>0</v>
      </c>
      <c r="AB233" s="88">
        <f>IF($AA233&gt;0,VLOOKUP($K233,Ruimtegroepen[],3,FALSE)*VLOOKUP($M233,Vloersoorten[],3,FALSE)*VLOOKUP($Z233,Frequenties[],3,FALSE)*VLOOKUP(#REF!,Locaties[],3,FALSE),0)</f>
        <v>0</v>
      </c>
      <c r="AC233" s="90">
        <f>Ruimtestaat[[#This Row],[Uitvoeringen weekend]]*Ruimtestaat[[#This Row],[Oppervlak (netto)]]</f>
        <v>0</v>
      </c>
      <c r="AD233" s="93">
        <f>IF(AC233&gt;0,Ruimtestaat[[#This Row],[Prest. (m2 /jaar) weekend]]/Ruimtestaat[[#This Row],[Norm (m2/uur) weekend]],0)</f>
        <v>0</v>
      </c>
      <c r="AE233" s="94">
        <f>Ruimtestaat[[#This Row],[uren / jaar weekend]]*Tariefsopbouw!$D$40</f>
        <v>0</v>
      </c>
      <c r="AF233" s="66">
        <f>Ruimtestaat[[#This Row],[Prest. (m2 /jaar) weekend]]+Ruimtestaat[[#This Row],[Prest. (m2 /jaar) werkdagen]]</f>
        <v>0</v>
      </c>
      <c r="AG233" s="66">
        <f>Ruimtestaat[[#This Row],[uren / jaar weekend]]+Ruimtestaat[[#This Row],[uren / jaar werkdagen]]</f>
        <v>0</v>
      </c>
      <c r="AH233" s="67">
        <f>Ruimtestaat[[#This Row],[kosten / jaar weekend]]+Ruimtestaat[[#This Row],[kosten / jaar werkdagen]]</f>
        <v>0</v>
      </c>
    </row>
    <row r="234" spans="1:34" ht="15" customHeight="1">
      <c r="A234" s="112">
        <v>2</v>
      </c>
      <c r="B234" s="23" t="str">
        <f>VLOOKUP(Ruimtestaat[[#This Row],[Code]],Locaties[#All],2,FALSE)</f>
        <v>RSG Slingerbos</v>
      </c>
      <c r="C234" s="23" t="str">
        <f>VLOOKUP(Ruimtestaat[[#This Row],[Code]],Locaties[#All],4,FALSE)</f>
        <v>Eisenhowerlaan 59</v>
      </c>
      <c r="D234" s="23" t="str">
        <f>VLOOKUP(Ruimtestaat[[#This Row],[Code]],Locaties[#All],5,FALSE)</f>
        <v>3844 AS</v>
      </c>
      <c r="E234" s="23" t="str">
        <f>VLOOKUP(Ruimtestaat[[#This Row],[Code]],Locaties[#All],6,FALSE)</f>
        <v>Harderwijk</v>
      </c>
      <c r="F234" s="23"/>
      <c r="G234" s="60" t="s">
        <v>927</v>
      </c>
      <c r="H234" s="23" t="s">
        <v>535</v>
      </c>
      <c r="I234" s="23" t="s">
        <v>764</v>
      </c>
      <c r="J234" s="3" t="s">
        <v>1017</v>
      </c>
      <c r="K234" s="23">
        <v>23</v>
      </c>
      <c r="L234" s="60" t="str">
        <f>VLOOKUP(K234,Ruimtegroepen[],2,FALSE)</f>
        <v>Niet in onderhoud</v>
      </c>
      <c r="M234" s="23" t="s">
        <v>113</v>
      </c>
      <c r="N234" s="23" t="s">
        <v>1091</v>
      </c>
      <c r="O234" s="86"/>
      <c r="P234" s="86">
        <v>12</v>
      </c>
      <c r="Q234" s="95" t="str">
        <f>LEFT(VLOOKUP(Ruimtestaat[[#This Row],[Ruimte code]],Ruimtegroepen[#All],4,1),2)</f>
        <v/>
      </c>
      <c r="R234" s="95"/>
      <c r="S234" s="87"/>
      <c r="T234" s="87"/>
      <c r="U234" s="88">
        <f>IF(S234&gt;0,IF(RIGHT(Ruimtestaat[[#This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234" s="88">
        <f>IF(U234&gt;0,VLOOKUP($K234,Ruimtegroepen[],3,FALSE)*VLOOKUP($M234,Vloersoorten[],3,FALSE)*VLOOKUP($T234,Frequenties[],3,FALSE)*VLOOKUP($A234,Locaties[],3,FALSE),0)</f>
        <v>0</v>
      </c>
      <c r="W234" s="89">
        <f>Ruimtestaat[[#This Row],[Uitvoeringen werkdagen]]*Ruimtestaat[[#This Row],[Oppervlak (netto)]]</f>
        <v>0</v>
      </c>
      <c r="X234" s="90">
        <f>IF(V234&gt;0,Ruimtestaat[[#This Row],[Prest. (m2 /jaar) werkdagen]]/Ruimtestaat[[#This Row],[Norm (m2/uur) werkdagen]],0)</f>
        <v>0</v>
      </c>
      <c r="Y234" s="91">
        <f>Ruimtestaat[[#This Row],[uren / jaar werkdagen]]*Tariefsopbouw!$E$35</f>
        <v>0</v>
      </c>
      <c r="Z234" s="88"/>
      <c r="AA234" s="92">
        <f>IF(Ruimtestaat[[#This Row],[Frequentie weekend]]&gt;0,VALUE(LEFT(Z234,1))*S234,0)</f>
        <v>0</v>
      </c>
      <c r="AB234" s="88">
        <f>IF($AA234&gt;0,VLOOKUP($K234,Ruimtegroepen[],3,FALSE)*VLOOKUP($M234,Vloersoorten[],3,FALSE)*VLOOKUP($Z234,Frequenties[],3,FALSE)*VLOOKUP(#REF!,Locaties[],3,FALSE),0)</f>
        <v>0</v>
      </c>
      <c r="AC234" s="90">
        <f>Ruimtestaat[[#This Row],[Uitvoeringen weekend]]*Ruimtestaat[[#This Row],[Oppervlak (netto)]]</f>
        <v>0</v>
      </c>
      <c r="AD234" s="93">
        <f>IF(AC234&gt;0,Ruimtestaat[[#This Row],[Prest. (m2 /jaar) weekend]]/Ruimtestaat[[#This Row],[Norm (m2/uur) weekend]],0)</f>
        <v>0</v>
      </c>
      <c r="AE234" s="94">
        <f>Ruimtestaat[[#This Row],[uren / jaar weekend]]*Tariefsopbouw!$D$40</f>
        <v>0</v>
      </c>
      <c r="AF234" s="66">
        <f>Ruimtestaat[[#This Row],[Prest. (m2 /jaar) weekend]]+Ruimtestaat[[#This Row],[Prest. (m2 /jaar) werkdagen]]</f>
        <v>0</v>
      </c>
      <c r="AG234" s="66">
        <f>Ruimtestaat[[#This Row],[uren / jaar weekend]]+Ruimtestaat[[#This Row],[uren / jaar werkdagen]]</f>
        <v>0</v>
      </c>
      <c r="AH234" s="67">
        <f>Ruimtestaat[[#This Row],[kosten / jaar weekend]]+Ruimtestaat[[#This Row],[kosten / jaar werkdagen]]</f>
        <v>0</v>
      </c>
    </row>
    <row r="235" spans="1:34" ht="15" customHeight="1">
      <c r="A235" s="112">
        <v>2</v>
      </c>
      <c r="B235" s="23" t="str">
        <f>VLOOKUP(Ruimtestaat[[#This Row],[Code]],Locaties[#All],2,FALSE)</f>
        <v>RSG Slingerbos</v>
      </c>
      <c r="C235" s="23" t="str">
        <f>VLOOKUP(Ruimtestaat[[#This Row],[Code]],Locaties[#All],4,FALSE)</f>
        <v>Eisenhowerlaan 59</v>
      </c>
      <c r="D235" s="23" t="str">
        <f>VLOOKUP(Ruimtestaat[[#This Row],[Code]],Locaties[#All],5,FALSE)</f>
        <v>3844 AS</v>
      </c>
      <c r="E235" s="23" t="str">
        <f>VLOOKUP(Ruimtestaat[[#This Row],[Code]],Locaties[#All],6,FALSE)</f>
        <v>Harderwijk</v>
      </c>
      <c r="F235" s="23"/>
      <c r="G235" s="60" t="s">
        <v>928</v>
      </c>
      <c r="H235" s="23" t="s">
        <v>535</v>
      </c>
      <c r="I235" s="23" t="s">
        <v>765</v>
      </c>
      <c r="J235" s="3" t="s">
        <v>1054</v>
      </c>
      <c r="K235" s="23">
        <v>23</v>
      </c>
      <c r="L235" s="60" t="str">
        <f>VLOOKUP(K235,Ruimtegroepen[],2,FALSE)</f>
        <v>Niet in onderhoud</v>
      </c>
      <c r="M235" s="23" t="s">
        <v>113</v>
      </c>
      <c r="N235" s="23" t="s">
        <v>1091</v>
      </c>
      <c r="O235" s="86"/>
      <c r="P235" s="86">
        <v>19.399999999999999</v>
      </c>
      <c r="Q235" s="95" t="str">
        <f>LEFT(VLOOKUP(Ruimtestaat[[#This Row],[Ruimte code]],Ruimtegroepen[#All],4,1),2)</f>
        <v/>
      </c>
      <c r="R235" s="95"/>
      <c r="S235" s="87"/>
      <c r="T235" s="87"/>
      <c r="U235" s="88">
        <f>IF(S235&gt;0,IF(RIGHT(Ruimtestaat[[#This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235" s="88">
        <f>IF(U235&gt;0,VLOOKUP($K235,Ruimtegroepen[],3,FALSE)*VLOOKUP($M235,Vloersoorten[],3,FALSE)*VLOOKUP($T235,Frequenties[],3,FALSE)*VLOOKUP($A235,Locaties[],3,FALSE),0)</f>
        <v>0</v>
      </c>
      <c r="W235" s="89">
        <f>Ruimtestaat[[#This Row],[Uitvoeringen werkdagen]]*Ruimtestaat[[#This Row],[Oppervlak (netto)]]</f>
        <v>0</v>
      </c>
      <c r="X235" s="90">
        <f>IF(V235&gt;0,Ruimtestaat[[#This Row],[Prest. (m2 /jaar) werkdagen]]/Ruimtestaat[[#This Row],[Norm (m2/uur) werkdagen]],0)</f>
        <v>0</v>
      </c>
      <c r="Y235" s="91">
        <f>Ruimtestaat[[#This Row],[uren / jaar werkdagen]]*Tariefsopbouw!$E$35</f>
        <v>0</v>
      </c>
      <c r="Z235" s="88"/>
      <c r="AA235" s="92">
        <f>IF(Ruimtestaat[[#This Row],[Frequentie weekend]]&gt;0,VALUE(LEFT(Z235,1))*S235,0)</f>
        <v>0</v>
      </c>
      <c r="AB235" s="88">
        <f>IF($AA235&gt;0,VLOOKUP($K235,Ruimtegroepen[],3,FALSE)*VLOOKUP($M235,Vloersoorten[],3,FALSE)*VLOOKUP($Z235,Frequenties[],3,FALSE)*VLOOKUP(#REF!,Locaties[],3,FALSE),0)</f>
        <v>0</v>
      </c>
      <c r="AC235" s="90">
        <f>Ruimtestaat[[#This Row],[Uitvoeringen weekend]]*Ruimtestaat[[#This Row],[Oppervlak (netto)]]</f>
        <v>0</v>
      </c>
      <c r="AD235" s="93">
        <f>IF(AC235&gt;0,Ruimtestaat[[#This Row],[Prest. (m2 /jaar) weekend]]/Ruimtestaat[[#This Row],[Norm (m2/uur) weekend]],0)</f>
        <v>0</v>
      </c>
      <c r="AE235" s="94">
        <f>Ruimtestaat[[#This Row],[uren / jaar weekend]]*Tariefsopbouw!$D$40</f>
        <v>0</v>
      </c>
      <c r="AF235" s="66">
        <f>Ruimtestaat[[#This Row],[Prest. (m2 /jaar) weekend]]+Ruimtestaat[[#This Row],[Prest. (m2 /jaar) werkdagen]]</f>
        <v>0</v>
      </c>
      <c r="AG235" s="66">
        <f>Ruimtestaat[[#This Row],[uren / jaar weekend]]+Ruimtestaat[[#This Row],[uren / jaar werkdagen]]</f>
        <v>0</v>
      </c>
      <c r="AH235" s="67">
        <f>Ruimtestaat[[#This Row],[kosten / jaar weekend]]+Ruimtestaat[[#This Row],[kosten / jaar werkdagen]]</f>
        <v>0</v>
      </c>
    </row>
    <row r="236" spans="1:34" ht="15" customHeight="1">
      <c r="A236" s="112">
        <v>2</v>
      </c>
      <c r="B236" s="23" t="str">
        <f>VLOOKUP(Ruimtestaat[[#This Row],[Code]],Locaties[#All],2,FALSE)</f>
        <v>RSG Slingerbos</v>
      </c>
      <c r="C236" s="23" t="str">
        <f>VLOOKUP(Ruimtestaat[[#This Row],[Code]],Locaties[#All],4,FALSE)</f>
        <v>Eisenhowerlaan 59</v>
      </c>
      <c r="D236" s="23" t="str">
        <f>VLOOKUP(Ruimtestaat[[#This Row],[Code]],Locaties[#All],5,FALSE)</f>
        <v>3844 AS</v>
      </c>
      <c r="E236" s="23" t="str">
        <f>VLOOKUP(Ruimtestaat[[#This Row],[Code]],Locaties[#All],6,FALSE)</f>
        <v>Harderwijk</v>
      </c>
      <c r="F236" s="23"/>
      <c r="G236" s="60" t="s">
        <v>929</v>
      </c>
      <c r="H236" s="23" t="s">
        <v>535</v>
      </c>
      <c r="I236" s="23">
        <v>23</v>
      </c>
      <c r="J236" s="3" t="s">
        <v>1043</v>
      </c>
      <c r="K236" s="23">
        <v>16</v>
      </c>
      <c r="L236" s="60" t="str">
        <f>VLOOKUP(K236,Ruimtegroepen[],2,FALSE)</f>
        <v>Leslokalen theorie</v>
      </c>
      <c r="M236" s="23" t="s">
        <v>112</v>
      </c>
      <c r="N236" s="23" t="s">
        <v>1090</v>
      </c>
      <c r="O236" s="86">
        <v>59.7</v>
      </c>
      <c r="P236" s="86"/>
      <c r="Q236" s="95" t="str">
        <f>LEFT(VLOOKUP(Ruimtestaat[[#This Row],[Ruimte code]],Ruimtegroepen[#All],4,1),2)</f>
        <v xml:space="preserve">L </v>
      </c>
      <c r="R236" s="95"/>
      <c r="S236" s="87">
        <v>40</v>
      </c>
      <c r="T236" s="87" t="s">
        <v>2</v>
      </c>
      <c r="U236" s="88">
        <f>IF(S236&gt;0,IF(RIGHT(Ruimtestaat[[#This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36" s="88">
        <f>IF(U236&gt;0,VLOOKUP($K236,Ruimtegroepen[],3,FALSE)*VLOOKUP($M236,Vloersoorten[],3,FALSE)*VLOOKUP($T236,Frequenties[],3,FALSE)*VLOOKUP($A236,Locaties[],3,FALSE),0)</f>
        <v>0</v>
      </c>
      <c r="W236" s="89">
        <f>Ruimtestaat[[#This Row],[Uitvoeringen werkdagen]]*Ruimtestaat[[#This Row],[Oppervlak (netto)]]</f>
        <v>11940</v>
      </c>
      <c r="X236" s="90">
        <f>IF(V236&gt;0,Ruimtestaat[[#This Row],[Prest. (m2 /jaar) werkdagen]]/Ruimtestaat[[#This Row],[Norm (m2/uur) werkdagen]],0)</f>
        <v>0</v>
      </c>
      <c r="Y236" s="91">
        <f>Ruimtestaat[[#This Row],[uren / jaar werkdagen]]*Tariefsopbouw!$E$35</f>
        <v>0</v>
      </c>
      <c r="Z236" s="88"/>
      <c r="AA236" s="92">
        <f>IF(Ruimtestaat[[#This Row],[Frequentie weekend]]&gt;0,VALUE(LEFT(Z236,1))*S236,0)</f>
        <v>0</v>
      </c>
      <c r="AB236" s="88">
        <f>IF($AA236&gt;0,VLOOKUP($K236,Ruimtegroepen[],3,FALSE)*VLOOKUP($M236,Vloersoorten[],3,FALSE)*VLOOKUP($Z236,Frequenties[],3,FALSE)*VLOOKUP(#REF!,Locaties[],3,FALSE),0)</f>
        <v>0</v>
      </c>
      <c r="AC236" s="90">
        <f>Ruimtestaat[[#This Row],[Uitvoeringen weekend]]*Ruimtestaat[[#This Row],[Oppervlak (netto)]]</f>
        <v>0</v>
      </c>
      <c r="AD236" s="93">
        <f>IF(AC236&gt;0,Ruimtestaat[[#This Row],[Prest. (m2 /jaar) weekend]]/Ruimtestaat[[#This Row],[Norm (m2/uur) weekend]],0)</f>
        <v>0</v>
      </c>
      <c r="AE236" s="94">
        <f>Ruimtestaat[[#This Row],[uren / jaar weekend]]*Tariefsopbouw!$D$40</f>
        <v>0</v>
      </c>
      <c r="AF236" s="66">
        <f>Ruimtestaat[[#This Row],[Prest. (m2 /jaar) weekend]]+Ruimtestaat[[#This Row],[Prest. (m2 /jaar) werkdagen]]</f>
        <v>11940</v>
      </c>
      <c r="AG236" s="66">
        <f>Ruimtestaat[[#This Row],[uren / jaar weekend]]+Ruimtestaat[[#This Row],[uren / jaar werkdagen]]</f>
        <v>0</v>
      </c>
      <c r="AH236" s="67">
        <f>Ruimtestaat[[#This Row],[kosten / jaar weekend]]+Ruimtestaat[[#This Row],[kosten / jaar werkdagen]]</f>
        <v>0</v>
      </c>
    </row>
    <row r="237" spans="1:34" ht="15" customHeight="1">
      <c r="A237" s="112">
        <v>2</v>
      </c>
      <c r="B237" s="23" t="str">
        <f>VLOOKUP(Ruimtestaat[[#This Row],[Code]],Locaties[#All],2,FALSE)</f>
        <v>RSG Slingerbos</v>
      </c>
      <c r="C237" s="23" t="str">
        <f>VLOOKUP(Ruimtestaat[[#This Row],[Code]],Locaties[#All],4,FALSE)</f>
        <v>Eisenhowerlaan 59</v>
      </c>
      <c r="D237" s="23" t="str">
        <f>VLOOKUP(Ruimtestaat[[#This Row],[Code]],Locaties[#All],5,FALSE)</f>
        <v>3844 AS</v>
      </c>
      <c r="E237" s="23" t="str">
        <f>VLOOKUP(Ruimtestaat[[#This Row],[Code]],Locaties[#All],6,FALSE)</f>
        <v>Harderwijk</v>
      </c>
      <c r="F237" s="23"/>
      <c r="G237" s="60" t="s">
        <v>930</v>
      </c>
      <c r="H237" s="23" t="s">
        <v>535</v>
      </c>
      <c r="I237" s="23">
        <v>25</v>
      </c>
      <c r="J237" s="3" t="s">
        <v>1043</v>
      </c>
      <c r="K237" s="23">
        <v>16</v>
      </c>
      <c r="L237" s="60" t="str">
        <f>VLOOKUP(K237,Ruimtegroepen[],2,FALSE)</f>
        <v>Leslokalen theorie</v>
      </c>
      <c r="M237" s="23" t="s">
        <v>112</v>
      </c>
      <c r="N237" s="23" t="s">
        <v>1090</v>
      </c>
      <c r="O237" s="86">
        <v>61.8</v>
      </c>
      <c r="P237" s="86"/>
      <c r="Q237" s="95" t="str">
        <f>LEFT(VLOOKUP(Ruimtestaat[[#This Row],[Ruimte code]],Ruimtegroepen[#All],4,1),2)</f>
        <v xml:space="preserve">L </v>
      </c>
      <c r="R237" s="95"/>
      <c r="S237" s="87">
        <v>40</v>
      </c>
      <c r="T237" s="87" t="s">
        <v>2</v>
      </c>
      <c r="U237" s="88">
        <f>IF(S237&gt;0,IF(RIGHT(Ruimtestaat[[#This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37" s="88">
        <f>IF(U237&gt;0,VLOOKUP($K237,Ruimtegroepen[],3,FALSE)*VLOOKUP($M237,Vloersoorten[],3,FALSE)*VLOOKUP($T237,Frequenties[],3,FALSE)*VLOOKUP($A237,Locaties[],3,FALSE),0)</f>
        <v>0</v>
      </c>
      <c r="W237" s="89">
        <f>Ruimtestaat[[#This Row],[Uitvoeringen werkdagen]]*Ruimtestaat[[#This Row],[Oppervlak (netto)]]</f>
        <v>12360</v>
      </c>
      <c r="X237" s="90">
        <f>IF(V237&gt;0,Ruimtestaat[[#This Row],[Prest. (m2 /jaar) werkdagen]]/Ruimtestaat[[#This Row],[Norm (m2/uur) werkdagen]],0)</f>
        <v>0</v>
      </c>
      <c r="Y237" s="91">
        <f>Ruimtestaat[[#This Row],[uren / jaar werkdagen]]*Tariefsopbouw!$E$35</f>
        <v>0</v>
      </c>
      <c r="Z237" s="88"/>
      <c r="AA237" s="92">
        <f>IF(Ruimtestaat[[#This Row],[Frequentie weekend]]&gt;0,VALUE(LEFT(Z237,1))*S237,0)</f>
        <v>0</v>
      </c>
      <c r="AB237" s="88">
        <f>IF($AA237&gt;0,VLOOKUP($K237,Ruimtegroepen[],3,FALSE)*VLOOKUP($M237,Vloersoorten[],3,FALSE)*VLOOKUP($Z237,Frequenties[],3,FALSE)*VLOOKUP(#REF!,Locaties[],3,FALSE),0)</f>
        <v>0</v>
      </c>
      <c r="AC237" s="90">
        <f>Ruimtestaat[[#This Row],[Uitvoeringen weekend]]*Ruimtestaat[[#This Row],[Oppervlak (netto)]]</f>
        <v>0</v>
      </c>
      <c r="AD237" s="93">
        <f>IF(AC237&gt;0,Ruimtestaat[[#This Row],[Prest. (m2 /jaar) weekend]]/Ruimtestaat[[#This Row],[Norm (m2/uur) weekend]],0)</f>
        <v>0</v>
      </c>
      <c r="AE237" s="94">
        <f>Ruimtestaat[[#This Row],[uren / jaar weekend]]*Tariefsopbouw!$D$40</f>
        <v>0</v>
      </c>
      <c r="AF237" s="66">
        <f>Ruimtestaat[[#This Row],[Prest. (m2 /jaar) weekend]]+Ruimtestaat[[#This Row],[Prest. (m2 /jaar) werkdagen]]</f>
        <v>12360</v>
      </c>
      <c r="AG237" s="66">
        <f>Ruimtestaat[[#This Row],[uren / jaar weekend]]+Ruimtestaat[[#This Row],[uren / jaar werkdagen]]</f>
        <v>0</v>
      </c>
      <c r="AH237" s="67">
        <f>Ruimtestaat[[#This Row],[kosten / jaar weekend]]+Ruimtestaat[[#This Row],[kosten / jaar werkdagen]]</f>
        <v>0</v>
      </c>
    </row>
    <row r="238" spans="1:34" ht="15" customHeight="1">
      <c r="A238" s="112">
        <v>2</v>
      </c>
      <c r="B238" s="23" t="str">
        <f>VLOOKUP(Ruimtestaat[[#This Row],[Code]],Locaties[#All],2,FALSE)</f>
        <v>RSG Slingerbos</v>
      </c>
      <c r="C238" s="23" t="str">
        <f>VLOOKUP(Ruimtestaat[[#This Row],[Code]],Locaties[#All],4,FALSE)</f>
        <v>Eisenhowerlaan 59</v>
      </c>
      <c r="D238" s="23" t="str">
        <f>VLOOKUP(Ruimtestaat[[#This Row],[Code]],Locaties[#All],5,FALSE)</f>
        <v>3844 AS</v>
      </c>
      <c r="E238" s="23" t="str">
        <f>VLOOKUP(Ruimtestaat[[#This Row],[Code]],Locaties[#All],6,FALSE)</f>
        <v>Harderwijk</v>
      </c>
      <c r="F238" s="23"/>
      <c r="G238" s="60" t="s">
        <v>931</v>
      </c>
      <c r="H238" s="23" t="s">
        <v>535</v>
      </c>
      <c r="I238" s="23">
        <v>22</v>
      </c>
      <c r="J238" s="3" t="s">
        <v>1043</v>
      </c>
      <c r="K238" s="23">
        <v>16</v>
      </c>
      <c r="L238" s="60" t="str">
        <f>VLOOKUP(K238,Ruimtegroepen[],2,FALSE)</f>
        <v>Leslokalen theorie</v>
      </c>
      <c r="M238" s="23" t="s">
        <v>112</v>
      </c>
      <c r="N238" s="23" t="s">
        <v>1090</v>
      </c>
      <c r="O238" s="86">
        <v>59.7</v>
      </c>
      <c r="P238" s="86"/>
      <c r="Q238" s="95" t="str">
        <f>LEFT(VLOOKUP(Ruimtestaat[[#This Row],[Ruimte code]],Ruimtegroepen[#All],4,1),2)</f>
        <v xml:space="preserve">L </v>
      </c>
      <c r="R238" s="95"/>
      <c r="S238" s="87">
        <v>40</v>
      </c>
      <c r="T238" s="87" t="s">
        <v>2</v>
      </c>
      <c r="U238" s="88">
        <f>IF(S238&gt;0,IF(RIGHT(Ruimtestaat[[#This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38" s="88">
        <f>IF(U238&gt;0,VLOOKUP($K238,Ruimtegroepen[],3,FALSE)*VLOOKUP($M238,Vloersoorten[],3,FALSE)*VLOOKUP($T238,Frequenties[],3,FALSE)*VLOOKUP($A238,Locaties[],3,FALSE),0)</f>
        <v>0</v>
      </c>
      <c r="W238" s="89">
        <f>Ruimtestaat[[#This Row],[Uitvoeringen werkdagen]]*Ruimtestaat[[#This Row],[Oppervlak (netto)]]</f>
        <v>11940</v>
      </c>
      <c r="X238" s="90">
        <f>IF(V238&gt;0,Ruimtestaat[[#This Row],[Prest. (m2 /jaar) werkdagen]]/Ruimtestaat[[#This Row],[Norm (m2/uur) werkdagen]],0)</f>
        <v>0</v>
      </c>
      <c r="Y238" s="91">
        <f>Ruimtestaat[[#This Row],[uren / jaar werkdagen]]*Tariefsopbouw!$E$35</f>
        <v>0</v>
      </c>
      <c r="Z238" s="88"/>
      <c r="AA238" s="92">
        <f>IF(Ruimtestaat[[#This Row],[Frequentie weekend]]&gt;0,VALUE(LEFT(Z238,1))*S238,0)</f>
        <v>0</v>
      </c>
      <c r="AB238" s="88">
        <f>IF($AA238&gt;0,VLOOKUP($K238,Ruimtegroepen[],3,FALSE)*VLOOKUP($M238,Vloersoorten[],3,FALSE)*VLOOKUP($Z238,Frequenties[],3,FALSE)*VLOOKUP(#REF!,Locaties[],3,FALSE),0)</f>
        <v>0</v>
      </c>
      <c r="AC238" s="90">
        <f>Ruimtestaat[[#This Row],[Uitvoeringen weekend]]*Ruimtestaat[[#This Row],[Oppervlak (netto)]]</f>
        <v>0</v>
      </c>
      <c r="AD238" s="93">
        <f>IF(AC238&gt;0,Ruimtestaat[[#This Row],[Prest. (m2 /jaar) weekend]]/Ruimtestaat[[#This Row],[Norm (m2/uur) weekend]],0)</f>
        <v>0</v>
      </c>
      <c r="AE238" s="94">
        <f>Ruimtestaat[[#This Row],[uren / jaar weekend]]*Tariefsopbouw!$D$40</f>
        <v>0</v>
      </c>
      <c r="AF238" s="66">
        <f>Ruimtestaat[[#This Row],[Prest. (m2 /jaar) weekend]]+Ruimtestaat[[#This Row],[Prest. (m2 /jaar) werkdagen]]</f>
        <v>11940</v>
      </c>
      <c r="AG238" s="66">
        <f>Ruimtestaat[[#This Row],[uren / jaar weekend]]+Ruimtestaat[[#This Row],[uren / jaar werkdagen]]</f>
        <v>0</v>
      </c>
      <c r="AH238" s="67">
        <f>Ruimtestaat[[#This Row],[kosten / jaar weekend]]+Ruimtestaat[[#This Row],[kosten / jaar werkdagen]]</f>
        <v>0</v>
      </c>
    </row>
    <row r="239" spans="1:34" ht="15" customHeight="1">
      <c r="A239" s="112">
        <v>2</v>
      </c>
      <c r="B239" s="23" t="str">
        <f>VLOOKUP(Ruimtestaat[[#This Row],[Code]],Locaties[#All],2,FALSE)</f>
        <v>RSG Slingerbos</v>
      </c>
      <c r="C239" s="23" t="str">
        <f>VLOOKUP(Ruimtestaat[[#This Row],[Code]],Locaties[#All],4,FALSE)</f>
        <v>Eisenhowerlaan 59</v>
      </c>
      <c r="D239" s="23" t="str">
        <f>VLOOKUP(Ruimtestaat[[#This Row],[Code]],Locaties[#All],5,FALSE)</f>
        <v>3844 AS</v>
      </c>
      <c r="E239" s="23" t="str">
        <f>VLOOKUP(Ruimtestaat[[#This Row],[Code]],Locaties[#All],6,FALSE)</f>
        <v>Harderwijk</v>
      </c>
      <c r="F239" s="23"/>
      <c r="G239" s="60" t="s">
        <v>932</v>
      </c>
      <c r="H239" s="23" t="s">
        <v>535</v>
      </c>
      <c r="I239" s="23">
        <v>24</v>
      </c>
      <c r="J239" s="3" t="s">
        <v>1043</v>
      </c>
      <c r="K239" s="23">
        <v>16</v>
      </c>
      <c r="L239" s="60" t="str">
        <f>VLOOKUP(K239,Ruimtegroepen[],2,FALSE)</f>
        <v>Leslokalen theorie</v>
      </c>
      <c r="M239" s="23" t="s">
        <v>112</v>
      </c>
      <c r="N239" s="23" t="s">
        <v>1090</v>
      </c>
      <c r="O239" s="86">
        <v>61.8</v>
      </c>
      <c r="P239" s="86"/>
      <c r="Q239" s="95" t="str">
        <f>LEFT(VLOOKUP(Ruimtestaat[[#This Row],[Ruimte code]],Ruimtegroepen[#All],4,1),2)</f>
        <v xml:space="preserve">L </v>
      </c>
      <c r="R239" s="95"/>
      <c r="S239" s="87">
        <v>40</v>
      </c>
      <c r="T239" s="87" t="s">
        <v>2</v>
      </c>
      <c r="U239" s="88">
        <f>IF(S239&gt;0,IF(RIGHT(Ruimtestaat[[#This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39" s="88">
        <f>IF(U239&gt;0,VLOOKUP($K239,Ruimtegroepen[],3,FALSE)*VLOOKUP($M239,Vloersoorten[],3,FALSE)*VLOOKUP($T239,Frequenties[],3,FALSE)*VLOOKUP($A239,Locaties[],3,FALSE),0)</f>
        <v>0</v>
      </c>
      <c r="W239" s="89">
        <f>Ruimtestaat[[#This Row],[Uitvoeringen werkdagen]]*Ruimtestaat[[#This Row],[Oppervlak (netto)]]</f>
        <v>12360</v>
      </c>
      <c r="X239" s="90">
        <f>IF(V239&gt;0,Ruimtestaat[[#This Row],[Prest. (m2 /jaar) werkdagen]]/Ruimtestaat[[#This Row],[Norm (m2/uur) werkdagen]],0)</f>
        <v>0</v>
      </c>
      <c r="Y239" s="91">
        <f>Ruimtestaat[[#This Row],[uren / jaar werkdagen]]*Tariefsopbouw!$E$35</f>
        <v>0</v>
      </c>
      <c r="Z239" s="88"/>
      <c r="AA239" s="92">
        <f>IF(Ruimtestaat[[#This Row],[Frequentie weekend]]&gt;0,VALUE(LEFT(Z239,1))*S239,0)</f>
        <v>0</v>
      </c>
      <c r="AB239" s="88">
        <f>IF($AA239&gt;0,VLOOKUP($K239,Ruimtegroepen[],3,FALSE)*VLOOKUP($M239,Vloersoorten[],3,FALSE)*VLOOKUP($Z239,Frequenties[],3,FALSE)*VLOOKUP(#REF!,Locaties[],3,FALSE),0)</f>
        <v>0</v>
      </c>
      <c r="AC239" s="90">
        <f>Ruimtestaat[[#This Row],[Uitvoeringen weekend]]*Ruimtestaat[[#This Row],[Oppervlak (netto)]]</f>
        <v>0</v>
      </c>
      <c r="AD239" s="93">
        <f>IF(AC239&gt;0,Ruimtestaat[[#This Row],[Prest. (m2 /jaar) weekend]]/Ruimtestaat[[#This Row],[Norm (m2/uur) weekend]],0)</f>
        <v>0</v>
      </c>
      <c r="AE239" s="94">
        <f>Ruimtestaat[[#This Row],[uren / jaar weekend]]*Tariefsopbouw!$D$40</f>
        <v>0</v>
      </c>
      <c r="AF239" s="66">
        <f>Ruimtestaat[[#This Row],[Prest. (m2 /jaar) weekend]]+Ruimtestaat[[#This Row],[Prest. (m2 /jaar) werkdagen]]</f>
        <v>12360</v>
      </c>
      <c r="AG239" s="66">
        <f>Ruimtestaat[[#This Row],[uren / jaar weekend]]+Ruimtestaat[[#This Row],[uren / jaar werkdagen]]</f>
        <v>0</v>
      </c>
      <c r="AH239" s="67">
        <f>Ruimtestaat[[#This Row],[kosten / jaar weekend]]+Ruimtestaat[[#This Row],[kosten / jaar werkdagen]]</f>
        <v>0</v>
      </c>
    </row>
    <row r="240" spans="1:34" ht="15" customHeight="1">
      <c r="A240" s="112">
        <v>2</v>
      </c>
      <c r="B240" s="23" t="str">
        <f>VLOOKUP(Ruimtestaat[[#This Row],[Code]],Locaties[#All],2,FALSE)</f>
        <v>RSG Slingerbos</v>
      </c>
      <c r="C240" s="23" t="str">
        <f>VLOOKUP(Ruimtestaat[[#This Row],[Code]],Locaties[#All],4,FALSE)</f>
        <v>Eisenhowerlaan 59</v>
      </c>
      <c r="D240" s="23" t="str">
        <f>VLOOKUP(Ruimtestaat[[#This Row],[Code]],Locaties[#All],5,FALSE)</f>
        <v>3844 AS</v>
      </c>
      <c r="E240" s="23" t="str">
        <f>VLOOKUP(Ruimtestaat[[#This Row],[Code]],Locaties[#All],6,FALSE)</f>
        <v>Harderwijk</v>
      </c>
      <c r="F240" s="23"/>
      <c r="G240" s="60" t="s">
        <v>933</v>
      </c>
      <c r="H240" s="23" t="s">
        <v>535</v>
      </c>
      <c r="I240" s="23" t="s">
        <v>766</v>
      </c>
      <c r="J240" s="3" t="s">
        <v>537</v>
      </c>
      <c r="K240" s="23">
        <v>10</v>
      </c>
      <c r="L240" s="60" t="str">
        <f>VLOOKUP(K240,Ruimtegroepen[],2,FALSE)</f>
        <v>Trappenhuizen/lift</v>
      </c>
      <c r="M240" s="23" t="s">
        <v>112</v>
      </c>
      <c r="N240" s="23" t="s">
        <v>1096</v>
      </c>
      <c r="O240" s="86">
        <v>20</v>
      </c>
      <c r="P240" s="86"/>
      <c r="Q240" s="95" t="str">
        <f>LEFT(VLOOKUP(Ruimtestaat[[#This Row],[Ruimte code]],Ruimtegroepen[#All],4,1),2)</f>
        <v xml:space="preserve">V </v>
      </c>
      <c r="R240" s="95"/>
      <c r="S240" s="87">
        <v>40</v>
      </c>
      <c r="T240" s="87" t="s">
        <v>2</v>
      </c>
      <c r="U240" s="88">
        <f>IF(S240&gt;0,IF(RIGHT(Ruimtestaat[[#This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40" s="88">
        <f>IF(U240&gt;0,VLOOKUP($K240,Ruimtegroepen[],3,FALSE)*VLOOKUP($M240,Vloersoorten[],3,FALSE)*VLOOKUP($T240,Frequenties[],3,FALSE)*VLOOKUP($A240,Locaties[],3,FALSE),0)</f>
        <v>0</v>
      </c>
      <c r="W240" s="89">
        <f>Ruimtestaat[[#This Row],[Uitvoeringen werkdagen]]*Ruimtestaat[[#This Row],[Oppervlak (netto)]]</f>
        <v>4000</v>
      </c>
      <c r="X240" s="90">
        <f>IF(V240&gt;0,Ruimtestaat[[#This Row],[Prest. (m2 /jaar) werkdagen]]/Ruimtestaat[[#This Row],[Norm (m2/uur) werkdagen]],0)</f>
        <v>0</v>
      </c>
      <c r="Y240" s="91">
        <f>Ruimtestaat[[#This Row],[uren / jaar werkdagen]]*Tariefsopbouw!$E$35</f>
        <v>0</v>
      </c>
      <c r="Z240" s="88"/>
      <c r="AA240" s="92">
        <f>IF(Ruimtestaat[[#This Row],[Frequentie weekend]]&gt;0,VALUE(LEFT(Z240,1))*S240,0)</f>
        <v>0</v>
      </c>
      <c r="AB240" s="88">
        <f>IF($AA240&gt;0,VLOOKUP($K240,Ruimtegroepen[],3,FALSE)*VLOOKUP($M240,Vloersoorten[],3,FALSE)*VLOOKUP($Z240,Frequenties[],3,FALSE)*VLOOKUP(#REF!,Locaties[],3,FALSE),0)</f>
        <v>0</v>
      </c>
      <c r="AC240" s="90">
        <f>Ruimtestaat[[#This Row],[Uitvoeringen weekend]]*Ruimtestaat[[#This Row],[Oppervlak (netto)]]</f>
        <v>0</v>
      </c>
      <c r="AD240" s="93">
        <f>IF(AC240&gt;0,Ruimtestaat[[#This Row],[Prest. (m2 /jaar) weekend]]/Ruimtestaat[[#This Row],[Norm (m2/uur) weekend]],0)</f>
        <v>0</v>
      </c>
      <c r="AE240" s="94">
        <f>Ruimtestaat[[#This Row],[uren / jaar weekend]]*Tariefsopbouw!$D$40</f>
        <v>0</v>
      </c>
      <c r="AF240" s="66">
        <f>Ruimtestaat[[#This Row],[Prest. (m2 /jaar) weekend]]+Ruimtestaat[[#This Row],[Prest. (m2 /jaar) werkdagen]]</f>
        <v>4000</v>
      </c>
      <c r="AG240" s="66">
        <f>Ruimtestaat[[#This Row],[uren / jaar weekend]]+Ruimtestaat[[#This Row],[uren / jaar werkdagen]]</f>
        <v>0</v>
      </c>
      <c r="AH240" s="67">
        <f>Ruimtestaat[[#This Row],[kosten / jaar weekend]]+Ruimtestaat[[#This Row],[kosten / jaar werkdagen]]</f>
        <v>0</v>
      </c>
    </row>
    <row r="241" spans="1:34" ht="15" customHeight="1">
      <c r="A241" s="112">
        <v>2</v>
      </c>
      <c r="B241" s="23" t="str">
        <f>VLOOKUP(Ruimtestaat[[#This Row],[Code]],Locaties[#All],2,FALSE)</f>
        <v>RSG Slingerbos</v>
      </c>
      <c r="C241" s="23" t="str">
        <f>VLOOKUP(Ruimtestaat[[#This Row],[Code]],Locaties[#All],4,FALSE)</f>
        <v>Eisenhowerlaan 59</v>
      </c>
      <c r="D241" s="23" t="str">
        <f>VLOOKUP(Ruimtestaat[[#This Row],[Code]],Locaties[#All],5,FALSE)</f>
        <v>3844 AS</v>
      </c>
      <c r="E241" s="23" t="str">
        <f>VLOOKUP(Ruimtestaat[[#This Row],[Code]],Locaties[#All],6,FALSE)</f>
        <v>Harderwijk</v>
      </c>
      <c r="F241" s="23"/>
      <c r="G241" s="60" t="s">
        <v>934</v>
      </c>
      <c r="H241" s="23" t="s">
        <v>535</v>
      </c>
      <c r="I241" s="23" t="s">
        <v>767</v>
      </c>
      <c r="J241" s="3" t="s">
        <v>537</v>
      </c>
      <c r="K241" s="23">
        <v>10</v>
      </c>
      <c r="L241" s="60" t="str">
        <f>VLOOKUP(K241,Ruimtegroepen[],2,FALSE)</f>
        <v>Trappenhuizen/lift</v>
      </c>
      <c r="M241" s="23" t="s">
        <v>112</v>
      </c>
      <c r="N241" s="23" t="s">
        <v>1096</v>
      </c>
      <c r="O241" s="86">
        <v>20</v>
      </c>
      <c r="P241" s="86"/>
      <c r="Q241" s="95" t="str">
        <f>LEFT(VLOOKUP(Ruimtestaat[[#This Row],[Ruimte code]],Ruimtegroepen[#All],4,1),2)</f>
        <v xml:space="preserve">V </v>
      </c>
      <c r="R241" s="95"/>
      <c r="S241" s="87">
        <v>40</v>
      </c>
      <c r="T241" s="87" t="s">
        <v>2</v>
      </c>
      <c r="U241" s="88">
        <f>IF(S241&gt;0,IF(RIGHT(Ruimtestaat[[#This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41" s="88">
        <f>IF(U241&gt;0,VLOOKUP($K241,Ruimtegroepen[],3,FALSE)*VLOOKUP($M241,Vloersoorten[],3,FALSE)*VLOOKUP($T241,Frequenties[],3,FALSE)*VLOOKUP($A241,Locaties[],3,FALSE),0)</f>
        <v>0</v>
      </c>
      <c r="W241" s="89">
        <f>Ruimtestaat[[#This Row],[Uitvoeringen werkdagen]]*Ruimtestaat[[#This Row],[Oppervlak (netto)]]</f>
        <v>4000</v>
      </c>
      <c r="X241" s="90">
        <f>IF(V241&gt;0,Ruimtestaat[[#This Row],[Prest. (m2 /jaar) werkdagen]]/Ruimtestaat[[#This Row],[Norm (m2/uur) werkdagen]],0)</f>
        <v>0</v>
      </c>
      <c r="Y241" s="91">
        <f>Ruimtestaat[[#This Row],[uren / jaar werkdagen]]*Tariefsopbouw!$E$35</f>
        <v>0</v>
      </c>
      <c r="Z241" s="88"/>
      <c r="AA241" s="92">
        <f>IF(Ruimtestaat[[#This Row],[Frequentie weekend]]&gt;0,VALUE(LEFT(Z241,1))*S241,0)</f>
        <v>0</v>
      </c>
      <c r="AB241" s="88">
        <f>IF($AA241&gt;0,VLOOKUP($K241,Ruimtegroepen[],3,FALSE)*VLOOKUP($M241,Vloersoorten[],3,FALSE)*VLOOKUP($Z241,Frequenties[],3,FALSE)*VLOOKUP(#REF!,Locaties[],3,FALSE),0)</f>
        <v>0</v>
      </c>
      <c r="AC241" s="90">
        <f>Ruimtestaat[[#This Row],[Uitvoeringen weekend]]*Ruimtestaat[[#This Row],[Oppervlak (netto)]]</f>
        <v>0</v>
      </c>
      <c r="AD241" s="93">
        <f>IF(AC241&gt;0,Ruimtestaat[[#This Row],[Prest. (m2 /jaar) weekend]]/Ruimtestaat[[#This Row],[Norm (m2/uur) weekend]],0)</f>
        <v>0</v>
      </c>
      <c r="AE241" s="94">
        <f>Ruimtestaat[[#This Row],[uren / jaar weekend]]*Tariefsopbouw!$D$40</f>
        <v>0</v>
      </c>
      <c r="AF241" s="66">
        <f>Ruimtestaat[[#This Row],[Prest. (m2 /jaar) weekend]]+Ruimtestaat[[#This Row],[Prest. (m2 /jaar) werkdagen]]</f>
        <v>4000</v>
      </c>
      <c r="AG241" s="66">
        <f>Ruimtestaat[[#This Row],[uren / jaar weekend]]+Ruimtestaat[[#This Row],[uren / jaar werkdagen]]</f>
        <v>0</v>
      </c>
      <c r="AH241" s="67">
        <f>Ruimtestaat[[#This Row],[kosten / jaar weekend]]+Ruimtestaat[[#This Row],[kosten / jaar werkdagen]]</f>
        <v>0</v>
      </c>
    </row>
    <row r="242" spans="1:34" ht="15" customHeight="1">
      <c r="A242" s="112">
        <v>2</v>
      </c>
      <c r="B242" s="23" t="str">
        <f>VLOOKUP(Ruimtestaat[[#This Row],[Code]],Locaties[#All],2,FALSE)</f>
        <v>RSG Slingerbos</v>
      </c>
      <c r="C242" s="23" t="str">
        <f>VLOOKUP(Ruimtestaat[[#This Row],[Code]],Locaties[#All],4,FALSE)</f>
        <v>Eisenhowerlaan 59</v>
      </c>
      <c r="D242" s="23" t="str">
        <f>VLOOKUP(Ruimtestaat[[#This Row],[Code]],Locaties[#All],5,FALSE)</f>
        <v>3844 AS</v>
      </c>
      <c r="E242" s="23" t="str">
        <f>VLOOKUP(Ruimtestaat[[#This Row],[Code]],Locaties[#All],6,FALSE)</f>
        <v>Harderwijk</v>
      </c>
      <c r="F242" s="23"/>
      <c r="G242" s="60" t="s">
        <v>935</v>
      </c>
      <c r="H242" s="23" t="s">
        <v>535</v>
      </c>
      <c r="I242" s="23" t="s">
        <v>768</v>
      </c>
      <c r="J242" s="3" t="s">
        <v>537</v>
      </c>
      <c r="K242" s="23">
        <v>10</v>
      </c>
      <c r="L242" s="60" t="str">
        <f>VLOOKUP(K242,Ruimtegroepen[],2,FALSE)</f>
        <v>Trappenhuizen/lift</v>
      </c>
      <c r="M242" s="23" t="s">
        <v>112</v>
      </c>
      <c r="N242" s="23" t="s">
        <v>1096</v>
      </c>
      <c r="O242" s="86">
        <v>18.8</v>
      </c>
      <c r="P242" s="86"/>
      <c r="Q242" s="95" t="str">
        <f>LEFT(VLOOKUP(Ruimtestaat[[#This Row],[Ruimte code]],Ruimtegroepen[#All],4,1),2)</f>
        <v xml:space="preserve">V </v>
      </c>
      <c r="R242" s="95"/>
      <c r="S242" s="87">
        <v>40</v>
      </c>
      <c r="T242" s="87" t="s">
        <v>2</v>
      </c>
      <c r="U242" s="88">
        <f>IF(S242&gt;0,IF(RIGHT(Ruimtestaat[[#This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42" s="88">
        <f>IF(U242&gt;0,VLOOKUP($K242,Ruimtegroepen[],3,FALSE)*VLOOKUP($M242,Vloersoorten[],3,FALSE)*VLOOKUP($T242,Frequenties[],3,FALSE)*VLOOKUP($A242,Locaties[],3,FALSE),0)</f>
        <v>0</v>
      </c>
      <c r="W242" s="89">
        <f>Ruimtestaat[[#This Row],[Uitvoeringen werkdagen]]*Ruimtestaat[[#This Row],[Oppervlak (netto)]]</f>
        <v>3760</v>
      </c>
      <c r="X242" s="90">
        <f>IF(V242&gt;0,Ruimtestaat[[#This Row],[Prest. (m2 /jaar) werkdagen]]/Ruimtestaat[[#This Row],[Norm (m2/uur) werkdagen]],0)</f>
        <v>0</v>
      </c>
      <c r="Y242" s="91">
        <f>Ruimtestaat[[#This Row],[uren / jaar werkdagen]]*Tariefsopbouw!$E$35</f>
        <v>0</v>
      </c>
      <c r="Z242" s="88"/>
      <c r="AA242" s="92">
        <f>IF(Ruimtestaat[[#This Row],[Frequentie weekend]]&gt;0,VALUE(LEFT(Z242,1))*S242,0)</f>
        <v>0</v>
      </c>
      <c r="AB242" s="88">
        <f>IF($AA242&gt;0,VLOOKUP($K242,Ruimtegroepen[],3,FALSE)*VLOOKUP($M242,Vloersoorten[],3,FALSE)*VLOOKUP($Z242,Frequenties[],3,FALSE)*VLOOKUP(#REF!,Locaties[],3,FALSE),0)</f>
        <v>0</v>
      </c>
      <c r="AC242" s="90">
        <f>Ruimtestaat[[#This Row],[Uitvoeringen weekend]]*Ruimtestaat[[#This Row],[Oppervlak (netto)]]</f>
        <v>0</v>
      </c>
      <c r="AD242" s="93">
        <f>IF(AC242&gt;0,Ruimtestaat[[#This Row],[Prest. (m2 /jaar) weekend]]/Ruimtestaat[[#This Row],[Norm (m2/uur) weekend]],0)</f>
        <v>0</v>
      </c>
      <c r="AE242" s="94">
        <f>Ruimtestaat[[#This Row],[uren / jaar weekend]]*Tariefsopbouw!$D$40</f>
        <v>0</v>
      </c>
      <c r="AF242" s="66">
        <f>Ruimtestaat[[#This Row],[Prest. (m2 /jaar) weekend]]+Ruimtestaat[[#This Row],[Prest. (m2 /jaar) werkdagen]]</f>
        <v>3760</v>
      </c>
      <c r="AG242" s="66">
        <f>Ruimtestaat[[#This Row],[uren / jaar weekend]]+Ruimtestaat[[#This Row],[uren / jaar werkdagen]]</f>
        <v>0</v>
      </c>
      <c r="AH242" s="67">
        <f>Ruimtestaat[[#This Row],[kosten / jaar weekend]]+Ruimtestaat[[#This Row],[kosten / jaar werkdagen]]</f>
        <v>0</v>
      </c>
    </row>
    <row r="243" spans="1:34" ht="15" customHeight="1">
      <c r="A243" s="112">
        <v>2</v>
      </c>
      <c r="B243" s="23" t="str">
        <f>VLOOKUP(Ruimtestaat[[#This Row],[Code]],Locaties[#All],2,FALSE)</f>
        <v>RSG Slingerbos</v>
      </c>
      <c r="C243" s="23" t="str">
        <f>VLOOKUP(Ruimtestaat[[#This Row],[Code]],Locaties[#All],4,FALSE)</f>
        <v>Eisenhowerlaan 59</v>
      </c>
      <c r="D243" s="23" t="str">
        <f>VLOOKUP(Ruimtestaat[[#This Row],[Code]],Locaties[#All],5,FALSE)</f>
        <v>3844 AS</v>
      </c>
      <c r="E243" s="23" t="str">
        <f>VLOOKUP(Ruimtestaat[[#This Row],[Code]],Locaties[#All],6,FALSE)</f>
        <v>Harderwijk</v>
      </c>
      <c r="F243" s="23"/>
      <c r="G243" s="60" t="s">
        <v>936</v>
      </c>
      <c r="H243" s="23" t="s">
        <v>535</v>
      </c>
      <c r="I243" s="23" t="s">
        <v>769</v>
      </c>
      <c r="J243" s="3" t="s">
        <v>537</v>
      </c>
      <c r="K243" s="23">
        <v>10</v>
      </c>
      <c r="L243" s="60" t="str">
        <f>VLOOKUP(K243,Ruimtegroepen[],2,FALSE)</f>
        <v>Trappenhuizen/lift</v>
      </c>
      <c r="M243" s="23" t="s">
        <v>112</v>
      </c>
      <c r="N243" s="23" t="s">
        <v>1096</v>
      </c>
      <c r="O243" s="86">
        <v>19.7</v>
      </c>
      <c r="P243" s="86"/>
      <c r="Q243" s="95" t="str">
        <f>LEFT(VLOOKUP(Ruimtestaat[[#This Row],[Ruimte code]],Ruimtegroepen[#All],4,1),2)</f>
        <v xml:space="preserve">V </v>
      </c>
      <c r="R243" s="95"/>
      <c r="S243" s="87">
        <v>40</v>
      </c>
      <c r="T243" s="87" t="s">
        <v>2</v>
      </c>
      <c r="U243" s="88">
        <f>IF(S243&gt;0,IF(RIGHT(Ruimtestaat[[#This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43" s="88">
        <f>IF(U243&gt;0,VLOOKUP($K243,Ruimtegroepen[],3,FALSE)*VLOOKUP($M243,Vloersoorten[],3,FALSE)*VLOOKUP($T243,Frequenties[],3,FALSE)*VLOOKUP($A243,Locaties[],3,FALSE),0)</f>
        <v>0</v>
      </c>
      <c r="W243" s="89">
        <f>Ruimtestaat[[#This Row],[Uitvoeringen werkdagen]]*Ruimtestaat[[#This Row],[Oppervlak (netto)]]</f>
        <v>3940</v>
      </c>
      <c r="X243" s="90">
        <f>IF(V243&gt;0,Ruimtestaat[[#This Row],[Prest. (m2 /jaar) werkdagen]]/Ruimtestaat[[#This Row],[Norm (m2/uur) werkdagen]],0)</f>
        <v>0</v>
      </c>
      <c r="Y243" s="91">
        <f>Ruimtestaat[[#This Row],[uren / jaar werkdagen]]*Tariefsopbouw!$E$35</f>
        <v>0</v>
      </c>
      <c r="Z243" s="88"/>
      <c r="AA243" s="92">
        <f>IF(Ruimtestaat[[#This Row],[Frequentie weekend]]&gt;0,VALUE(LEFT(Z243,1))*S243,0)</f>
        <v>0</v>
      </c>
      <c r="AB243" s="88">
        <f>IF($AA243&gt;0,VLOOKUP($K243,Ruimtegroepen[],3,FALSE)*VLOOKUP($M243,Vloersoorten[],3,FALSE)*VLOOKUP($Z243,Frequenties[],3,FALSE)*VLOOKUP(#REF!,Locaties[],3,FALSE),0)</f>
        <v>0</v>
      </c>
      <c r="AC243" s="90">
        <f>Ruimtestaat[[#This Row],[Uitvoeringen weekend]]*Ruimtestaat[[#This Row],[Oppervlak (netto)]]</f>
        <v>0</v>
      </c>
      <c r="AD243" s="93">
        <f>IF(AC243&gt;0,Ruimtestaat[[#This Row],[Prest. (m2 /jaar) weekend]]/Ruimtestaat[[#This Row],[Norm (m2/uur) weekend]],0)</f>
        <v>0</v>
      </c>
      <c r="AE243" s="94">
        <f>Ruimtestaat[[#This Row],[uren / jaar weekend]]*Tariefsopbouw!$D$40</f>
        <v>0</v>
      </c>
      <c r="AF243" s="66">
        <f>Ruimtestaat[[#This Row],[Prest. (m2 /jaar) weekend]]+Ruimtestaat[[#This Row],[Prest. (m2 /jaar) werkdagen]]</f>
        <v>3940</v>
      </c>
      <c r="AG243" s="66">
        <f>Ruimtestaat[[#This Row],[uren / jaar weekend]]+Ruimtestaat[[#This Row],[uren / jaar werkdagen]]</f>
        <v>0</v>
      </c>
      <c r="AH243" s="67">
        <f>Ruimtestaat[[#This Row],[kosten / jaar weekend]]+Ruimtestaat[[#This Row],[kosten / jaar werkdagen]]</f>
        <v>0</v>
      </c>
    </row>
    <row r="244" spans="1:34" ht="15" customHeight="1">
      <c r="A244" s="112">
        <v>2</v>
      </c>
      <c r="B244" s="23" t="str">
        <f>VLOOKUP(Ruimtestaat[[#This Row],[Code]],Locaties[#All],2,FALSE)</f>
        <v>RSG Slingerbos</v>
      </c>
      <c r="C244" s="23" t="str">
        <f>VLOOKUP(Ruimtestaat[[#This Row],[Code]],Locaties[#All],4,FALSE)</f>
        <v>Eisenhowerlaan 59</v>
      </c>
      <c r="D244" s="23" t="str">
        <f>VLOOKUP(Ruimtestaat[[#This Row],[Code]],Locaties[#All],5,FALSE)</f>
        <v>3844 AS</v>
      </c>
      <c r="E244" s="23" t="str">
        <f>VLOOKUP(Ruimtestaat[[#This Row],[Code]],Locaties[#All],6,FALSE)</f>
        <v>Harderwijk</v>
      </c>
      <c r="F244" s="23"/>
      <c r="G244" s="60" t="s">
        <v>937</v>
      </c>
      <c r="H244" s="23" t="s">
        <v>535</v>
      </c>
      <c r="I244" s="23" t="s">
        <v>770</v>
      </c>
      <c r="J244" s="3" t="s">
        <v>537</v>
      </c>
      <c r="K244" s="23">
        <v>10</v>
      </c>
      <c r="L244" s="60" t="str">
        <f>VLOOKUP(K244,Ruimtegroepen[],2,FALSE)</f>
        <v>Trappenhuizen/lift</v>
      </c>
      <c r="M244" s="23" t="s">
        <v>112</v>
      </c>
      <c r="N244" s="23" t="s">
        <v>1096</v>
      </c>
      <c r="O244" s="86">
        <v>21.6</v>
      </c>
      <c r="P244" s="86"/>
      <c r="Q244" s="95" t="str">
        <f>LEFT(VLOOKUP(Ruimtestaat[[#This Row],[Ruimte code]],Ruimtegroepen[#All],4,1),2)</f>
        <v xml:space="preserve">V </v>
      </c>
      <c r="R244" s="95"/>
      <c r="S244" s="87">
        <v>40</v>
      </c>
      <c r="T244" s="87" t="s">
        <v>2</v>
      </c>
      <c r="U244" s="88">
        <f>IF(S244&gt;0,IF(RIGHT(Ruimtestaat[[#This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44" s="88">
        <f>IF(U244&gt;0,VLOOKUP($K244,Ruimtegroepen[],3,FALSE)*VLOOKUP($M244,Vloersoorten[],3,FALSE)*VLOOKUP($T244,Frequenties[],3,FALSE)*VLOOKUP($A244,Locaties[],3,FALSE),0)</f>
        <v>0</v>
      </c>
      <c r="W244" s="89">
        <f>Ruimtestaat[[#This Row],[Uitvoeringen werkdagen]]*Ruimtestaat[[#This Row],[Oppervlak (netto)]]</f>
        <v>4320</v>
      </c>
      <c r="X244" s="90">
        <f>IF(V244&gt;0,Ruimtestaat[[#This Row],[Prest. (m2 /jaar) werkdagen]]/Ruimtestaat[[#This Row],[Norm (m2/uur) werkdagen]],0)</f>
        <v>0</v>
      </c>
      <c r="Y244" s="91">
        <f>Ruimtestaat[[#This Row],[uren / jaar werkdagen]]*Tariefsopbouw!$E$35</f>
        <v>0</v>
      </c>
      <c r="Z244" s="88"/>
      <c r="AA244" s="92">
        <f>IF(Ruimtestaat[[#This Row],[Frequentie weekend]]&gt;0,VALUE(LEFT(Z244,1))*S244,0)</f>
        <v>0</v>
      </c>
      <c r="AB244" s="88">
        <f>IF($AA244&gt;0,VLOOKUP($K244,Ruimtegroepen[],3,FALSE)*VLOOKUP($M244,Vloersoorten[],3,FALSE)*VLOOKUP($Z244,Frequenties[],3,FALSE)*VLOOKUP(#REF!,Locaties[],3,FALSE),0)</f>
        <v>0</v>
      </c>
      <c r="AC244" s="90">
        <f>Ruimtestaat[[#This Row],[Uitvoeringen weekend]]*Ruimtestaat[[#This Row],[Oppervlak (netto)]]</f>
        <v>0</v>
      </c>
      <c r="AD244" s="93">
        <f>IF(AC244&gt;0,Ruimtestaat[[#This Row],[Prest. (m2 /jaar) weekend]]/Ruimtestaat[[#This Row],[Norm (m2/uur) weekend]],0)</f>
        <v>0</v>
      </c>
      <c r="AE244" s="94">
        <f>Ruimtestaat[[#This Row],[uren / jaar weekend]]*Tariefsopbouw!$D$40</f>
        <v>0</v>
      </c>
      <c r="AF244" s="66">
        <f>Ruimtestaat[[#This Row],[Prest. (m2 /jaar) weekend]]+Ruimtestaat[[#This Row],[Prest. (m2 /jaar) werkdagen]]</f>
        <v>4320</v>
      </c>
      <c r="AG244" s="66">
        <f>Ruimtestaat[[#This Row],[uren / jaar weekend]]+Ruimtestaat[[#This Row],[uren / jaar werkdagen]]</f>
        <v>0</v>
      </c>
      <c r="AH244" s="67">
        <f>Ruimtestaat[[#This Row],[kosten / jaar weekend]]+Ruimtestaat[[#This Row],[kosten / jaar werkdagen]]</f>
        <v>0</v>
      </c>
    </row>
    <row r="245" spans="1:34" ht="15" customHeight="1">
      <c r="A245" s="112">
        <v>2</v>
      </c>
      <c r="B245" s="23" t="str">
        <f>VLOOKUP(Ruimtestaat[[#This Row],[Code]],Locaties[#All],2,FALSE)</f>
        <v>RSG Slingerbos</v>
      </c>
      <c r="C245" s="23" t="str">
        <f>VLOOKUP(Ruimtestaat[[#This Row],[Code]],Locaties[#All],4,FALSE)</f>
        <v>Eisenhowerlaan 59</v>
      </c>
      <c r="D245" s="23" t="str">
        <f>VLOOKUP(Ruimtestaat[[#This Row],[Code]],Locaties[#All],5,FALSE)</f>
        <v>3844 AS</v>
      </c>
      <c r="E245" s="23" t="str">
        <f>VLOOKUP(Ruimtestaat[[#This Row],[Code]],Locaties[#All],6,FALSE)</f>
        <v>Harderwijk</v>
      </c>
      <c r="F245" s="23"/>
      <c r="G245" s="60" t="s">
        <v>489</v>
      </c>
      <c r="H245" s="23" t="s">
        <v>535</v>
      </c>
      <c r="I245" s="23">
        <v>10</v>
      </c>
      <c r="J245" s="3" t="s">
        <v>1055</v>
      </c>
      <c r="K245" s="23">
        <v>14</v>
      </c>
      <c r="L245" s="60" t="str">
        <f>VLOOKUP(K245,Ruimtegroepen[],2,FALSE)</f>
        <v>Praktijklokalen binas/zorg</v>
      </c>
      <c r="M245" s="23" t="s">
        <v>112</v>
      </c>
      <c r="N245" s="23" t="s">
        <v>1090</v>
      </c>
      <c r="O245" s="86">
        <v>66.900000000000006</v>
      </c>
      <c r="P245" s="86"/>
      <c r="Q245" s="95" t="str">
        <f>LEFT(VLOOKUP(Ruimtestaat[[#This Row],[Ruimte code]],Ruimtegroepen[#All],4,1),2)</f>
        <v xml:space="preserve">L </v>
      </c>
      <c r="R245" s="95"/>
      <c r="S245" s="87">
        <v>40</v>
      </c>
      <c r="T245" s="87" t="s">
        <v>2</v>
      </c>
      <c r="U245" s="88">
        <f>IF(S245&gt;0,IF(RIGHT(Ruimtestaat[[#This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45" s="88">
        <f>IF(U245&gt;0,VLOOKUP($K245,Ruimtegroepen[],3,FALSE)*VLOOKUP($M245,Vloersoorten[],3,FALSE)*VLOOKUP($T245,Frequenties[],3,FALSE)*VLOOKUP($A245,Locaties[],3,FALSE),0)</f>
        <v>0</v>
      </c>
      <c r="W245" s="89">
        <f>Ruimtestaat[[#This Row],[Uitvoeringen werkdagen]]*Ruimtestaat[[#This Row],[Oppervlak (netto)]]</f>
        <v>13380.000000000002</v>
      </c>
      <c r="X245" s="90">
        <f>IF(V245&gt;0,Ruimtestaat[[#This Row],[Prest. (m2 /jaar) werkdagen]]/Ruimtestaat[[#This Row],[Norm (m2/uur) werkdagen]],0)</f>
        <v>0</v>
      </c>
      <c r="Y245" s="91">
        <f>Ruimtestaat[[#This Row],[uren / jaar werkdagen]]*Tariefsopbouw!$E$35</f>
        <v>0</v>
      </c>
      <c r="Z245" s="88"/>
      <c r="AA245" s="92">
        <f>IF(Ruimtestaat[[#This Row],[Frequentie weekend]]&gt;0,VALUE(LEFT(Z245,1))*S245,0)</f>
        <v>0</v>
      </c>
      <c r="AB245" s="88">
        <f>IF($AA245&gt;0,VLOOKUP($K245,Ruimtegroepen[],3,FALSE)*VLOOKUP($M245,Vloersoorten[],3,FALSE)*VLOOKUP($Z245,Frequenties[],3,FALSE)*VLOOKUP(#REF!,Locaties[],3,FALSE),0)</f>
        <v>0</v>
      </c>
      <c r="AC245" s="90">
        <f>Ruimtestaat[[#This Row],[Uitvoeringen weekend]]*Ruimtestaat[[#This Row],[Oppervlak (netto)]]</f>
        <v>0</v>
      </c>
      <c r="AD245" s="93">
        <f>IF(AC245&gt;0,Ruimtestaat[[#This Row],[Prest. (m2 /jaar) weekend]]/Ruimtestaat[[#This Row],[Norm (m2/uur) weekend]],0)</f>
        <v>0</v>
      </c>
      <c r="AE245" s="94">
        <f>Ruimtestaat[[#This Row],[uren / jaar weekend]]*Tariefsopbouw!$D$40</f>
        <v>0</v>
      </c>
      <c r="AF245" s="66">
        <f>Ruimtestaat[[#This Row],[Prest. (m2 /jaar) weekend]]+Ruimtestaat[[#This Row],[Prest. (m2 /jaar) werkdagen]]</f>
        <v>13380.000000000002</v>
      </c>
      <c r="AG245" s="66">
        <f>Ruimtestaat[[#This Row],[uren / jaar weekend]]+Ruimtestaat[[#This Row],[uren / jaar werkdagen]]</f>
        <v>0</v>
      </c>
      <c r="AH245" s="67">
        <f>Ruimtestaat[[#This Row],[kosten / jaar weekend]]+Ruimtestaat[[#This Row],[kosten / jaar werkdagen]]</f>
        <v>0</v>
      </c>
    </row>
    <row r="246" spans="1:34" ht="15" customHeight="1">
      <c r="A246" s="112">
        <v>2</v>
      </c>
      <c r="B246" s="23" t="str">
        <f>VLOOKUP(Ruimtestaat[[#This Row],[Code]],Locaties[#All],2,FALSE)</f>
        <v>RSG Slingerbos</v>
      </c>
      <c r="C246" s="23" t="str">
        <f>VLOOKUP(Ruimtestaat[[#This Row],[Code]],Locaties[#All],4,FALSE)</f>
        <v>Eisenhowerlaan 59</v>
      </c>
      <c r="D246" s="23" t="str">
        <f>VLOOKUP(Ruimtestaat[[#This Row],[Code]],Locaties[#All],5,FALSE)</f>
        <v>3844 AS</v>
      </c>
      <c r="E246" s="23" t="str">
        <f>VLOOKUP(Ruimtestaat[[#This Row],[Code]],Locaties[#All],6,FALSE)</f>
        <v>Harderwijk</v>
      </c>
      <c r="F246" s="23"/>
      <c r="G246" s="60" t="s">
        <v>938</v>
      </c>
      <c r="H246" s="23" t="s">
        <v>535</v>
      </c>
      <c r="I246" s="23" t="s">
        <v>771</v>
      </c>
      <c r="J246" s="3" t="s">
        <v>1056</v>
      </c>
      <c r="K246" s="23">
        <v>16</v>
      </c>
      <c r="L246" s="60" t="str">
        <f>VLOOKUP(K246,Ruimtegroepen[],2,FALSE)</f>
        <v>Leslokalen theorie</v>
      </c>
      <c r="M246" s="23" t="s">
        <v>112</v>
      </c>
      <c r="N246" s="23" t="s">
        <v>1097</v>
      </c>
      <c r="O246" s="86">
        <v>37</v>
      </c>
      <c r="P246" s="86"/>
      <c r="Q246" s="95" t="str">
        <f>LEFT(VLOOKUP(Ruimtestaat[[#This Row],[Ruimte code]],Ruimtegroepen[#All],4,1),2)</f>
        <v xml:space="preserve">L </v>
      </c>
      <c r="R246" s="95"/>
      <c r="S246" s="87">
        <v>40</v>
      </c>
      <c r="T246" s="87" t="s">
        <v>2</v>
      </c>
      <c r="U246" s="88">
        <f>IF(S246&gt;0,IF(RIGHT(Ruimtestaat[[#This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46" s="88">
        <f>IF(U246&gt;0,VLOOKUP($K246,Ruimtegroepen[],3,FALSE)*VLOOKUP($M246,Vloersoorten[],3,FALSE)*VLOOKUP($T246,Frequenties[],3,FALSE)*VLOOKUP($A246,Locaties[],3,FALSE),0)</f>
        <v>0</v>
      </c>
      <c r="W246" s="89">
        <f>Ruimtestaat[[#This Row],[Uitvoeringen werkdagen]]*Ruimtestaat[[#This Row],[Oppervlak (netto)]]</f>
        <v>7400</v>
      </c>
      <c r="X246" s="90">
        <f>IF(V246&gt;0,Ruimtestaat[[#This Row],[Prest. (m2 /jaar) werkdagen]]/Ruimtestaat[[#This Row],[Norm (m2/uur) werkdagen]],0)</f>
        <v>0</v>
      </c>
      <c r="Y246" s="91">
        <f>Ruimtestaat[[#This Row],[uren / jaar werkdagen]]*Tariefsopbouw!$E$35</f>
        <v>0</v>
      </c>
      <c r="Z246" s="88"/>
      <c r="AA246" s="92">
        <f>IF(Ruimtestaat[[#This Row],[Frequentie weekend]]&gt;0,VALUE(LEFT(Z246,1))*S246,0)</f>
        <v>0</v>
      </c>
      <c r="AB246" s="88">
        <f>IF($AA246&gt;0,VLOOKUP($K246,Ruimtegroepen[],3,FALSE)*VLOOKUP($M246,Vloersoorten[],3,FALSE)*VLOOKUP($Z246,Frequenties[],3,FALSE)*VLOOKUP(#REF!,Locaties[],3,FALSE),0)</f>
        <v>0</v>
      </c>
      <c r="AC246" s="90">
        <f>Ruimtestaat[[#This Row],[Uitvoeringen weekend]]*Ruimtestaat[[#This Row],[Oppervlak (netto)]]</f>
        <v>0</v>
      </c>
      <c r="AD246" s="93">
        <f>IF(AC246&gt;0,Ruimtestaat[[#This Row],[Prest. (m2 /jaar) weekend]]/Ruimtestaat[[#This Row],[Norm (m2/uur) weekend]],0)</f>
        <v>0</v>
      </c>
      <c r="AE246" s="94">
        <f>Ruimtestaat[[#This Row],[uren / jaar weekend]]*Tariefsopbouw!$D$40</f>
        <v>0</v>
      </c>
      <c r="AF246" s="66">
        <f>Ruimtestaat[[#This Row],[Prest. (m2 /jaar) weekend]]+Ruimtestaat[[#This Row],[Prest. (m2 /jaar) werkdagen]]</f>
        <v>7400</v>
      </c>
      <c r="AG246" s="66">
        <f>Ruimtestaat[[#This Row],[uren / jaar weekend]]+Ruimtestaat[[#This Row],[uren / jaar werkdagen]]</f>
        <v>0</v>
      </c>
      <c r="AH246" s="67">
        <f>Ruimtestaat[[#This Row],[kosten / jaar weekend]]+Ruimtestaat[[#This Row],[kosten / jaar werkdagen]]</f>
        <v>0</v>
      </c>
    </row>
    <row r="247" spans="1:34" ht="15" customHeight="1">
      <c r="A247" s="112">
        <v>2</v>
      </c>
      <c r="B247" s="23" t="str">
        <f>VLOOKUP(Ruimtestaat[[#This Row],[Code]],Locaties[#All],2,FALSE)</f>
        <v>RSG Slingerbos</v>
      </c>
      <c r="C247" s="23" t="str">
        <f>VLOOKUP(Ruimtestaat[[#This Row],[Code]],Locaties[#All],4,FALSE)</f>
        <v>Eisenhowerlaan 59</v>
      </c>
      <c r="D247" s="23" t="str">
        <f>VLOOKUP(Ruimtestaat[[#This Row],[Code]],Locaties[#All],5,FALSE)</f>
        <v>3844 AS</v>
      </c>
      <c r="E247" s="23" t="str">
        <f>VLOOKUP(Ruimtestaat[[#This Row],[Code]],Locaties[#All],6,FALSE)</f>
        <v>Harderwijk</v>
      </c>
      <c r="F247" s="23"/>
      <c r="G247" s="60" t="s">
        <v>490</v>
      </c>
      <c r="H247" s="23" t="s">
        <v>535</v>
      </c>
      <c r="I247" s="23">
        <v>11</v>
      </c>
      <c r="J247" s="3" t="s">
        <v>1055</v>
      </c>
      <c r="K247" s="23">
        <v>14</v>
      </c>
      <c r="L247" s="60" t="str">
        <f>VLOOKUP(K247,Ruimtegroepen[],2,FALSE)</f>
        <v>Praktijklokalen binas/zorg</v>
      </c>
      <c r="M247" s="23" t="s">
        <v>112</v>
      </c>
      <c r="N247" s="23" t="s">
        <v>1090</v>
      </c>
      <c r="O247" s="86">
        <v>66.900000000000006</v>
      </c>
      <c r="P247" s="86"/>
      <c r="Q247" s="95" t="str">
        <f>LEFT(VLOOKUP(Ruimtestaat[[#This Row],[Ruimte code]],Ruimtegroepen[#All],4,1),2)</f>
        <v xml:space="preserve">L </v>
      </c>
      <c r="R247" s="95"/>
      <c r="S247" s="87">
        <v>40</v>
      </c>
      <c r="T247" s="87" t="s">
        <v>2</v>
      </c>
      <c r="U247" s="88">
        <f>IF(S247&gt;0,IF(RIGHT(Ruimtestaat[[#This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47" s="88">
        <f>IF(U247&gt;0,VLOOKUP($K247,Ruimtegroepen[],3,FALSE)*VLOOKUP($M247,Vloersoorten[],3,FALSE)*VLOOKUP($T247,Frequenties[],3,FALSE)*VLOOKUP($A247,Locaties[],3,FALSE),0)</f>
        <v>0</v>
      </c>
      <c r="W247" s="89">
        <f>Ruimtestaat[[#This Row],[Uitvoeringen werkdagen]]*Ruimtestaat[[#This Row],[Oppervlak (netto)]]</f>
        <v>13380.000000000002</v>
      </c>
      <c r="X247" s="90">
        <f>IF(V247&gt;0,Ruimtestaat[[#This Row],[Prest. (m2 /jaar) werkdagen]]/Ruimtestaat[[#This Row],[Norm (m2/uur) werkdagen]],0)</f>
        <v>0</v>
      </c>
      <c r="Y247" s="91">
        <f>Ruimtestaat[[#This Row],[uren / jaar werkdagen]]*Tariefsopbouw!$E$35</f>
        <v>0</v>
      </c>
      <c r="Z247" s="88"/>
      <c r="AA247" s="92">
        <f>IF(Ruimtestaat[[#This Row],[Frequentie weekend]]&gt;0,VALUE(LEFT(Z247,1))*S247,0)</f>
        <v>0</v>
      </c>
      <c r="AB247" s="88">
        <f>IF($AA247&gt;0,VLOOKUP($K247,Ruimtegroepen[],3,FALSE)*VLOOKUP($M247,Vloersoorten[],3,FALSE)*VLOOKUP($Z247,Frequenties[],3,FALSE)*VLOOKUP(#REF!,Locaties[],3,FALSE),0)</f>
        <v>0</v>
      </c>
      <c r="AC247" s="90">
        <f>Ruimtestaat[[#This Row],[Uitvoeringen weekend]]*Ruimtestaat[[#This Row],[Oppervlak (netto)]]</f>
        <v>0</v>
      </c>
      <c r="AD247" s="93">
        <f>IF(AC247&gt;0,Ruimtestaat[[#This Row],[Prest. (m2 /jaar) weekend]]/Ruimtestaat[[#This Row],[Norm (m2/uur) weekend]],0)</f>
        <v>0</v>
      </c>
      <c r="AE247" s="94">
        <f>Ruimtestaat[[#This Row],[uren / jaar weekend]]*Tariefsopbouw!$D$40</f>
        <v>0</v>
      </c>
      <c r="AF247" s="66">
        <f>Ruimtestaat[[#This Row],[Prest. (m2 /jaar) weekend]]+Ruimtestaat[[#This Row],[Prest. (m2 /jaar) werkdagen]]</f>
        <v>13380.000000000002</v>
      </c>
      <c r="AG247" s="66">
        <f>Ruimtestaat[[#This Row],[uren / jaar weekend]]+Ruimtestaat[[#This Row],[uren / jaar werkdagen]]</f>
        <v>0</v>
      </c>
      <c r="AH247" s="67">
        <f>Ruimtestaat[[#This Row],[kosten / jaar weekend]]+Ruimtestaat[[#This Row],[kosten / jaar werkdagen]]</f>
        <v>0</v>
      </c>
    </row>
    <row r="248" spans="1:34" ht="15" customHeight="1">
      <c r="A248" s="112">
        <v>2</v>
      </c>
      <c r="B248" s="23" t="str">
        <f>VLOOKUP(Ruimtestaat[[#This Row],[Code]],Locaties[#All],2,FALSE)</f>
        <v>RSG Slingerbos</v>
      </c>
      <c r="C248" s="23" t="str">
        <f>VLOOKUP(Ruimtestaat[[#This Row],[Code]],Locaties[#All],4,FALSE)</f>
        <v>Eisenhowerlaan 59</v>
      </c>
      <c r="D248" s="23" t="str">
        <f>VLOOKUP(Ruimtestaat[[#This Row],[Code]],Locaties[#All],5,FALSE)</f>
        <v>3844 AS</v>
      </c>
      <c r="E248" s="23" t="str">
        <f>VLOOKUP(Ruimtestaat[[#This Row],[Code]],Locaties[#All],6,FALSE)</f>
        <v>Harderwijk</v>
      </c>
      <c r="F248" s="23"/>
      <c r="G248" s="60" t="s">
        <v>491</v>
      </c>
      <c r="H248" s="23" t="s">
        <v>535</v>
      </c>
      <c r="I248" s="23">
        <v>15</v>
      </c>
      <c r="J248" s="3" t="s">
        <v>1055</v>
      </c>
      <c r="K248" s="23">
        <v>14</v>
      </c>
      <c r="L248" s="60" t="str">
        <f>VLOOKUP(K248,Ruimtegroepen[],2,FALSE)</f>
        <v>Praktijklokalen binas/zorg</v>
      </c>
      <c r="M248" s="23" t="s">
        <v>112</v>
      </c>
      <c r="N248" s="23" t="s">
        <v>1090</v>
      </c>
      <c r="O248" s="86">
        <v>82.8</v>
      </c>
      <c r="P248" s="86"/>
      <c r="Q248" s="95" t="str">
        <f>LEFT(VLOOKUP(Ruimtestaat[[#This Row],[Ruimte code]],Ruimtegroepen[#All],4,1),2)</f>
        <v xml:space="preserve">L </v>
      </c>
      <c r="R248" s="95"/>
      <c r="S248" s="87">
        <v>40</v>
      </c>
      <c r="T248" s="87" t="s">
        <v>2</v>
      </c>
      <c r="U248" s="88">
        <f>IF(S248&gt;0,IF(RIGHT(Ruimtestaat[[#This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48" s="88">
        <f>IF(U248&gt;0,VLOOKUP($K248,Ruimtegroepen[],3,FALSE)*VLOOKUP($M248,Vloersoorten[],3,FALSE)*VLOOKUP($T248,Frequenties[],3,FALSE)*VLOOKUP($A248,Locaties[],3,FALSE),0)</f>
        <v>0</v>
      </c>
      <c r="W248" s="89">
        <f>Ruimtestaat[[#This Row],[Uitvoeringen werkdagen]]*Ruimtestaat[[#This Row],[Oppervlak (netto)]]</f>
        <v>16560</v>
      </c>
      <c r="X248" s="90">
        <f>IF(V248&gt;0,Ruimtestaat[[#This Row],[Prest. (m2 /jaar) werkdagen]]/Ruimtestaat[[#This Row],[Norm (m2/uur) werkdagen]],0)</f>
        <v>0</v>
      </c>
      <c r="Y248" s="91">
        <f>Ruimtestaat[[#This Row],[uren / jaar werkdagen]]*Tariefsopbouw!$E$35</f>
        <v>0</v>
      </c>
      <c r="Z248" s="88"/>
      <c r="AA248" s="92">
        <f>IF(Ruimtestaat[[#This Row],[Frequentie weekend]]&gt;0,VALUE(LEFT(Z248,1))*S248,0)</f>
        <v>0</v>
      </c>
      <c r="AB248" s="88">
        <f>IF($AA248&gt;0,VLOOKUP($K248,Ruimtegroepen[],3,FALSE)*VLOOKUP($M248,Vloersoorten[],3,FALSE)*VLOOKUP($Z248,Frequenties[],3,FALSE)*VLOOKUP(#REF!,Locaties[],3,FALSE),0)</f>
        <v>0</v>
      </c>
      <c r="AC248" s="90">
        <f>Ruimtestaat[[#This Row],[Uitvoeringen weekend]]*Ruimtestaat[[#This Row],[Oppervlak (netto)]]</f>
        <v>0</v>
      </c>
      <c r="AD248" s="93">
        <f>IF(AC248&gt;0,Ruimtestaat[[#This Row],[Prest. (m2 /jaar) weekend]]/Ruimtestaat[[#This Row],[Norm (m2/uur) weekend]],0)</f>
        <v>0</v>
      </c>
      <c r="AE248" s="94">
        <f>Ruimtestaat[[#This Row],[uren / jaar weekend]]*Tariefsopbouw!$D$40</f>
        <v>0</v>
      </c>
      <c r="AF248" s="66">
        <f>Ruimtestaat[[#This Row],[Prest. (m2 /jaar) weekend]]+Ruimtestaat[[#This Row],[Prest. (m2 /jaar) werkdagen]]</f>
        <v>16560</v>
      </c>
      <c r="AG248" s="66">
        <f>Ruimtestaat[[#This Row],[uren / jaar weekend]]+Ruimtestaat[[#This Row],[uren / jaar werkdagen]]</f>
        <v>0</v>
      </c>
      <c r="AH248" s="67">
        <f>Ruimtestaat[[#This Row],[kosten / jaar weekend]]+Ruimtestaat[[#This Row],[kosten / jaar werkdagen]]</f>
        <v>0</v>
      </c>
    </row>
    <row r="249" spans="1:34" ht="15" customHeight="1">
      <c r="A249" s="112">
        <v>2</v>
      </c>
      <c r="B249" s="23" t="str">
        <f>VLOOKUP(Ruimtestaat[[#This Row],[Code]],Locaties[#All],2,FALSE)</f>
        <v>RSG Slingerbos</v>
      </c>
      <c r="C249" s="23" t="str">
        <f>VLOOKUP(Ruimtestaat[[#This Row],[Code]],Locaties[#All],4,FALSE)</f>
        <v>Eisenhowerlaan 59</v>
      </c>
      <c r="D249" s="23" t="str">
        <f>VLOOKUP(Ruimtestaat[[#This Row],[Code]],Locaties[#All],5,FALSE)</f>
        <v>3844 AS</v>
      </c>
      <c r="E249" s="23" t="str">
        <f>VLOOKUP(Ruimtestaat[[#This Row],[Code]],Locaties[#All],6,FALSE)</f>
        <v>Harderwijk</v>
      </c>
      <c r="F249" s="23"/>
      <c r="G249" s="60" t="s">
        <v>939</v>
      </c>
      <c r="H249" s="23" t="s">
        <v>535</v>
      </c>
      <c r="I249" s="23" t="s">
        <v>772</v>
      </c>
      <c r="J249" s="3" t="s">
        <v>1056</v>
      </c>
      <c r="K249" s="23">
        <v>16</v>
      </c>
      <c r="L249" s="60" t="str">
        <f>VLOOKUP(K249,Ruimtegroepen[],2,FALSE)</f>
        <v>Leslokalen theorie</v>
      </c>
      <c r="M249" s="23" t="s">
        <v>112</v>
      </c>
      <c r="N249" s="23" t="s">
        <v>1090</v>
      </c>
      <c r="O249" s="86">
        <v>55.7</v>
      </c>
      <c r="P249" s="86"/>
      <c r="Q249" s="95" t="str">
        <f>LEFT(VLOOKUP(Ruimtestaat[[#This Row],[Ruimte code]],Ruimtegroepen[#All],4,1),2)</f>
        <v xml:space="preserve">L </v>
      </c>
      <c r="R249" s="95"/>
      <c r="S249" s="87">
        <v>40</v>
      </c>
      <c r="T249" s="87" t="s">
        <v>2</v>
      </c>
      <c r="U249" s="88">
        <f>IF(S249&gt;0,IF(RIGHT(Ruimtestaat[[#This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49" s="88">
        <f>IF(U249&gt;0,VLOOKUP($K249,Ruimtegroepen[],3,FALSE)*VLOOKUP($M249,Vloersoorten[],3,FALSE)*VLOOKUP($T249,Frequenties[],3,FALSE)*VLOOKUP($A249,Locaties[],3,FALSE),0)</f>
        <v>0</v>
      </c>
      <c r="W249" s="89">
        <f>Ruimtestaat[[#This Row],[Uitvoeringen werkdagen]]*Ruimtestaat[[#This Row],[Oppervlak (netto)]]</f>
        <v>11140</v>
      </c>
      <c r="X249" s="90">
        <f>IF(V249&gt;0,Ruimtestaat[[#This Row],[Prest. (m2 /jaar) werkdagen]]/Ruimtestaat[[#This Row],[Norm (m2/uur) werkdagen]],0)</f>
        <v>0</v>
      </c>
      <c r="Y249" s="91">
        <f>Ruimtestaat[[#This Row],[uren / jaar werkdagen]]*Tariefsopbouw!$E$35</f>
        <v>0</v>
      </c>
      <c r="Z249" s="88"/>
      <c r="AA249" s="92">
        <f>IF(Ruimtestaat[[#This Row],[Frequentie weekend]]&gt;0,VALUE(LEFT(Z249,1))*S249,0)</f>
        <v>0</v>
      </c>
      <c r="AB249" s="88">
        <f>IF($AA249&gt;0,VLOOKUP($K249,Ruimtegroepen[],3,FALSE)*VLOOKUP($M249,Vloersoorten[],3,FALSE)*VLOOKUP($Z249,Frequenties[],3,FALSE)*VLOOKUP(#REF!,Locaties[],3,FALSE),0)</f>
        <v>0</v>
      </c>
      <c r="AC249" s="90">
        <f>Ruimtestaat[[#This Row],[Uitvoeringen weekend]]*Ruimtestaat[[#This Row],[Oppervlak (netto)]]</f>
        <v>0</v>
      </c>
      <c r="AD249" s="93">
        <f>IF(AC249&gt;0,Ruimtestaat[[#This Row],[Prest. (m2 /jaar) weekend]]/Ruimtestaat[[#This Row],[Norm (m2/uur) weekend]],0)</f>
        <v>0</v>
      </c>
      <c r="AE249" s="94">
        <f>Ruimtestaat[[#This Row],[uren / jaar weekend]]*Tariefsopbouw!$D$40</f>
        <v>0</v>
      </c>
      <c r="AF249" s="66">
        <f>Ruimtestaat[[#This Row],[Prest. (m2 /jaar) weekend]]+Ruimtestaat[[#This Row],[Prest. (m2 /jaar) werkdagen]]</f>
        <v>11140</v>
      </c>
      <c r="AG249" s="66">
        <f>Ruimtestaat[[#This Row],[uren / jaar weekend]]+Ruimtestaat[[#This Row],[uren / jaar werkdagen]]</f>
        <v>0</v>
      </c>
      <c r="AH249" s="67">
        <f>Ruimtestaat[[#This Row],[kosten / jaar weekend]]+Ruimtestaat[[#This Row],[kosten / jaar werkdagen]]</f>
        <v>0</v>
      </c>
    </row>
    <row r="250" spans="1:34" ht="15" customHeight="1">
      <c r="A250" s="112">
        <v>2</v>
      </c>
      <c r="B250" s="23" t="str">
        <f>VLOOKUP(Ruimtestaat[[#This Row],[Code]],Locaties[#All],2,FALSE)</f>
        <v>RSG Slingerbos</v>
      </c>
      <c r="C250" s="23" t="str">
        <f>VLOOKUP(Ruimtestaat[[#This Row],[Code]],Locaties[#All],4,FALSE)</f>
        <v>Eisenhowerlaan 59</v>
      </c>
      <c r="D250" s="23" t="str">
        <f>VLOOKUP(Ruimtestaat[[#This Row],[Code]],Locaties[#All],5,FALSE)</f>
        <v>3844 AS</v>
      </c>
      <c r="E250" s="23" t="str">
        <f>VLOOKUP(Ruimtestaat[[#This Row],[Code]],Locaties[#All],6,FALSE)</f>
        <v>Harderwijk</v>
      </c>
      <c r="F250" s="23"/>
      <c r="G250" s="60" t="s">
        <v>492</v>
      </c>
      <c r="H250" s="23" t="s">
        <v>535</v>
      </c>
      <c r="I250" s="23">
        <v>13</v>
      </c>
      <c r="J250" s="3" t="s">
        <v>1057</v>
      </c>
      <c r="K250" s="23">
        <v>14</v>
      </c>
      <c r="L250" s="60" t="str">
        <f>VLOOKUP(K250,Ruimtegroepen[],2,FALSE)</f>
        <v>Praktijklokalen binas/zorg</v>
      </c>
      <c r="M250" s="23" t="s">
        <v>112</v>
      </c>
      <c r="N250" s="23" t="s">
        <v>1097</v>
      </c>
      <c r="O250" s="86">
        <v>84.2</v>
      </c>
      <c r="P250" s="86"/>
      <c r="Q250" s="95" t="str">
        <f>LEFT(VLOOKUP(Ruimtestaat[[#This Row],[Ruimte code]],Ruimtegroepen[#All],4,1),2)</f>
        <v xml:space="preserve">L </v>
      </c>
      <c r="R250" s="95"/>
      <c r="S250" s="87">
        <v>40</v>
      </c>
      <c r="T250" s="87" t="s">
        <v>2</v>
      </c>
      <c r="U250" s="88">
        <f>IF(S250&gt;0,IF(RIGHT(Ruimtestaat[[#This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50" s="88">
        <f>IF(U250&gt;0,VLOOKUP($K250,Ruimtegroepen[],3,FALSE)*VLOOKUP($M250,Vloersoorten[],3,FALSE)*VLOOKUP($T250,Frequenties[],3,FALSE)*VLOOKUP($A250,Locaties[],3,FALSE),0)</f>
        <v>0</v>
      </c>
      <c r="W250" s="89">
        <f>Ruimtestaat[[#This Row],[Uitvoeringen werkdagen]]*Ruimtestaat[[#This Row],[Oppervlak (netto)]]</f>
        <v>16840</v>
      </c>
      <c r="X250" s="90">
        <f>IF(V250&gt;0,Ruimtestaat[[#This Row],[Prest. (m2 /jaar) werkdagen]]/Ruimtestaat[[#This Row],[Norm (m2/uur) werkdagen]],0)</f>
        <v>0</v>
      </c>
      <c r="Y250" s="91">
        <f>Ruimtestaat[[#This Row],[uren / jaar werkdagen]]*Tariefsopbouw!$E$35</f>
        <v>0</v>
      </c>
      <c r="Z250" s="88"/>
      <c r="AA250" s="92">
        <f>IF(Ruimtestaat[[#This Row],[Frequentie weekend]]&gt;0,VALUE(LEFT(Z250,1))*S250,0)</f>
        <v>0</v>
      </c>
      <c r="AB250" s="88">
        <f>IF($AA250&gt;0,VLOOKUP($K250,Ruimtegroepen[],3,FALSE)*VLOOKUP($M250,Vloersoorten[],3,FALSE)*VLOOKUP($Z250,Frequenties[],3,FALSE)*VLOOKUP(#REF!,Locaties[],3,FALSE),0)</f>
        <v>0</v>
      </c>
      <c r="AC250" s="90">
        <f>Ruimtestaat[[#This Row],[Uitvoeringen weekend]]*Ruimtestaat[[#This Row],[Oppervlak (netto)]]</f>
        <v>0</v>
      </c>
      <c r="AD250" s="93">
        <f>IF(AC250&gt;0,Ruimtestaat[[#This Row],[Prest. (m2 /jaar) weekend]]/Ruimtestaat[[#This Row],[Norm (m2/uur) weekend]],0)</f>
        <v>0</v>
      </c>
      <c r="AE250" s="94">
        <f>Ruimtestaat[[#This Row],[uren / jaar weekend]]*Tariefsopbouw!$D$40</f>
        <v>0</v>
      </c>
      <c r="AF250" s="66">
        <f>Ruimtestaat[[#This Row],[Prest. (m2 /jaar) weekend]]+Ruimtestaat[[#This Row],[Prest. (m2 /jaar) werkdagen]]</f>
        <v>16840</v>
      </c>
      <c r="AG250" s="66">
        <f>Ruimtestaat[[#This Row],[uren / jaar weekend]]+Ruimtestaat[[#This Row],[uren / jaar werkdagen]]</f>
        <v>0</v>
      </c>
      <c r="AH250" s="67">
        <f>Ruimtestaat[[#This Row],[kosten / jaar weekend]]+Ruimtestaat[[#This Row],[kosten / jaar werkdagen]]</f>
        <v>0</v>
      </c>
    </row>
    <row r="251" spans="1:34" ht="15" customHeight="1">
      <c r="A251" s="112">
        <v>2</v>
      </c>
      <c r="B251" s="23" t="str">
        <f>VLOOKUP(Ruimtestaat[[#This Row],[Code]],Locaties[#All],2,FALSE)</f>
        <v>RSG Slingerbos</v>
      </c>
      <c r="C251" s="23" t="str">
        <f>VLOOKUP(Ruimtestaat[[#This Row],[Code]],Locaties[#All],4,FALSE)</f>
        <v>Eisenhowerlaan 59</v>
      </c>
      <c r="D251" s="23" t="str">
        <f>VLOOKUP(Ruimtestaat[[#This Row],[Code]],Locaties[#All],5,FALSE)</f>
        <v>3844 AS</v>
      </c>
      <c r="E251" s="23" t="str">
        <f>VLOOKUP(Ruimtestaat[[#This Row],[Code]],Locaties[#All],6,FALSE)</f>
        <v>Harderwijk</v>
      </c>
      <c r="F251" s="23"/>
      <c r="G251" s="60" t="s">
        <v>940</v>
      </c>
      <c r="H251" s="23" t="s">
        <v>535</v>
      </c>
      <c r="I251" s="23" t="s">
        <v>773</v>
      </c>
      <c r="J251" s="3" t="s">
        <v>1058</v>
      </c>
      <c r="K251" s="23">
        <v>23</v>
      </c>
      <c r="L251" s="60" t="str">
        <f>VLOOKUP(K251,Ruimtegroepen[],2,FALSE)</f>
        <v>Niet in onderhoud</v>
      </c>
      <c r="M251" s="23" t="s">
        <v>112</v>
      </c>
      <c r="N251" s="23" t="s">
        <v>1097</v>
      </c>
      <c r="O251" s="86"/>
      <c r="P251" s="86">
        <v>4.5999999999999996</v>
      </c>
      <c r="Q251" s="95" t="str">
        <f>LEFT(VLOOKUP(Ruimtestaat[[#This Row],[Ruimte code]],Ruimtegroepen[#All],4,1),2)</f>
        <v/>
      </c>
      <c r="R251" s="95"/>
      <c r="S251" s="87"/>
      <c r="T251" s="87"/>
      <c r="U251" s="88">
        <f>IF(S251&gt;0,IF(RIGHT(Ruimtestaat[[#This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251" s="88">
        <f>IF(U251&gt;0,VLOOKUP($K251,Ruimtegroepen[],3,FALSE)*VLOOKUP($M251,Vloersoorten[],3,FALSE)*VLOOKUP($T251,Frequenties[],3,FALSE)*VLOOKUP($A251,Locaties[],3,FALSE),0)</f>
        <v>0</v>
      </c>
      <c r="W251" s="89">
        <f>Ruimtestaat[[#This Row],[Uitvoeringen werkdagen]]*Ruimtestaat[[#This Row],[Oppervlak (netto)]]</f>
        <v>0</v>
      </c>
      <c r="X251" s="90">
        <f>IF(V251&gt;0,Ruimtestaat[[#This Row],[Prest. (m2 /jaar) werkdagen]]/Ruimtestaat[[#This Row],[Norm (m2/uur) werkdagen]],0)</f>
        <v>0</v>
      </c>
      <c r="Y251" s="91">
        <f>Ruimtestaat[[#This Row],[uren / jaar werkdagen]]*Tariefsopbouw!$E$35</f>
        <v>0</v>
      </c>
      <c r="Z251" s="88"/>
      <c r="AA251" s="92">
        <f>IF(Ruimtestaat[[#This Row],[Frequentie weekend]]&gt;0,VALUE(LEFT(Z251,1))*S251,0)</f>
        <v>0</v>
      </c>
      <c r="AB251" s="88">
        <f>IF($AA251&gt;0,VLOOKUP($K251,Ruimtegroepen[],3,FALSE)*VLOOKUP($M251,Vloersoorten[],3,FALSE)*VLOOKUP($Z251,Frequenties[],3,FALSE)*VLOOKUP(#REF!,Locaties[],3,FALSE),0)</f>
        <v>0</v>
      </c>
      <c r="AC251" s="90">
        <f>Ruimtestaat[[#This Row],[Uitvoeringen weekend]]*Ruimtestaat[[#This Row],[Oppervlak (netto)]]</f>
        <v>0</v>
      </c>
      <c r="AD251" s="93">
        <f>IF(AC251&gt;0,Ruimtestaat[[#This Row],[Prest. (m2 /jaar) weekend]]/Ruimtestaat[[#This Row],[Norm (m2/uur) weekend]],0)</f>
        <v>0</v>
      </c>
      <c r="AE251" s="94">
        <f>Ruimtestaat[[#This Row],[uren / jaar weekend]]*Tariefsopbouw!$D$40</f>
        <v>0</v>
      </c>
      <c r="AF251" s="66">
        <f>Ruimtestaat[[#This Row],[Prest. (m2 /jaar) weekend]]+Ruimtestaat[[#This Row],[Prest. (m2 /jaar) werkdagen]]</f>
        <v>0</v>
      </c>
      <c r="AG251" s="66">
        <f>Ruimtestaat[[#This Row],[uren / jaar weekend]]+Ruimtestaat[[#This Row],[uren / jaar werkdagen]]</f>
        <v>0</v>
      </c>
      <c r="AH251" s="67">
        <f>Ruimtestaat[[#This Row],[kosten / jaar weekend]]+Ruimtestaat[[#This Row],[kosten / jaar werkdagen]]</f>
        <v>0</v>
      </c>
    </row>
    <row r="252" spans="1:34" ht="15" customHeight="1">
      <c r="A252" s="112">
        <v>2</v>
      </c>
      <c r="B252" s="23" t="str">
        <f>VLOOKUP(Ruimtestaat[[#This Row],[Code]],Locaties[#All],2,FALSE)</f>
        <v>RSG Slingerbos</v>
      </c>
      <c r="C252" s="23" t="str">
        <f>VLOOKUP(Ruimtestaat[[#This Row],[Code]],Locaties[#All],4,FALSE)</f>
        <v>Eisenhowerlaan 59</v>
      </c>
      <c r="D252" s="23" t="str">
        <f>VLOOKUP(Ruimtestaat[[#This Row],[Code]],Locaties[#All],5,FALSE)</f>
        <v>3844 AS</v>
      </c>
      <c r="E252" s="23" t="str">
        <f>VLOOKUP(Ruimtestaat[[#This Row],[Code]],Locaties[#All],6,FALSE)</f>
        <v>Harderwijk</v>
      </c>
      <c r="F252" s="23"/>
      <c r="G252" s="60" t="s">
        <v>941</v>
      </c>
      <c r="H252" s="23" t="s">
        <v>535</v>
      </c>
      <c r="I252" s="23" t="s">
        <v>773</v>
      </c>
      <c r="J252" s="3" t="s">
        <v>1056</v>
      </c>
      <c r="K252" s="23">
        <v>16</v>
      </c>
      <c r="L252" s="60" t="str">
        <f>VLOOKUP(K252,Ruimtegroepen[],2,FALSE)</f>
        <v>Leslokalen theorie</v>
      </c>
      <c r="M252" s="23" t="s">
        <v>112</v>
      </c>
      <c r="N252" s="23" t="s">
        <v>1090</v>
      </c>
      <c r="O252" s="86">
        <v>38.6</v>
      </c>
      <c r="P252" s="86"/>
      <c r="Q252" s="95" t="str">
        <f>LEFT(VLOOKUP(Ruimtestaat[[#This Row],[Ruimte code]],Ruimtegroepen[#All],4,1),2)</f>
        <v xml:space="preserve">L </v>
      </c>
      <c r="R252" s="95"/>
      <c r="S252" s="87">
        <v>40</v>
      </c>
      <c r="T252" s="87" t="s">
        <v>2</v>
      </c>
      <c r="U252" s="88">
        <f>IF(S252&gt;0,IF(RIGHT(Ruimtestaat[[#This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52" s="88">
        <f>IF(U252&gt;0,VLOOKUP($K252,Ruimtegroepen[],3,FALSE)*VLOOKUP($M252,Vloersoorten[],3,FALSE)*VLOOKUP($T252,Frequenties[],3,FALSE)*VLOOKUP($A252,Locaties[],3,FALSE),0)</f>
        <v>0</v>
      </c>
      <c r="W252" s="89">
        <f>Ruimtestaat[[#This Row],[Uitvoeringen werkdagen]]*Ruimtestaat[[#This Row],[Oppervlak (netto)]]</f>
        <v>7720</v>
      </c>
      <c r="X252" s="90">
        <f>IF(V252&gt;0,Ruimtestaat[[#This Row],[Prest. (m2 /jaar) werkdagen]]/Ruimtestaat[[#This Row],[Norm (m2/uur) werkdagen]],0)</f>
        <v>0</v>
      </c>
      <c r="Y252" s="91">
        <f>Ruimtestaat[[#This Row],[uren / jaar werkdagen]]*Tariefsopbouw!$E$35</f>
        <v>0</v>
      </c>
      <c r="Z252" s="88"/>
      <c r="AA252" s="92">
        <f>IF(Ruimtestaat[[#This Row],[Frequentie weekend]]&gt;0,VALUE(LEFT(Z252,1))*S252,0)</f>
        <v>0</v>
      </c>
      <c r="AB252" s="88">
        <f>IF($AA252&gt;0,VLOOKUP($K252,Ruimtegroepen[],3,FALSE)*VLOOKUP($M252,Vloersoorten[],3,FALSE)*VLOOKUP($Z252,Frequenties[],3,FALSE)*VLOOKUP(#REF!,Locaties[],3,FALSE),0)</f>
        <v>0</v>
      </c>
      <c r="AC252" s="90">
        <f>Ruimtestaat[[#This Row],[Uitvoeringen weekend]]*Ruimtestaat[[#This Row],[Oppervlak (netto)]]</f>
        <v>0</v>
      </c>
      <c r="AD252" s="93">
        <f>IF(AC252&gt;0,Ruimtestaat[[#This Row],[Prest. (m2 /jaar) weekend]]/Ruimtestaat[[#This Row],[Norm (m2/uur) weekend]],0)</f>
        <v>0</v>
      </c>
      <c r="AE252" s="94">
        <f>Ruimtestaat[[#This Row],[uren / jaar weekend]]*Tariefsopbouw!$D$40</f>
        <v>0</v>
      </c>
      <c r="AF252" s="66">
        <f>Ruimtestaat[[#This Row],[Prest. (m2 /jaar) weekend]]+Ruimtestaat[[#This Row],[Prest. (m2 /jaar) werkdagen]]</f>
        <v>7720</v>
      </c>
      <c r="AG252" s="66">
        <f>Ruimtestaat[[#This Row],[uren / jaar weekend]]+Ruimtestaat[[#This Row],[uren / jaar werkdagen]]</f>
        <v>0</v>
      </c>
      <c r="AH252" s="67">
        <f>Ruimtestaat[[#This Row],[kosten / jaar weekend]]+Ruimtestaat[[#This Row],[kosten / jaar werkdagen]]</f>
        <v>0</v>
      </c>
    </row>
    <row r="253" spans="1:34" ht="15" customHeight="1">
      <c r="A253" s="112">
        <v>2</v>
      </c>
      <c r="B253" s="23" t="str">
        <f>VLOOKUP(Ruimtestaat[[#This Row],[Code]],Locaties[#All],2,FALSE)</f>
        <v>RSG Slingerbos</v>
      </c>
      <c r="C253" s="23" t="str">
        <f>VLOOKUP(Ruimtestaat[[#This Row],[Code]],Locaties[#All],4,FALSE)</f>
        <v>Eisenhowerlaan 59</v>
      </c>
      <c r="D253" s="23" t="str">
        <f>VLOOKUP(Ruimtestaat[[#This Row],[Code]],Locaties[#All],5,FALSE)</f>
        <v>3844 AS</v>
      </c>
      <c r="E253" s="23" t="str">
        <f>VLOOKUP(Ruimtestaat[[#This Row],[Code]],Locaties[#All],6,FALSE)</f>
        <v>Harderwijk</v>
      </c>
      <c r="F253" s="23"/>
      <c r="G253" s="60" t="s">
        <v>493</v>
      </c>
      <c r="H253" s="23" t="s">
        <v>535</v>
      </c>
      <c r="I253" s="23">
        <v>14</v>
      </c>
      <c r="J253" s="3" t="s">
        <v>1057</v>
      </c>
      <c r="K253" s="23">
        <v>14</v>
      </c>
      <c r="L253" s="60" t="str">
        <f>VLOOKUP(K253,Ruimtegroepen[],2,FALSE)</f>
        <v>Praktijklokalen binas/zorg</v>
      </c>
      <c r="M253" s="23" t="s">
        <v>112</v>
      </c>
      <c r="N253" s="23" t="s">
        <v>1090</v>
      </c>
      <c r="O253" s="86">
        <v>83.4</v>
      </c>
      <c r="P253" s="86"/>
      <c r="Q253" s="95" t="str">
        <f>LEFT(VLOOKUP(Ruimtestaat[[#This Row],[Ruimte code]],Ruimtegroepen[#All],4,1),2)</f>
        <v xml:space="preserve">L </v>
      </c>
      <c r="R253" s="95"/>
      <c r="S253" s="87">
        <v>40</v>
      </c>
      <c r="T253" s="87" t="s">
        <v>2</v>
      </c>
      <c r="U253" s="88">
        <f>IF(S253&gt;0,IF(RIGHT(Ruimtestaat[[#This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53" s="88">
        <f>IF(U253&gt;0,VLOOKUP($K253,Ruimtegroepen[],3,FALSE)*VLOOKUP($M253,Vloersoorten[],3,FALSE)*VLOOKUP($T253,Frequenties[],3,FALSE)*VLOOKUP($A253,Locaties[],3,FALSE),0)</f>
        <v>0</v>
      </c>
      <c r="W253" s="89">
        <f>Ruimtestaat[[#This Row],[Uitvoeringen werkdagen]]*Ruimtestaat[[#This Row],[Oppervlak (netto)]]</f>
        <v>16680</v>
      </c>
      <c r="X253" s="90">
        <f>IF(V253&gt;0,Ruimtestaat[[#This Row],[Prest. (m2 /jaar) werkdagen]]/Ruimtestaat[[#This Row],[Norm (m2/uur) werkdagen]],0)</f>
        <v>0</v>
      </c>
      <c r="Y253" s="91">
        <f>Ruimtestaat[[#This Row],[uren / jaar werkdagen]]*Tariefsopbouw!$E$35</f>
        <v>0</v>
      </c>
      <c r="Z253" s="88"/>
      <c r="AA253" s="92">
        <f>IF(Ruimtestaat[[#This Row],[Frequentie weekend]]&gt;0,VALUE(LEFT(Z253,1))*S253,0)</f>
        <v>0</v>
      </c>
      <c r="AB253" s="88">
        <f>IF($AA253&gt;0,VLOOKUP($K253,Ruimtegroepen[],3,FALSE)*VLOOKUP($M253,Vloersoorten[],3,FALSE)*VLOOKUP($Z253,Frequenties[],3,FALSE)*VLOOKUP(#REF!,Locaties[],3,FALSE),0)</f>
        <v>0</v>
      </c>
      <c r="AC253" s="90">
        <f>Ruimtestaat[[#This Row],[Uitvoeringen weekend]]*Ruimtestaat[[#This Row],[Oppervlak (netto)]]</f>
        <v>0</v>
      </c>
      <c r="AD253" s="93">
        <f>IF(AC253&gt;0,Ruimtestaat[[#This Row],[Prest. (m2 /jaar) weekend]]/Ruimtestaat[[#This Row],[Norm (m2/uur) weekend]],0)</f>
        <v>0</v>
      </c>
      <c r="AE253" s="94">
        <f>Ruimtestaat[[#This Row],[uren / jaar weekend]]*Tariefsopbouw!$D$40</f>
        <v>0</v>
      </c>
      <c r="AF253" s="66">
        <f>Ruimtestaat[[#This Row],[Prest. (m2 /jaar) weekend]]+Ruimtestaat[[#This Row],[Prest. (m2 /jaar) werkdagen]]</f>
        <v>16680</v>
      </c>
      <c r="AG253" s="66">
        <f>Ruimtestaat[[#This Row],[uren / jaar weekend]]+Ruimtestaat[[#This Row],[uren / jaar werkdagen]]</f>
        <v>0</v>
      </c>
      <c r="AH253" s="67">
        <f>Ruimtestaat[[#This Row],[kosten / jaar weekend]]+Ruimtestaat[[#This Row],[kosten / jaar werkdagen]]</f>
        <v>0</v>
      </c>
    </row>
    <row r="254" spans="1:34" ht="15" customHeight="1">
      <c r="A254" s="112">
        <v>2</v>
      </c>
      <c r="B254" s="23" t="str">
        <f>VLOOKUP(Ruimtestaat[[#This Row],[Code]],Locaties[#All],2,FALSE)</f>
        <v>RSG Slingerbos</v>
      </c>
      <c r="C254" s="23" t="str">
        <f>VLOOKUP(Ruimtestaat[[#This Row],[Code]],Locaties[#All],4,FALSE)</f>
        <v>Eisenhowerlaan 59</v>
      </c>
      <c r="D254" s="23" t="str">
        <f>VLOOKUP(Ruimtestaat[[#This Row],[Code]],Locaties[#All],5,FALSE)</f>
        <v>3844 AS</v>
      </c>
      <c r="E254" s="23" t="str">
        <f>VLOOKUP(Ruimtestaat[[#This Row],[Code]],Locaties[#All],6,FALSE)</f>
        <v>Harderwijk</v>
      </c>
      <c r="F254" s="23"/>
      <c r="G254" s="60" t="s">
        <v>942</v>
      </c>
      <c r="H254" s="23" t="s">
        <v>535</v>
      </c>
      <c r="I254" s="23" t="s">
        <v>774</v>
      </c>
      <c r="J254" s="3" t="s">
        <v>1056</v>
      </c>
      <c r="K254" s="23">
        <v>16</v>
      </c>
      <c r="L254" s="60" t="str">
        <f>VLOOKUP(K254,Ruimtegroepen[],2,FALSE)</f>
        <v>Leslokalen theorie</v>
      </c>
      <c r="M254" s="23" t="s">
        <v>112</v>
      </c>
      <c r="N254" s="23" t="s">
        <v>1090</v>
      </c>
      <c r="O254" s="86">
        <v>38.9</v>
      </c>
      <c r="P254" s="86"/>
      <c r="Q254" s="95" t="str">
        <f>LEFT(VLOOKUP(Ruimtestaat[[#This Row],[Ruimte code]],Ruimtegroepen[#All],4,1),2)</f>
        <v xml:space="preserve">L </v>
      </c>
      <c r="R254" s="95"/>
      <c r="S254" s="87">
        <v>40</v>
      </c>
      <c r="T254" s="87" t="s">
        <v>2</v>
      </c>
      <c r="U254" s="88">
        <f>IF(S254&gt;0,IF(RIGHT(Ruimtestaat[[#This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54" s="88">
        <f>IF(U254&gt;0,VLOOKUP($K254,Ruimtegroepen[],3,FALSE)*VLOOKUP($M254,Vloersoorten[],3,FALSE)*VLOOKUP($T254,Frequenties[],3,FALSE)*VLOOKUP($A254,Locaties[],3,FALSE),0)</f>
        <v>0</v>
      </c>
      <c r="W254" s="89">
        <f>Ruimtestaat[[#This Row],[Uitvoeringen werkdagen]]*Ruimtestaat[[#This Row],[Oppervlak (netto)]]</f>
        <v>7780</v>
      </c>
      <c r="X254" s="90">
        <f>IF(V254&gt;0,Ruimtestaat[[#This Row],[Prest. (m2 /jaar) werkdagen]]/Ruimtestaat[[#This Row],[Norm (m2/uur) werkdagen]],0)</f>
        <v>0</v>
      </c>
      <c r="Y254" s="91">
        <f>Ruimtestaat[[#This Row],[uren / jaar werkdagen]]*Tariefsopbouw!$E$35</f>
        <v>0</v>
      </c>
      <c r="Z254" s="88"/>
      <c r="AA254" s="92">
        <f>IF(Ruimtestaat[[#This Row],[Frequentie weekend]]&gt;0,VALUE(LEFT(Z254,1))*S254,0)</f>
        <v>0</v>
      </c>
      <c r="AB254" s="88">
        <f>IF($AA254&gt;0,VLOOKUP($K254,Ruimtegroepen[],3,FALSE)*VLOOKUP($M254,Vloersoorten[],3,FALSE)*VLOOKUP($Z254,Frequenties[],3,FALSE)*VLOOKUP(#REF!,Locaties[],3,FALSE),0)</f>
        <v>0</v>
      </c>
      <c r="AC254" s="90">
        <f>Ruimtestaat[[#This Row],[Uitvoeringen weekend]]*Ruimtestaat[[#This Row],[Oppervlak (netto)]]</f>
        <v>0</v>
      </c>
      <c r="AD254" s="93">
        <f>IF(AC254&gt;0,Ruimtestaat[[#This Row],[Prest. (m2 /jaar) weekend]]/Ruimtestaat[[#This Row],[Norm (m2/uur) weekend]],0)</f>
        <v>0</v>
      </c>
      <c r="AE254" s="94">
        <f>Ruimtestaat[[#This Row],[uren / jaar weekend]]*Tariefsopbouw!$D$40</f>
        <v>0</v>
      </c>
      <c r="AF254" s="66">
        <f>Ruimtestaat[[#This Row],[Prest. (m2 /jaar) weekend]]+Ruimtestaat[[#This Row],[Prest. (m2 /jaar) werkdagen]]</f>
        <v>7780</v>
      </c>
      <c r="AG254" s="66">
        <f>Ruimtestaat[[#This Row],[uren / jaar weekend]]+Ruimtestaat[[#This Row],[uren / jaar werkdagen]]</f>
        <v>0</v>
      </c>
      <c r="AH254" s="67">
        <f>Ruimtestaat[[#This Row],[kosten / jaar weekend]]+Ruimtestaat[[#This Row],[kosten / jaar werkdagen]]</f>
        <v>0</v>
      </c>
    </row>
    <row r="255" spans="1:34" ht="15" customHeight="1">
      <c r="A255" s="112">
        <v>2</v>
      </c>
      <c r="B255" s="23" t="str">
        <f>VLOOKUP(Ruimtestaat[[#This Row],[Code]],Locaties[#All],2,FALSE)</f>
        <v>RSG Slingerbos</v>
      </c>
      <c r="C255" s="23" t="str">
        <f>VLOOKUP(Ruimtestaat[[#This Row],[Code]],Locaties[#All],4,FALSE)</f>
        <v>Eisenhowerlaan 59</v>
      </c>
      <c r="D255" s="23" t="str">
        <f>VLOOKUP(Ruimtestaat[[#This Row],[Code]],Locaties[#All],5,FALSE)</f>
        <v>3844 AS</v>
      </c>
      <c r="E255" s="23" t="str">
        <f>VLOOKUP(Ruimtestaat[[#This Row],[Code]],Locaties[#All],6,FALSE)</f>
        <v>Harderwijk</v>
      </c>
      <c r="F255" s="23"/>
      <c r="G255" s="60" t="s">
        <v>494</v>
      </c>
      <c r="H255" s="23" t="s">
        <v>535</v>
      </c>
      <c r="I255" s="23">
        <v>16</v>
      </c>
      <c r="J255" s="3" t="s">
        <v>1059</v>
      </c>
      <c r="K255" s="23">
        <v>16</v>
      </c>
      <c r="L255" s="60" t="str">
        <f>VLOOKUP(K255,Ruimtegroepen[],2,FALSE)</f>
        <v>Leslokalen theorie</v>
      </c>
      <c r="M255" s="23" t="s">
        <v>112</v>
      </c>
      <c r="N255" s="23" t="s">
        <v>1090</v>
      </c>
      <c r="O255" s="86">
        <v>68.900000000000006</v>
      </c>
      <c r="P255" s="86"/>
      <c r="Q255" s="95" t="str">
        <f>LEFT(VLOOKUP(Ruimtestaat[[#This Row],[Ruimte code]],Ruimtegroepen[#All],4,1),2)</f>
        <v xml:space="preserve">L </v>
      </c>
      <c r="R255" s="95"/>
      <c r="S255" s="87">
        <v>40</v>
      </c>
      <c r="T255" s="87" t="s">
        <v>2</v>
      </c>
      <c r="U255" s="88">
        <f>IF(S255&gt;0,IF(RIGHT(Ruimtestaat[[#This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55" s="88">
        <f>IF(U255&gt;0,VLOOKUP($K255,Ruimtegroepen[],3,FALSE)*VLOOKUP($M255,Vloersoorten[],3,FALSE)*VLOOKUP($T255,Frequenties[],3,FALSE)*VLOOKUP($A255,Locaties[],3,FALSE),0)</f>
        <v>0</v>
      </c>
      <c r="W255" s="89">
        <f>Ruimtestaat[[#This Row],[Uitvoeringen werkdagen]]*Ruimtestaat[[#This Row],[Oppervlak (netto)]]</f>
        <v>13780.000000000002</v>
      </c>
      <c r="X255" s="90">
        <f>IF(V255&gt;0,Ruimtestaat[[#This Row],[Prest. (m2 /jaar) werkdagen]]/Ruimtestaat[[#This Row],[Norm (m2/uur) werkdagen]],0)</f>
        <v>0</v>
      </c>
      <c r="Y255" s="91">
        <f>Ruimtestaat[[#This Row],[uren / jaar werkdagen]]*Tariefsopbouw!$E$35</f>
        <v>0</v>
      </c>
      <c r="Z255" s="88"/>
      <c r="AA255" s="92">
        <f>IF(Ruimtestaat[[#This Row],[Frequentie weekend]]&gt;0,VALUE(LEFT(Z255,1))*S255,0)</f>
        <v>0</v>
      </c>
      <c r="AB255" s="88">
        <f>IF($AA255&gt;0,VLOOKUP($K255,Ruimtegroepen[],3,FALSE)*VLOOKUP($M255,Vloersoorten[],3,FALSE)*VLOOKUP($Z255,Frequenties[],3,FALSE)*VLOOKUP(#REF!,Locaties[],3,FALSE),0)</f>
        <v>0</v>
      </c>
      <c r="AC255" s="90">
        <f>Ruimtestaat[[#This Row],[Uitvoeringen weekend]]*Ruimtestaat[[#This Row],[Oppervlak (netto)]]</f>
        <v>0</v>
      </c>
      <c r="AD255" s="93">
        <f>IF(AC255&gt;0,Ruimtestaat[[#This Row],[Prest. (m2 /jaar) weekend]]/Ruimtestaat[[#This Row],[Norm (m2/uur) weekend]],0)</f>
        <v>0</v>
      </c>
      <c r="AE255" s="94">
        <f>Ruimtestaat[[#This Row],[uren / jaar weekend]]*Tariefsopbouw!$D$40</f>
        <v>0</v>
      </c>
      <c r="AF255" s="66">
        <f>Ruimtestaat[[#This Row],[Prest. (m2 /jaar) weekend]]+Ruimtestaat[[#This Row],[Prest. (m2 /jaar) werkdagen]]</f>
        <v>13780.000000000002</v>
      </c>
      <c r="AG255" s="66">
        <f>Ruimtestaat[[#This Row],[uren / jaar weekend]]+Ruimtestaat[[#This Row],[uren / jaar werkdagen]]</f>
        <v>0</v>
      </c>
      <c r="AH255" s="67">
        <f>Ruimtestaat[[#This Row],[kosten / jaar weekend]]+Ruimtestaat[[#This Row],[kosten / jaar werkdagen]]</f>
        <v>0</v>
      </c>
    </row>
    <row r="256" spans="1:34" ht="15" customHeight="1">
      <c r="A256" s="112">
        <v>2</v>
      </c>
      <c r="B256" s="23" t="str">
        <f>VLOOKUP(Ruimtestaat[[#This Row],[Code]],Locaties[#All],2,FALSE)</f>
        <v>RSG Slingerbos</v>
      </c>
      <c r="C256" s="23" t="str">
        <f>VLOOKUP(Ruimtestaat[[#This Row],[Code]],Locaties[#All],4,FALSE)</f>
        <v>Eisenhowerlaan 59</v>
      </c>
      <c r="D256" s="23" t="str">
        <f>VLOOKUP(Ruimtestaat[[#This Row],[Code]],Locaties[#All],5,FALSE)</f>
        <v>3844 AS</v>
      </c>
      <c r="E256" s="23" t="str">
        <f>VLOOKUP(Ruimtestaat[[#This Row],[Code]],Locaties[#All],6,FALSE)</f>
        <v>Harderwijk</v>
      </c>
      <c r="F256" s="23"/>
      <c r="G256" s="60" t="s">
        <v>495</v>
      </c>
      <c r="H256" s="23" t="s">
        <v>535</v>
      </c>
      <c r="I256" s="23">
        <v>18</v>
      </c>
      <c r="J256" s="3" t="s">
        <v>1059</v>
      </c>
      <c r="K256" s="23">
        <v>16</v>
      </c>
      <c r="L256" s="60" t="str">
        <f>VLOOKUP(K256,Ruimtegroepen[],2,FALSE)</f>
        <v>Leslokalen theorie</v>
      </c>
      <c r="M256" s="23" t="s">
        <v>112</v>
      </c>
      <c r="N256" s="23" t="s">
        <v>1090</v>
      </c>
      <c r="O256" s="86">
        <v>54.7</v>
      </c>
      <c r="P256" s="86"/>
      <c r="Q256" s="95" t="str">
        <f>LEFT(VLOOKUP(Ruimtestaat[[#This Row],[Ruimte code]],Ruimtegroepen[#All],4,1),2)</f>
        <v xml:space="preserve">L </v>
      </c>
      <c r="R256" s="95"/>
      <c r="S256" s="87">
        <v>40</v>
      </c>
      <c r="T256" s="87" t="s">
        <v>2</v>
      </c>
      <c r="U256" s="88">
        <f>IF(S256&gt;0,IF(RIGHT(Ruimtestaat[[#This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56" s="88">
        <f>IF(U256&gt;0,VLOOKUP($K256,Ruimtegroepen[],3,FALSE)*VLOOKUP($M256,Vloersoorten[],3,FALSE)*VLOOKUP($T256,Frequenties[],3,FALSE)*VLOOKUP($A256,Locaties[],3,FALSE),0)</f>
        <v>0</v>
      </c>
      <c r="W256" s="89">
        <f>Ruimtestaat[[#This Row],[Uitvoeringen werkdagen]]*Ruimtestaat[[#This Row],[Oppervlak (netto)]]</f>
        <v>10940</v>
      </c>
      <c r="X256" s="90">
        <f>IF(V256&gt;0,Ruimtestaat[[#This Row],[Prest. (m2 /jaar) werkdagen]]/Ruimtestaat[[#This Row],[Norm (m2/uur) werkdagen]],0)</f>
        <v>0</v>
      </c>
      <c r="Y256" s="91">
        <f>Ruimtestaat[[#This Row],[uren / jaar werkdagen]]*Tariefsopbouw!$E$35</f>
        <v>0</v>
      </c>
      <c r="Z256" s="88"/>
      <c r="AA256" s="92">
        <f>IF(Ruimtestaat[[#This Row],[Frequentie weekend]]&gt;0,VALUE(LEFT(Z256,1))*S256,0)</f>
        <v>0</v>
      </c>
      <c r="AB256" s="88">
        <f>IF($AA256&gt;0,VLOOKUP($K256,Ruimtegroepen[],3,FALSE)*VLOOKUP($M256,Vloersoorten[],3,FALSE)*VLOOKUP($Z256,Frequenties[],3,FALSE)*VLOOKUP(#REF!,Locaties[],3,FALSE),0)</f>
        <v>0</v>
      </c>
      <c r="AC256" s="90">
        <f>Ruimtestaat[[#This Row],[Uitvoeringen weekend]]*Ruimtestaat[[#This Row],[Oppervlak (netto)]]</f>
        <v>0</v>
      </c>
      <c r="AD256" s="93">
        <f>IF(AC256&gt;0,Ruimtestaat[[#This Row],[Prest. (m2 /jaar) weekend]]/Ruimtestaat[[#This Row],[Norm (m2/uur) weekend]],0)</f>
        <v>0</v>
      </c>
      <c r="AE256" s="94">
        <f>Ruimtestaat[[#This Row],[uren / jaar weekend]]*Tariefsopbouw!$D$40</f>
        <v>0</v>
      </c>
      <c r="AF256" s="66">
        <f>Ruimtestaat[[#This Row],[Prest. (m2 /jaar) weekend]]+Ruimtestaat[[#This Row],[Prest. (m2 /jaar) werkdagen]]</f>
        <v>10940</v>
      </c>
      <c r="AG256" s="66">
        <f>Ruimtestaat[[#This Row],[uren / jaar weekend]]+Ruimtestaat[[#This Row],[uren / jaar werkdagen]]</f>
        <v>0</v>
      </c>
      <c r="AH256" s="67">
        <f>Ruimtestaat[[#This Row],[kosten / jaar weekend]]+Ruimtestaat[[#This Row],[kosten / jaar werkdagen]]</f>
        <v>0</v>
      </c>
    </row>
    <row r="257" spans="1:34" ht="15" customHeight="1">
      <c r="A257" s="112">
        <v>2</v>
      </c>
      <c r="B257" s="23" t="str">
        <f>VLOOKUP(Ruimtestaat[[#This Row],[Code]],Locaties[#All],2,FALSE)</f>
        <v>RSG Slingerbos</v>
      </c>
      <c r="C257" s="23" t="str">
        <f>VLOOKUP(Ruimtestaat[[#This Row],[Code]],Locaties[#All],4,FALSE)</f>
        <v>Eisenhowerlaan 59</v>
      </c>
      <c r="D257" s="23" t="str">
        <f>VLOOKUP(Ruimtestaat[[#This Row],[Code]],Locaties[#All],5,FALSE)</f>
        <v>3844 AS</v>
      </c>
      <c r="E257" s="23" t="str">
        <f>VLOOKUP(Ruimtestaat[[#This Row],[Code]],Locaties[#All],6,FALSE)</f>
        <v>Harderwijk</v>
      </c>
      <c r="F257" s="23"/>
      <c r="G257" s="60" t="s">
        <v>496</v>
      </c>
      <c r="H257" s="23" t="s">
        <v>535</v>
      </c>
      <c r="I257" s="23" t="s">
        <v>775</v>
      </c>
      <c r="J257" s="3" t="s">
        <v>1060</v>
      </c>
      <c r="K257" s="23">
        <v>8</v>
      </c>
      <c r="L257" s="60" t="str">
        <f>VLOOKUP(K257,Ruimtegroepen[],2,FALSE)</f>
        <v>Mediatheek / OLC</v>
      </c>
      <c r="M257" s="23" t="s">
        <v>112</v>
      </c>
      <c r="N257" s="23" t="s">
        <v>1090</v>
      </c>
      <c r="O257" s="86">
        <v>87.6</v>
      </c>
      <c r="P257" s="86"/>
      <c r="Q257" s="95" t="str">
        <f>LEFT(VLOOKUP(Ruimtestaat[[#This Row],[Ruimte code]],Ruimtegroepen[#All],4,1),2)</f>
        <v xml:space="preserve">L </v>
      </c>
      <c r="R257" s="95"/>
      <c r="S257" s="87">
        <v>40</v>
      </c>
      <c r="T257" s="87" t="s">
        <v>2</v>
      </c>
      <c r="U257" s="88">
        <f>IF(S257&gt;0,IF(RIGHT(Ruimtestaat[[#This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57" s="88">
        <f>IF(U257&gt;0,VLOOKUP($K257,Ruimtegroepen[],3,FALSE)*VLOOKUP($M257,Vloersoorten[],3,FALSE)*VLOOKUP($T257,Frequenties[],3,FALSE)*VLOOKUP($A257,Locaties[],3,FALSE),0)</f>
        <v>0</v>
      </c>
      <c r="W257" s="89">
        <f>Ruimtestaat[[#This Row],[Uitvoeringen werkdagen]]*Ruimtestaat[[#This Row],[Oppervlak (netto)]]</f>
        <v>17520</v>
      </c>
      <c r="X257" s="90">
        <f>IF(V257&gt;0,Ruimtestaat[[#This Row],[Prest. (m2 /jaar) werkdagen]]/Ruimtestaat[[#This Row],[Norm (m2/uur) werkdagen]],0)</f>
        <v>0</v>
      </c>
      <c r="Y257" s="91">
        <f>Ruimtestaat[[#This Row],[uren / jaar werkdagen]]*Tariefsopbouw!$E$35</f>
        <v>0</v>
      </c>
      <c r="Z257" s="88"/>
      <c r="AA257" s="92">
        <f>IF(Ruimtestaat[[#This Row],[Frequentie weekend]]&gt;0,VALUE(LEFT(Z257,1))*S257,0)</f>
        <v>0</v>
      </c>
      <c r="AB257" s="88">
        <f>IF($AA257&gt;0,VLOOKUP($K257,Ruimtegroepen[],3,FALSE)*VLOOKUP($M257,Vloersoorten[],3,FALSE)*VLOOKUP($Z257,Frequenties[],3,FALSE)*VLOOKUP(#REF!,Locaties[],3,FALSE),0)</f>
        <v>0</v>
      </c>
      <c r="AC257" s="90">
        <f>Ruimtestaat[[#This Row],[Uitvoeringen weekend]]*Ruimtestaat[[#This Row],[Oppervlak (netto)]]</f>
        <v>0</v>
      </c>
      <c r="AD257" s="93">
        <f>IF(AC257&gt;0,Ruimtestaat[[#This Row],[Prest. (m2 /jaar) weekend]]/Ruimtestaat[[#This Row],[Norm (m2/uur) weekend]],0)</f>
        <v>0</v>
      </c>
      <c r="AE257" s="94">
        <f>Ruimtestaat[[#This Row],[uren / jaar weekend]]*Tariefsopbouw!$D$40</f>
        <v>0</v>
      </c>
      <c r="AF257" s="66">
        <f>Ruimtestaat[[#This Row],[Prest. (m2 /jaar) weekend]]+Ruimtestaat[[#This Row],[Prest. (m2 /jaar) werkdagen]]</f>
        <v>17520</v>
      </c>
      <c r="AG257" s="66">
        <f>Ruimtestaat[[#This Row],[uren / jaar weekend]]+Ruimtestaat[[#This Row],[uren / jaar werkdagen]]</f>
        <v>0</v>
      </c>
      <c r="AH257" s="67">
        <f>Ruimtestaat[[#This Row],[kosten / jaar weekend]]+Ruimtestaat[[#This Row],[kosten / jaar werkdagen]]</f>
        <v>0</v>
      </c>
    </row>
    <row r="258" spans="1:34" ht="15" customHeight="1">
      <c r="A258" s="112">
        <v>2</v>
      </c>
      <c r="B258" s="23" t="str">
        <f>VLOOKUP(Ruimtestaat[[#This Row],[Code]],Locaties[#All],2,FALSE)</f>
        <v>RSG Slingerbos</v>
      </c>
      <c r="C258" s="23" t="str">
        <f>VLOOKUP(Ruimtestaat[[#This Row],[Code]],Locaties[#All],4,FALSE)</f>
        <v>Eisenhowerlaan 59</v>
      </c>
      <c r="D258" s="23" t="str">
        <f>VLOOKUP(Ruimtestaat[[#This Row],[Code]],Locaties[#All],5,FALSE)</f>
        <v>3844 AS</v>
      </c>
      <c r="E258" s="23" t="str">
        <f>VLOOKUP(Ruimtestaat[[#This Row],[Code]],Locaties[#All],6,FALSE)</f>
        <v>Harderwijk</v>
      </c>
      <c r="F258" s="23"/>
      <c r="G258" s="60" t="s">
        <v>497</v>
      </c>
      <c r="H258" s="23" t="s">
        <v>535</v>
      </c>
      <c r="I258" s="23">
        <v>17</v>
      </c>
      <c r="J258" s="3" t="s">
        <v>1061</v>
      </c>
      <c r="K258" s="23">
        <v>8</v>
      </c>
      <c r="L258" s="60" t="str">
        <f>VLOOKUP(K258,Ruimtegroepen[],2,FALSE)</f>
        <v>Mediatheek / OLC</v>
      </c>
      <c r="M258" s="23" t="s">
        <v>112</v>
      </c>
      <c r="N258" s="23" t="s">
        <v>1090</v>
      </c>
      <c r="O258" s="86">
        <v>110.9</v>
      </c>
      <c r="P258" s="86"/>
      <c r="Q258" s="95" t="str">
        <f>LEFT(VLOOKUP(Ruimtestaat[[#This Row],[Ruimte code]],Ruimtegroepen[#All],4,1),2)</f>
        <v xml:space="preserve">L </v>
      </c>
      <c r="R258" s="95"/>
      <c r="S258" s="87">
        <v>40</v>
      </c>
      <c r="T258" s="87" t="s">
        <v>2</v>
      </c>
      <c r="U258" s="88">
        <f>IF(S258&gt;0,IF(RIGHT(Ruimtestaat[[#This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58" s="88">
        <f>IF(U258&gt;0,VLOOKUP($K258,Ruimtegroepen[],3,FALSE)*VLOOKUP($M258,Vloersoorten[],3,FALSE)*VLOOKUP($T258,Frequenties[],3,FALSE)*VLOOKUP($A258,Locaties[],3,FALSE),0)</f>
        <v>0</v>
      </c>
      <c r="W258" s="89">
        <f>Ruimtestaat[[#This Row],[Uitvoeringen werkdagen]]*Ruimtestaat[[#This Row],[Oppervlak (netto)]]</f>
        <v>22180</v>
      </c>
      <c r="X258" s="90">
        <f>IF(V258&gt;0,Ruimtestaat[[#This Row],[Prest. (m2 /jaar) werkdagen]]/Ruimtestaat[[#This Row],[Norm (m2/uur) werkdagen]],0)</f>
        <v>0</v>
      </c>
      <c r="Y258" s="91">
        <f>Ruimtestaat[[#This Row],[uren / jaar werkdagen]]*Tariefsopbouw!$E$35</f>
        <v>0</v>
      </c>
      <c r="Z258" s="88"/>
      <c r="AA258" s="92">
        <f>IF(Ruimtestaat[[#This Row],[Frequentie weekend]]&gt;0,VALUE(LEFT(Z258,1))*S258,0)</f>
        <v>0</v>
      </c>
      <c r="AB258" s="88">
        <f>IF($AA258&gt;0,VLOOKUP($K258,Ruimtegroepen[],3,FALSE)*VLOOKUP($M258,Vloersoorten[],3,FALSE)*VLOOKUP($Z258,Frequenties[],3,FALSE)*VLOOKUP(#REF!,Locaties[],3,FALSE),0)</f>
        <v>0</v>
      </c>
      <c r="AC258" s="90">
        <f>Ruimtestaat[[#This Row],[Uitvoeringen weekend]]*Ruimtestaat[[#This Row],[Oppervlak (netto)]]</f>
        <v>0</v>
      </c>
      <c r="AD258" s="93">
        <f>IF(AC258&gt;0,Ruimtestaat[[#This Row],[Prest. (m2 /jaar) weekend]]/Ruimtestaat[[#This Row],[Norm (m2/uur) weekend]],0)</f>
        <v>0</v>
      </c>
      <c r="AE258" s="94">
        <f>Ruimtestaat[[#This Row],[uren / jaar weekend]]*Tariefsopbouw!$D$40</f>
        <v>0</v>
      </c>
      <c r="AF258" s="66">
        <f>Ruimtestaat[[#This Row],[Prest. (m2 /jaar) weekend]]+Ruimtestaat[[#This Row],[Prest. (m2 /jaar) werkdagen]]</f>
        <v>22180</v>
      </c>
      <c r="AG258" s="66">
        <f>Ruimtestaat[[#This Row],[uren / jaar weekend]]+Ruimtestaat[[#This Row],[uren / jaar werkdagen]]</f>
        <v>0</v>
      </c>
      <c r="AH258" s="67">
        <f>Ruimtestaat[[#This Row],[kosten / jaar weekend]]+Ruimtestaat[[#This Row],[kosten / jaar werkdagen]]</f>
        <v>0</v>
      </c>
    </row>
    <row r="259" spans="1:34" ht="15" customHeight="1">
      <c r="A259" s="112">
        <v>2</v>
      </c>
      <c r="B259" s="23" t="str">
        <f>VLOOKUP(Ruimtestaat[[#This Row],[Code]],Locaties[#All],2,FALSE)</f>
        <v>RSG Slingerbos</v>
      </c>
      <c r="C259" s="23" t="str">
        <f>VLOOKUP(Ruimtestaat[[#This Row],[Code]],Locaties[#All],4,FALSE)</f>
        <v>Eisenhowerlaan 59</v>
      </c>
      <c r="D259" s="23" t="str">
        <f>VLOOKUP(Ruimtestaat[[#This Row],[Code]],Locaties[#All],5,FALSE)</f>
        <v>3844 AS</v>
      </c>
      <c r="E259" s="23" t="str">
        <f>VLOOKUP(Ruimtestaat[[#This Row],[Code]],Locaties[#All],6,FALSE)</f>
        <v>Harderwijk</v>
      </c>
      <c r="F259" s="23"/>
      <c r="G259" s="60"/>
      <c r="H259" s="23" t="s">
        <v>535</v>
      </c>
      <c r="I259" s="23" t="s">
        <v>776</v>
      </c>
      <c r="J259" s="3" t="s">
        <v>1062</v>
      </c>
      <c r="K259" s="23">
        <v>5</v>
      </c>
      <c r="L259" s="60" t="str">
        <f>VLOOKUP(K259,Ruimtegroepen[],2,FALSE)</f>
        <v>Sanitair</v>
      </c>
      <c r="M259" s="23" t="s">
        <v>113</v>
      </c>
      <c r="N259" s="23" t="s">
        <v>1091</v>
      </c>
      <c r="O259" s="86">
        <v>16.2</v>
      </c>
      <c r="P259" s="86"/>
      <c r="Q259" s="95" t="str">
        <f>LEFT(VLOOKUP(Ruimtestaat[[#This Row],[Ruimte code]],Ruimtegroepen[#All],4,1),2)</f>
        <v xml:space="preserve">S </v>
      </c>
      <c r="R259" s="95"/>
      <c r="S259" s="87">
        <v>40</v>
      </c>
      <c r="T259" s="87" t="s">
        <v>2</v>
      </c>
      <c r="U259" s="88">
        <f>IF(S259&gt;0,IF(RIGHT(Ruimtestaat[[#This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59" s="88">
        <f>IF(U259&gt;0,VLOOKUP($K259,Ruimtegroepen[],3,FALSE)*VLOOKUP($M259,Vloersoorten[],3,FALSE)*VLOOKUP($T259,Frequenties[],3,FALSE)*VLOOKUP($A259,Locaties[],3,FALSE),0)</f>
        <v>0</v>
      </c>
      <c r="W259" s="89">
        <f>Ruimtestaat[[#This Row],[Uitvoeringen werkdagen]]*Ruimtestaat[[#This Row],[Oppervlak (netto)]]</f>
        <v>3240</v>
      </c>
      <c r="X259" s="90">
        <f>IF(V259&gt;0,Ruimtestaat[[#This Row],[Prest. (m2 /jaar) werkdagen]]/Ruimtestaat[[#This Row],[Norm (m2/uur) werkdagen]],0)</f>
        <v>0</v>
      </c>
      <c r="Y259" s="91">
        <f>Ruimtestaat[[#This Row],[uren / jaar werkdagen]]*Tariefsopbouw!$E$35</f>
        <v>0</v>
      </c>
      <c r="Z259" s="88"/>
      <c r="AA259" s="92">
        <f>IF(Ruimtestaat[[#This Row],[Frequentie weekend]]&gt;0,VALUE(LEFT(Z259,1))*S259,0)</f>
        <v>0</v>
      </c>
      <c r="AB259" s="88">
        <f>IF($AA259&gt;0,VLOOKUP($K259,Ruimtegroepen[],3,FALSE)*VLOOKUP($M259,Vloersoorten[],3,FALSE)*VLOOKUP($Z259,Frequenties[],3,FALSE)*VLOOKUP(#REF!,Locaties[],3,FALSE),0)</f>
        <v>0</v>
      </c>
      <c r="AC259" s="90">
        <f>Ruimtestaat[[#This Row],[Uitvoeringen weekend]]*Ruimtestaat[[#This Row],[Oppervlak (netto)]]</f>
        <v>0</v>
      </c>
      <c r="AD259" s="93">
        <f>IF(AC259&gt;0,Ruimtestaat[[#This Row],[Prest. (m2 /jaar) weekend]]/Ruimtestaat[[#This Row],[Norm (m2/uur) weekend]],0)</f>
        <v>0</v>
      </c>
      <c r="AE259" s="94">
        <f>Ruimtestaat[[#This Row],[uren / jaar weekend]]*Tariefsopbouw!$D$40</f>
        <v>0</v>
      </c>
      <c r="AF259" s="66">
        <f>Ruimtestaat[[#This Row],[Prest. (m2 /jaar) weekend]]+Ruimtestaat[[#This Row],[Prest. (m2 /jaar) werkdagen]]</f>
        <v>3240</v>
      </c>
      <c r="AG259" s="66">
        <f>Ruimtestaat[[#This Row],[uren / jaar weekend]]+Ruimtestaat[[#This Row],[uren / jaar werkdagen]]</f>
        <v>0</v>
      </c>
      <c r="AH259" s="67">
        <f>Ruimtestaat[[#This Row],[kosten / jaar weekend]]+Ruimtestaat[[#This Row],[kosten / jaar werkdagen]]</f>
        <v>0</v>
      </c>
    </row>
    <row r="260" spans="1:34" ht="15" customHeight="1">
      <c r="A260" s="112">
        <v>2</v>
      </c>
      <c r="B260" s="23" t="str">
        <f>VLOOKUP(Ruimtestaat[[#This Row],[Code]],Locaties[#All],2,FALSE)</f>
        <v>RSG Slingerbos</v>
      </c>
      <c r="C260" s="23" t="str">
        <f>VLOOKUP(Ruimtestaat[[#This Row],[Code]],Locaties[#All],4,FALSE)</f>
        <v>Eisenhowerlaan 59</v>
      </c>
      <c r="D260" s="23" t="str">
        <f>VLOOKUP(Ruimtestaat[[#This Row],[Code]],Locaties[#All],5,FALSE)</f>
        <v>3844 AS</v>
      </c>
      <c r="E260" s="23" t="str">
        <f>VLOOKUP(Ruimtestaat[[#This Row],[Code]],Locaties[#All],6,FALSE)</f>
        <v>Harderwijk</v>
      </c>
      <c r="F260" s="23"/>
      <c r="G260" s="60"/>
      <c r="H260" s="23" t="s">
        <v>535</v>
      </c>
      <c r="I260" s="23" t="s">
        <v>777</v>
      </c>
      <c r="J260" s="3" t="s">
        <v>1063</v>
      </c>
      <c r="K260" s="23">
        <v>5</v>
      </c>
      <c r="L260" s="60" t="str">
        <f>VLOOKUP(K260,Ruimtegroepen[],2,FALSE)</f>
        <v>Sanitair</v>
      </c>
      <c r="M260" s="23" t="s">
        <v>113</v>
      </c>
      <c r="N260" s="23" t="s">
        <v>1091</v>
      </c>
      <c r="O260" s="86">
        <v>16</v>
      </c>
      <c r="P260" s="86"/>
      <c r="Q260" s="95" t="str">
        <f>LEFT(VLOOKUP(Ruimtestaat[[#This Row],[Ruimte code]],Ruimtegroepen[#All],4,1),2)</f>
        <v xml:space="preserve">S </v>
      </c>
      <c r="R260" s="95"/>
      <c r="S260" s="87">
        <v>40</v>
      </c>
      <c r="T260" s="87" t="s">
        <v>2</v>
      </c>
      <c r="U260" s="88">
        <f>IF(S260&gt;0,IF(RIGHT(Ruimtestaat[[#This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60" s="88">
        <f>IF(U260&gt;0,VLOOKUP($K260,Ruimtegroepen[],3,FALSE)*VLOOKUP($M260,Vloersoorten[],3,FALSE)*VLOOKUP($T260,Frequenties[],3,FALSE)*VLOOKUP($A260,Locaties[],3,FALSE),0)</f>
        <v>0</v>
      </c>
      <c r="W260" s="89">
        <f>Ruimtestaat[[#This Row],[Uitvoeringen werkdagen]]*Ruimtestaat[[#This Row],[Oppervlak (netto)]]</f>
        <v>3200</v>
      </c>
      <c r="X260" s="90">
        <f>IF(V260&gt;0,Ruimtestaat[[#This Row],[Prest. (m2 /jaar) werkdagen]]/Ruimtestaat[[#This Row],[Norm (m2/uur) werkdagen]],0)</f>
        <v>0</v>
      </c>
      <c r="Y260" s="91">
        <f>Ruimtestaat[[#This Row],[uren / jaar werkdagen]]*Tariefsopbouw!$E$35</f>
        <v>0</v>
      </c>
      <c r="Z260" s="88"/>
      <c r="AA260" s="92">
        <f>IF(Ruimtestaat[[#This Row],[Frequentie weekend]]&gt;0,VALUE(LEFT(Z260,1))*S260,0)</f>
        <v>0</v>
      </c>
      <c r="AB260" s="88">
        <f>IF($AA260&gt;0,VLOOKUP($K260,Ruimtegroepen[],3,FALSE)*VLOOKUP($M260,Vloersoorten[],3,FALSE)*VLOOKUP($Z260,Frequenties[],3,FALSE)*VLOOKUP(#REF!,Locaties[],3,FALSE),0)</f>
        <v>0</v>
      </c>
      <c r="AC260" s="90">
        <f>Ruimtestaat[[#This Row],[Uitvoeringen weekend]]*Ruimtestaat[[#This Row],[Oppervlak (netto)]]</f>
        <v>0</v>
      </c>
      <c r="AD260" s="93">
        <f>IF(AC260&gt;0,Ruimtestaat[[#This Row],[Prest. (m2 /jaar) weekend]]/Ruimtestaat[[#This Row],[Norm (m2/uur) weekend]],0)</f>
        <v>0</v>
      </c>
      <c r="AE260" s="94">
        <f>Ruimtestaat[[#This Row],[uren / jaar weekend]]*Tariefsopbouw!$D$40</f>
        <v>0</v>
      </c>
      <c r="AF260" s="66">
        <f>Ruimtestaat[[#This Row],[Prest. (m2 /jaar) weekend]]+Ruimtestaat[[#This Row],[Prest. (m2 /jaar) werkdagen]]</f>
        <v>3200</v>
      </c>
      <c r="AG260" s="66">
        <f>Ruimtestaat[[#This Row],[uren / jaar weekend]]+Ruimtestaat[[#This Row],[uren / jaar werkdagen]]</f>
        <v>0</v>
      </c>
      <c r="AH260" s="67">
        <f>Ruimtestaat[[#This Row],[kosten / jaar weekend]]+Ruimtestaat[[#This Row],[kosten / jaar werkdagen]]</f>
        <v>0</v>
      </c>
    </row>
    <row r="261" spans="1:34" ht="15" customHeight="1">
      <c r="A261" s="112">
        <v>2</v>
      </c>
      <c r="B261" s="23" t="str">
        <f>VLOOKUP(Ruimtestaat[[#This Row],[Code]],Locaties[#All],2,FALSE)</f>
        <v>RSG Slingerbos</v>
      </c>
      <c r="C261" s="23" t="str">
        <f>VLOOKUP(Ruimtestaat[[#This Row],[Code]],Locaties[#All],4,FALSE)</f>
        <v>Eisenhowerlaan 59</v>
      </c>
      <c r="D261" s="23" t="str">
        <f>VLOOKUP(Ruimtestaat[[#This Row],[Code]],Locaties[#All],5,FALSE)</f>
        <v>3844 AS</v>
      </c>
      <c r="E261" s="23" t="str">
        <f>VLOOKUP(Ruimtestaat[[#This Row],[Code]],Locaties[#All],6,FALSE)</f>
        <v>Harderwijk</v>
      </c>
      <c r="F261" s="23"/>
      <c r="G261" s="60"/>
      <c r="H261" s="23" t="s">
        <v>535</v>
      </c>
      <c r="I261" s="23" t="s">
        <v>778</v>
      </c>
      <c r="J261" s="3" t="s">
        <v>1064</v>
      </c>
      <c r="K261" s="23">
        <v>23</v>
      </c>
      <c r="L261" s="60" t="str">
        <f>VLOOKUP(K261,Ruimtegroepen[],2,FALSE)</f>
        <v>Niet in onderhoud</v>
      </c>
      <c r="M261" s="23" t="s">
        <v>112</v>
      </c>
      <c r="N261" s="23" t="s">
        <v>1097</v>
      </c>
      <c r="O261" s="86"/>
      <c r="P261" s="86">
        <v>3.9</v>
      </c>
      <c r="Q261" s="95" t="str">
        <f>LEFT(VLOOKUP(Ruimtestaat[[#This Row],[Ruimte code]],Ruimtegroepen[#All],4,1),2)</f>
        <v/>
      </c>
      <c r="R261" s="95"/>
      <c r="S261" s="87"/>
      <c r="T261" s="87"/>
      <c r="U261" s="88">
        <f>IF(S261&gt;0,IF(RIGHT(Ruimtestaat[[#This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261" s="88">
        <f>IF(U261&gt;0,VLOOKUP($K261,Ruimtegroepen[],3,FALSE)*VLOOKUP($M261,Vloersoorten[],3,FALSE)*VLOOKUP($T261,Frequenties[],3,FALSE)*VLOOKUP($A261,Locaties[],3,FALSE),0)</f>
        <v>0</v>
      </c>
      <c r="W261" s="89">
        <f>Ruimtestaat[[#This Row],[Uitvoeringen werkdagen]]*Ruimtestaat[[#This Row],[Oppervlak (netto)]]</f>
        <v>0</v>
      </c>
      <c r="X261" s="90">
        <f>IF(V261&gt;0,Ruimtestaat[[#This Row],[Prest. (m2 /jaar) werkdagen]]/Ruimtestaat[[#This Row],[Norm (m2/uur) werkdagen]],0)</f>
        <v>0</v>
      </c>
      <c r="Y261" s="91">
        <f>Ruimtestaat[[#This Row],[uren / jaar werkdagen]]*Tariefsopbouw!$E$35</f>
        <v>0</v>
      </c>
      <c r="Z261" s="88"/>
      <c r="AA261" s="92">
        <f>IF(Ruimtestaat[[#This Row],[Frequentie weekend]]&gt;0,VALUE(LEFT(Z261,1))*S261,0)</f>
        <v>0</v>
      </c>
      <c r="AB261" s="88">
        <f>IF($AA261&gt;0,VLOOKUP($K261,Ruimtegroepen[],3,FALSE)*VLOOKUP($M261,Vloersoorten[],3,FALSE)*VLOOKUP($Z261,Frequenties[],3,FALSE)*VLOOKUP(#REF!,Locaties[],3,FALSE),0)</f>
        <v>0</v>
      </c>
      <c r="AC261" s="90">
        <f>Ruimtestaat[[#This Row],[Uitvoeringen weekend]]*Ruimtestaat[[#This Row],[Oppervlak (netto)]]</f>
        <v>0</v>
      </c>
      <c r="AD261" s="93">
        <f>IF(AC261&gt;0,Ruimtestaat[[#This Row],[Prest. (m2 /jaar) weekend]]/Ruimtestaat[[#This Row],[Norm (m2/uur) weekend]],0)</f>
        <v>0</v>
      </c>
      <c r="AE261" s="94">
        <f>Ruimtestaat[[#This Row],[uren / jaar weekend]]*Tariefsopbouw!$D$40</f>
        <v>0</v>
      </c>
      <c r="AF261" s="66">
        <f>Ruimtestaat[[#This Row],[Prest. (m2 /jaar) weekend]]+Ruimtestaat[[#This Row],[Prest. (m2 /jaar) werkdagen]]</f>
        <v>0</v>
      </c>
      <c r="AG261" s="66">
        <f>Ruimtestaat[[#This Row],[uren / jaar weekend]]+Ruimtestaat[[#This Row],[uren / jaar werkdagen]]</f>
        <v>0</v>
      </c>
      <c r="AH261" s="67">
        <f>Ruimtestaat[[#This Row],[kosten / jaar weekend]]+Ruimtestaat[[#This Row],[kosten / jaar werkdagen]]</f>
        <v>0</v>
      </c>
    </row>
    <row r="262" spans="1:34" ht="15" customHeight="1">
      <c r="A262" s="112">
        <v>2</v>
      </c>
      <c r="B262" s="23" t="str">
        <f>VLOOKUP(Ruimtestaat[[#This Row],[Code]],Locaties[#All],2,FALSE)</f>
        <v>RSG Slingerbos</v>
      </c>
      <c r="C262" s="23" t="str">
        <f>VLOOKUP(Ruimtestaat[[#This Row],[Code]],Locaties[#All],4,FALSE)</f>
        <v>Eisenhowerlaan 59</v>
      </c>
      <c r="D262" s="23" t="str">
        <f>VLOOKUP(Ruimtestaat[[#This Row],[Code]],Locaties[#All],5,FALSE)</f>
        <v>3844 AS</v>
      </c>
      <c r="E262" s="23" t="str">
        <f>VLOOKUP(Ruimtestaat[[#This Row],[Code]],Locaties[#All],6,FALSE)</f>
        <v>Harderwijk</v>
      </c>
      <c r="F262" s="23"/>
      <c r="G262" s="60"/>
      <c r="H262" s="23" t="s">
        <v>535</v>
      </c>
      <c r="I262" s="23" t="s">
        <v>779</v>
      </c>
      <c r="J262" s="3" t="s">
        <v>1065</v>
      </c>
      <c r="K262" s="23">
        <v>1</v>
      </c>
      <c r="L262" s="60" t="str">
        <f>VLOOKUP(K262,Ruimtegroepen[],2,FALSE)</f>
        <v>Magazijnen/bergingen</v>
      </c>
      <c r="M262" s="23" t="s">
        <v>112</v>
      </c>
      <c r="N262" s="23" t="s">
        <v>1090</v>
      </c>
      <c r="O262" s="86">
        <v>6.2</v>
      </c>
      <c r="P262" s="86"/>
      <c r="Q262" s="95" t="str">
        <f>LEFT(VLOOKUP(Ruimtestaat[[#This Row],[Ruimte code]],Ruimtegroepen[#All],4,1),2)</f>
        <v xml:space="preserve">V </v>
      </c>
      <c r="R262" s="95"/>
      <c r="S262" s="87">
        <v>40</v>
      </c>
      <c r="T262" s="87" t="s">
        <v>16</v>
      </c>
      <c r="U262" s="88">
        <f>IF(S262&gt;0,IF(RIGHT(Ruimtestaat[[#This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V262" s="88">
        <f>IF(U262&gt;0,VLOOKUP($K262,Ruimtegroepen[],3,FALSE)*VLOOKUP($M262,Vloersoorten[],3,FALSE)*VLOOKUP($T262,Frequenties[],3,FALSE)*VLOOKUP($A262,Locaties[],3,FALSE),0)</f>
        <v>0</v>
      </c>
      <c r="W262" s="89">
        <f>Ruimtestaat[[#This Row],[Uitvoeringen werkdagen]]*Ruimtestaat[[#This Row],[Oppervlak (netto)]]</f>
        <v>74.400000000000006</v>
      </c>
      <c r="X262" s="90">
        <f>IF(V262&gt;0,Ruimtestaat[[#This Row],[Prest. (m2 /jaar) werkdagen]]/Ruimtestaat[[#This Row],[Norm (m2/uur) werkdagen]],0)</f>
        <v>0</v>
      </c>
      <c r="Y262" s="91">
        <f>Ruimtestaat[[#This Row],[uren / jaar werkdagen]]*Tariefsopbouw!$E$35</f>
        <v>0</v>
      </c>
      <c r="Z262" s="88"/>
      <c r="AA262" s="92">
        <f>IF(Ruimtestaat[[#This Row],[Frequentie weekend]]&gt;0,VALUE(LEFT(Z262,1))*S262,0)</f>
        <v>0</v>
      </c>
      <c r="AB262" s="88">
        <f>IF($AA262&gt;0,VLOOKUP($K262,Ruimtegroepen[],3,FALSE)*VLOOKUP($M262,Vloersoorten[],3,FALSE)*VLOOKUP($Z262,Frequenties[],3,FALSE)*VLOOKUP(#REF!,Locaties[],3,FALSE),0)</f>
        <v>0</v>
      </c>
      <c r="AC262" s="90">
        <f>Ruimtestaat[[#This Row],[Uitvoeringen weekend]]*Ruimtestaat[[#This Row],[Oppervlak (netto)]]</f>
        <v>0</v>
      </c>
      <c r="AD262" s="93">
        <f>IF(AC262&gt;0,Ruimtestaat[[#This Row],[Prest. (m2 /jaar) weekend]]/Ruimtestaat[[#This Row],[Norm (m2/uur) weekend]],0)</f>
        <v>0</v>
      </c>
      <c r="AE262" s="94">
        <f>Ruimtestaat[[#This Row],[uren / jaar weekend]]*Tariefsopbouw!$D$40</f>
        <v>0</v>
      </c>
      <c r="AF262" s="66">
        <f>Ruimtestaat[[#This Row],[Prest. (m2 /jaar) weekend]]+Ruimtestaat[[#This Row],[Prest. (m2 /jaar) werkdagen]]</f>
        <v>74.400000000000006</v>
      </c>
      <c r="AG262" s="66">
        <f>Ruimtestaat[[#This Row],[uren / jaar weekend]]+Ruimtestaat[[#This Row],[uren / jaar werkdagen]]</f>
        <v>0</v>
      </c>
      <c r="AH262" s="67">
        <f>Ruimtestaat[[#This Row],[kosten / jaar weekend]]+Ruimtestaat[[#This Row],[kosten / jaar werkdagen]]</f>
        <v>0</v>
      </c>
    </row>
    <row r="263" spans="1:34" ht="15" customHeight="1">
      <c r="A263" s="112">
        <v>2</v>
      </c>
      <c r="B263" s="23" t="str">
        <f>VLOOKUP(Ruimtestaat[[#This Row],[Code]],Locaties[#All],2,FALSE)</f>
        <v>RSG Slingerbos</v>
      </c>
      <c r="C263" s="23" t="str">
        <f>VLOOKUP(Ruimtestaat[[#This Row],[Code]],Locaties[#All],4,FALSE)</f>
        <v>Eisenhowerlaan 59</v>
      </c>
      <c r="D263" s="23" t="str">
        <f>VLOOKUP(Ruimtestaat[[#This Row],[Code]],Locaties[#All],5,FALSE)</f>
        <v>3844 AS</v>
      </c>
      <c r="E263" s="23" t="str">
        <f>VLOOKUP(Ruimtestaat[[#This Row],[Code]],Locaties[#All],6,FALSE)</f>
        <v>Harderwijk</v>
      </c>
      <c r="F263" s="23"/>
      <c r="G263" s="60"/>
      <c r="H263" s="23" t="s">
        <v>535</v>
      </c>
      <c r="I263" s="23" t="s">
        <v>780</v>
      </c>
      <c r="J263" s="3" t="s">
        <v>1066</v>
      </c>
      <c r="K263" s="23">
        <v>1</v>
      </c>
      <c r="L263" s="60" t="str">
        <f>VLOOKUP(K263,Ruimtegroepen[],2,FALSE)</f>
        <v>Magazijnen/bergingen</v>
      </c>
      <c r="M263" s="23" t="s">
        <v>113</v>
      </c>
      <c r="N263" s="23" t="s">
        <v>1091</v>
      </c>
      <c r="O263" s="86">
        <v>4.5</v>
      </c>
      <c r="P263" s="86"/>
      <c r="Q263" s="95" t="str">
        <f>LEFT(VLOOKUP(Ruimtestaat[[#This Row],[Ruimte code]],Ruimtegroepen[#All],4,1),2)</f>
        <v xml:space="preserve">V </v>
      </c>
      <c r="R263" s="95"/>
      <c r="S263" s="87">
        <v>40</v>
      </c>
      <c r="T263" s="87" t="s">
        <v>16</v>
      </c>
      <c r="U263" s="88">
        <f>IF(S263&gt;0,IF(RIGHT(Ruimtestaat[[#This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V263" s="88">
        <f>IF(U263&gt;0,VLOOKUP($K263,Ruimtegroepen[],3,FALSE)*VLOOKUP($M263,Vloersoorten[],3,FALSE)*VLOOKUP($T263,Frequenties[],3,FALSE)*VLOOKUP($A263,Locaties[],3,FALSE),0)</f>
        <v>0</v>
      </c>
      <c r="W263" s="89">
        <f>Ruimtestaat[[#This Row],[Uitvoeringen werkdagen]]*Ruimtestaat[[#This Row],[Oppervlak (netto)]]</f>
        <v>54</v>
      </c>
      <c r="X263" s="90">
        <f>IF(V263&gt;0,Ruimtestaat[[#This Row],[Prest. (m2 /jaar) werkdagen]]/Ruimtestaat[[#This Row],[Norm (m2/uur) werkdagen]],0)</f>
        <v>0</v>
      </c>
      <c r="Y263" s="91">
        <f>Ruimtestaat[[#This Row],[uren / jaar werkdagen]]*Tariefsopbouw!$E$35</f>
        <v>0</v>
      </c>
      <c r="Z263" s="88"/>
      <c r="AA263" s="92">
        <f>IF(Ruimtestaat[[#This Row],[Frequentie weekend]]&gt;0,VALUE(LEFT(Z263,1))*S263,0)</f>
        <v>0</v>
      </c>
      <c r="AB263" s="88">
        <f>IF($AA263&gt;0,VLOOKUP($K263,Ruimtegroepen[],3,FALSE)*VLOOKUP($M263,Vloersoorten[],3,FALSE)*VLOOKUP($Z263,Frequenties[],3,FALSE)*VLOOKUP(#REF!,Locaties[],3,FALSE),0)</f>
        <v>0</v>
      </c>
      <c r="AC263" s="90">
        <f>Ruimtestaat[[#This Row],[Uitvoeringen weekend]]*Ruimtestaat[[#This Row],[Oppervlak (netto)]]</f>
        <v>0</v>
      </c>
      <c r="AD263" s="93">
        <f>IF(AC263&gt;0,Ruimtestaat[[#This Row],[Prest. (m2 /jaar) weekend]]/Ruimtestaat[[#This Row],[Norm (m2/uur) weekend]],0)</f>
        <v>0</v>
      </c>
      <c r="AE263" s="94">
        <f>Ruimtestaat[[#This Row],[uren / jaar weekend]]*Tariefsopbouw!$D$40</f>
        <v>0</v>
      </c>
      <c r="AF263" s="66">
        <f>Ruimtestaat[[#This Row],[Prest. (m2 /jaar) weekend]]+Ruimtestaat[[#This Row],[Prest. (m2 /jaar) werkdagen]]</f>
        <v>54</v>
      </c>
      <c r="AG263" s="66">
        <f>Ruimtestaat[[#This Row],[uren / jaar weekend]]+Ruimtestaat[[#This Row],[uren / jaar werkdagen]]</f>
        <v>0</v>
      </c>
      <c r="AH263" s="67">
        <f>Ruimtestaat[[#This Row],[kosten / jaar weekend]]+Ruimtestaat[[#This Row],[kosten / jaar werkdagen]]</f>
        <v>0</v>
      </c>
    </row>
    <row r="264" spans="1:34" ht="15" customHeight="1">
      <c r="A264" s="112">
        <v>2</v>
      </c>
      <c r="B264" s="23" t="str">
        <f>VLOOKUP(Ruimtestaat[[#This Row],[Code]],Locaties[#All],2,FALSE)</f>
        <v>RSG Slingerbos</v>
      </c>
      <c r="C264" s="23" t="str">
        <f>VLOOKUP(Ruimtestaat[[#This Row],[Code]],Locaties[#All],4,FALSE)</f>
        <v>Eisenhowerlaan 59</v>
      </c>
      <c r="D264" s="23" t="str">
        <f>VLOOKUP(Ruimtestaat[[#This Row],[Code]],Locaties[#All],5,FALSE)</f>
        <v>3844 AS</v>
      </c>
      <c r="E264" s="23" t="str">
        <f>VLOOKUP(Ruimtestaat[[#This Row],[Code]],Locaties[#All],6,FALSE)</f>
        <v>Harderwijk</v>
      </c>
      <c r="F264" s="23"/>
      <c r="G264" s="60"/>
      <c r="H264" s="23" t="s">
        <v>535</v>
      </c>
      <c r="I264" s="23" t="s">
        <v>781</v>
      </c>
      <c r="J264" s="3" t="s">
        <v>1067</v>
      </c>
      <c r="K264" s="23">
        <v>5</v>
      </c>
      <c r="L264" s="60" t="str">
        <f>VLOOKUP(K264,Ruimtegroepen[],2,FALSE)</f>
        <v>Sanitair</v>
      </c>
      <c r="M264" s="23" t="s">
        <v>113</v>
      </c>
      <c r="N264" s="23" t="s">
        <v>1091</v>
      </c>
      <c r="O264" s="86">
        <v>13.1</v>
      </c>
      <c r="P264" s="86"/>
      <c r="Q264" s="95" t="str">
        <f>LEFT(VLOOKUP(Ruimtestaat[[#This Row],[Ruimte code]],Ruimtegroepen[#All],4,1),2)</f>
        <v xml:space="preserve">S </v>
      </c>
      <c r="R264" s="95"/>
      <c r="S264" s="87">
        <v>40</v>
      </c>
      <c r="T264" s="87" t="s">
        <v>2</v>
      </c>
      <c r="U264" s="88">
        <f>IF(S264&gt;0,IF(RIGHT(Ruimtestaat[[#This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64" s="88">
        <f>IF(U264&gt;0,VLOOKUP($K264,Ruimtegroepen[],3,FALSE)*VLOOKUP($M264,Vloersoorten[],3,FALSE)*VLOOKUP($T264,Frequenties[],3,FALSE)*VLOOKUP($A264,Locaties[],3,FALSE),0)</f>
        <v>0</v>
      </c>
      <c r="W264" s="89">
        <f>Ruimtestaat[[#This Row],[Uitvoeringen werkdagen]]*Ruimtestaat[[#This Row],[Oppervlak (netto)]]</f>
        <v>2620</v>
      </c>
      <c r="X264" s="90">
        <f>IF(V264&gt;0,Ruimtestaat[[#This Row],[Prest. (m2 /jaar) werkdagen]]/Ruimtestaat[[#This Row],[Norm (m2/uur) werkdagen]],0)</f>
        <v>0</v>
      </c>
      <c r="Y264" s="91">
        <f>Ruimtestaat[[#This Row],[uren / jaar werkdagen]]*Tariefsopbouw!$E$35</f>
        <v>0</v>
      </c>
      <c r="Z264" s="88"/>
      <c r="AA264" s="92">
        <f>IF(Ruimtestaat[[#This Row],[Frequentie weekend]]&gt;0,VALUE(LEFT(Z264,1))*S264,0)</f>
        <v>0</v>
      </c>
      <c r="AB264" s="88">
        <f>IF($AA264&gt;0,VLOOKUP($K264,Ruimtegroepen[],3,FALSE)*VLOOKUP($M264,Vloersoorten[],3,FALSE)*VLOOKUP($Z264,Frequenties[],3,FALSE)*VLOOKUP(#REF!,Locaties[],3,FALSE),0)</f>
        <v>0</v>
      </c>
      <c r="AC264" s="90">
        <f>Ruimtestaat[[#This Row],[Uitvoeringen weekend]]*Ruimtestaat[[#This Row],[Oppervlak (netto)]]</f>
        <v>0</v>
      </c>
      <c r="AD264" s="93">
        <f>IF(AC264&gt;0,Ruimtestaat[[#This Row],[Prest. (m2 /jaar) weekend]]/Ruimtestaat[[#This Row],[Norm (m2/uur) weekend]],0)</f>
        <v>0</v>
      </c>
      <c r="AE264" s="94">
        <f>Ruimtestaat[[#This Row],[uren / jaar weekend]]*Tariefsopbouw!$D$40</f>
        <v>0</v>
      </c>
      <c r="AF264" s="66">
        <f>Ruimtestaat[[#This Row],[Prest. (m2 /jaar) weekend]]+Ruimtestaat[[#This Row],[Prest. (m2 /jaar) werkdagen]]</f>
        <v>2620</v>
      </c>
      <c r="AG264" s="66">
        <f>Ruimtestaat[[#This Row],[uren / jaar weekend]]+Ruimtestaat[[#This Row],[uren / jaar werkdagen]]</f>
        <v>0</v>
      </c>
      <c r="AH264" s="67">
        <f>Ruimtestaat[[#This Row],[kosten / jaar weekend]]+Ruimtestaat[[#This Row],[kosten / jaar werkdagen]]</f>
        <v>0</v>
      </c>
    </row>
    <row r="265" spans="1:34" ht="15" customHeight="1">
      <c r="A265" s="112">
        <v>2</v>
      </c>
      <c r="B265" s="23" t="str">
        <f>VLOOKUP(Ruimtestaat[[#This Row],[Code]],Locaties[#All],2,FALSE)</f>
        <v>RSG Slingerbos</v>
      </c>
      <c r="C265" s="23" t="str">
        <f>VLOOKUP(Ruimtestaat[[#This Row],[Code]],Locaties[#All],4,FALSE)</f>
        <v>Eisenhowerlaan 59</v>
      </c>
      <c r="D265" s="23" t="str">
        <f>VLOOKUP(Ruimtestaat[[#This Row],[Code]],Locaties[#All],5,FALSE)</f>
        <v>3844 AS</v>
      </c>
      <c r="E265" s="23" t="str">
        <f>VLOOKUP(Ruimtestaat[[#This Row],[Code]],Locaties[#All],6,FALSE)</f>
        <v>Harderwijk</v>
      </c>
      <c r="F265" s="23"/>
      <c r="G265" s="60"/>
      <c r="H265" s="23" t="s">
        <v>535</v>
      </c>
      <c r="I265" s="23" t="s">
        <v>782</v>
      </c>
      <c r="J265" s="3" t="s">
        <v>1068</v>
      </c>
      <c r="K265" s="23">
        <v>5</v>
      </c>
      <c r="L265" s="60" t="str">
        <f>VLOOKUP(K265,Ruimtegroepen[],2,FALSE)</f>
        <v>Sanitair</v>
      </c>
      <c r="M265" s="23" t="s">
        <v>113</v>
      </c>
      <c r="N265" s="23" t="s">
        <v>1091</v>
      </c>
      <c r="O265" s="86">
        <v>17.7</v>
      </c>
      <c r="P265" s="86"/>
      <c r="Q265" s="95" t="str">
        <f>LEFT(VLOOKUP(Ruimtestaat[[#This Row],[Ruimte code]],Ruimtegroepen[#All],4,1),2)</f>
        <v xml:space="preserve">S </v>
      </c>
      <c r="R265" s="95"/>
      <c r="S265" s="87">
        <v>40</v>
      </c>
      <c r="T265" s="87" t="s">
        <v>2</v>
      </c>
      <c r="U265" s="88">
        <f>IF(S265&gt;0,IF(RIGHT(Ruimtestaat[[#This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65" s="88">
        <f>IF(U265&gt;0,VLOOKUP($K265,Ruimtegroepen[],3,FALSE)*VLOOKUP($M265,Vloersoorten[],3,FALSE)*VLOOKUP($T265,Frequenties[],3,FALSE)*VLOOKUP($A265,Locaties[],3,FALSE),0)</f>
        <v>0</v>
      </c>
      <c r="W265" s="89">
        <f>Ruimtestaat[[#This Row],[Uitvoeringen werkdagen]]*Ruimtestaat[[#This Row],[Oppervlak (netto)]]</f>
        <v>3540</v>
      </c>
      <c r="X265" s="90">
        <f>IF(V265&gt;0,Ruimtestaat[[#This Row],[Prest. (m2 /jaar) werkdagen]]/Ruimtestaat[[#This Row],[Norm (m2/uur) werkdagen]],0)</f>
        <v>0</v>
      </c>
      <c r="Y265" s="91">
        <f>Ruimtestaat[[#This Row],[uren / jaar werkdagen]]*Tariefsopbouw!$E$35</f>
        <v>0</v>
      </c>
      <c r="Z265" s="88"/>
      <c r="AA265" s="92">
        <f>IF(Ruimtestaat[[#This Row],[Frequentie weekend]]&gt;0,VALUE(LEFT(Z265,1))*S265,0)</f>
        <v>0</v>
      </c>
      <c r="AB265" s="88">
        <f>IF($AA265&gt;0,VLOOKUP($K265,Ruimtegroepen[],3,FALSE)*VLOOKUP($M265,Vloersoorten[],3,FALSE)*VLOOKUP($Z265,Frequenties[],3,FALSE)*VLOOKUP(#REF!,Locaties[],3,FALSE),0)</f>
        <v>0</v>
      </c>
      <c r="AC265" s="90">
        <f>Ruimtestaat[[#This Row],[Uitvoeringen weekend]]*Ruimtestaat[[#This Row],[Oppervlak (netto)]]</f>
        <v>0</v>
      </c>
      <c r="AD265" s="93">
        <f>IF(AC265&gt;0,Ruimtestaat[[#This Row],[Prest. (m2 /jaar) weekend]]/Ruimtestaat[[#This Row],[Norm (m2/uur) weekend]],0)</f>
        <v>0</v>
      </c>
      <c r="AE265" s="94">
        <f>Ruimtestaat[[#This Row],[uren / jaar weekend]]*Tariefsopbouw!$D$40</f>
        <v>0</v>
      </c>
      <c r="AF265" s="66">
        <f>Ruimtestaat[[#This Row],[Prest. (m2 /jaar) weekend]]+Ruimtestaat[[#This Row],[Prest. (m2 /jaar) werkdagen]]</f>
        <v>3540</v>
      </c>
      <c r="AG265" s="66">
        <f>Ruimtestaat[[#This Row],[uren / jaar weekend]]+Ruimtestaat[[#This Row],[uren / jaar werkdagen]]</f>
        <v>0</v>
      </c>
      <c r="AH265" s="67">
        <f>Ruimtestaat[[#This Row],[kosten / jaar weekend]]+Ruimtestaat[[#This Row],[kosten / jaar werkdagen]]</f>
        <v>0</v>
      </c>
    </row>
    <row r="266" spans="1:34" ht="15" customHeight="1">
      <c r="A266" s="112">
        <v>2</v>
      </c>
      <c r="B266" s="23" t="str">
        <f>VLOOKUP(Ruimtestaat[[#This Row],[Code]],Locaties[#All],2,FALSE)</f>
        <v>RSG Slingerbos</v>
      </c>
      <c r="C266" s="23" t="str">
        <f>VLOOKUP(Ruimtestaat[[#This Row],[Code]],Locaties[#All],4,FALSE)</f>
        <v>Eisenhowerlaan 59</v>
      </c>
      <c r="D266" s="23" t="str">
        <f>VLOOKUP(Ruimtestaat[[#This Row],[Code]],Locaties[#All],5,FALSE)</f>
        <v>3844 AS</v>
      </c>
      <c r="E266" s="23" t="str">
        <f>VLOOKUP(Ruimtestaat[[#This Row],[Code]],Locaties[#All],6,FALSE)</f>
        <v>Harderwijk</v>
      </c>
      <c r="F266" s="23"/>
      <c r="G266" s="60"/>
      <c r="H266" s="23" t="s">
        <v>535</v>
      </c>
      <c r="I266" s="23" t="s">
        <v>783</v>
      </c>
      <c r="J266" s="3" t="s">
        <v>1069</v>
      </c>
      <c r="K266" s="23">
        <v>23</v>
      </c>
      <c r="L266" s="60" t="str">
        <f>VLOOKUP(K266,Ruimtegroepen[],2,FALSE)</f>
        <v>Niet in onderhoud</v>
      </c>
      <c r="M266" s="23" t="s">
        <v>112</v>
      </c>
      <c r="N266" s="23" t="s">
        <v>1090</v>
      </c>
      <c r="O266" s="86"/>
      <c r="P266" s="86">
        <v>3</v>
      </c>
      <c r="Q266" s="95" t="str">
        <f>LEFT(VLOOKUP(Ruimtestaat[[#This Row],[Ruimte code]],Ruimtegroepen[#All],4,1),2)</f>
        <v/>
      </c>
      <c r="R266" s="95"/>
      <c r="S266" s="87"/>
      <c r="T266" s="87"/>
      <c r="U266" s="88">
        <f>IF(S266&gt;0,IF(RIGHT(Ruimtestaat[[#This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266" s="88">
        <f>IF(U266&gt;0,VLOOKUP($K266,Ruimtegroepen[],3,FALSE)*VLOOKUP($M266,Vloersoorten[],3,FALSE)*VLOOKUP($T266,Frequenties[],3,FALSE)*VLOOKUP($A266,Locaties[],3,FALSE),0)</f>
        <v>0</v>
      </c>
      <c r="W266" s="89">
        <f>Ruimtestaat[[#This Row],[Uitvoeringen werkdagen]]*Ruimtestaat[[#This Row],[Oppervlak (netto)]]</f>
        <v>0</v>
      </c>
      <c r="X266" s="90">
        <f>IF(V266&gt;0,Ruimtestaat[[#This Row],[Prest. (m2 /jaar) werkdagen]]/Ruimtestaat[[#This Row],[Norm (m2/uur) werkdagen]],0)</f>
        <v>0</v>
      </c>
      <c r="Y266" s="91">
        <f>Ruimtestaat[[#This Row],[uren / jaar werkdagen]]*Tariefsopbouw!$E$35</f>
        <v>0</v>
      </c>
      <c r="Z266" s="88"/>
      <c r="AA266" s="92">
        <f>IF(Ruimtestaat[[#This Row],[Frequentie weekend]]&gt;0,VALUE(LEFT(Z266,1))*S266,0)</f>
        <v>0</v>
      </c>
      <c r="AB266" s="88">
        <f>IF($AA266&gt;0,VLOOKUP($K266,Ruimtegroepen[],3,FALSE)*VLOOKUP($M266,Vloersoorten[],3,FALSE)*VLOOKUP($Z266,Frequenties[],3,FALSE)*VLOOKUP(#REF!,Locaties[],3,FALSE),0)</f>
        <v>0</v>
      </c>
      <c r="AC266" s="90">
        <f>Ruimtestaat[[#This Row],[Uitvoeringen weekend]]*Ruimtestaat[[#This Row],[Oppervlak (netto)]]</f>
        <v>0</v>
      </c>
      <c r="AD266" s="93">
        <f>IF(AC266&gt;0,Ruimtestaat[[#This Row],[Prest. (m2 /jaar) weekend]]/Ruimtestaat[[#This Row],[Norm (m2/uur) weekend]],0)</f>
        <v>0</v>
      </c>
      <c r="AE266" s="94">
        <f>Ruimtestaat[[#This Row],[uren / jaar weekend]]*Tariefsopbouw!$D$40</f>
        <v>0</v>
      </c>
      <c r="AF266" s="66">
        <f>Ruimtestaat[[#This Row],[Prest. (m2 /jaar) weekend]]+Ruimtestaat[[#This Row],[Prest. (m2 /jaar) werkdagen]]</f>
        <v>0</v>
      </c>
      <c r="AG266" s="66">
        <f>Ruimtestaat[[#This Row],[uren / jaar weekend]]+Ruimtestaat[[#This Row],[uren / jaar werkdagen]]</f>
        <v>0</v>
      </c>
      <c r="AH266" s="67">
        <f>Ruimtestaat[[#This Row],[kosten / jaar weekend]]+Ruimtestaat[[#This Row],[kosten / jaar werkdagen]]</f>
        <v>0</v>
      </c>
    </row>
    <row r="267" spans="1:34" ht="15" customHeight="1">
      <c r="A267" s="112">
        <v>2</v>
      </c>
      <c r="B267" s="23" t="str">
        <f>VLOOKUP(Ruimtestaat[[#This Row],[Code]],Locaties[#All],2,FALSE)</f>
        <v>RSG Slingerbos</v>
      </c>
      <c r="C267" s="23" t="str">
        <f>VLOOKUP(Ruimtestaat[[#This Row],[Code]],Locaties[#All],4,FALSE)</f>
        <v>Eisenhowerlaan 59</v>
      </c>
      <c r="D267" s="23" t="str">
        <f>VLOOKUP(Ruimtestaat[[#This Row],[Code]],Locaties[#All],5,FALSE)</f>
        <v>3844 AS</v>
      </c>
      <c r="E267" s="23" t="str">
        <f>VLOOKUP(Ruimtestaat[[#This Row],[Code]],Locaties[#All],6,FALSE)</f>
        <v>Harderwijk</v>
      </c>
      <c r="F267" s="23"/>
      <c r="G267" s="60" t="s">
        <v>943</v>
      </c>
      <c r="H267" s="23" t="s">
        <v>535</v>
      </c>
      <c r="I267" s="23">
        <v>19</v>
      </c>
      <c r="J267" s="3" t="s">
        <v>1043</v>
      </c>
      <c r="K267" s="23">
        <v>16</v>
      </c>
      <c r="L267" s="60" t="str">
        <f>VLOOKUP(K267,Ruimtegroepen[],2,FALSE)</f>
        <v>Leslokalen theorie</v>
      </c>
      <c r="M267" s="23" t="s">
        <v>112</v>
      </c>
      <c r="N267" s="23" t="s">
        <v>1090</v>
      </c>
      <c r="O267" s="86">
        <v>54.3</v>
      </c>
      <c r="P267" s="86"/>
      <c r="Q267" s="95" t="str">
        <f>LEFT(VLOOKUP(Ruimtestaat[[#This Row],[Ruimte code]],Ruimtegroepen[#All],4,1),2)</f>
        <v xml:space="preserve">L </v>
      </c>
      <c r="R267" s="95"/>
      <c r="S267" s="87">
        <v>40</v>
      </c>
      <c r="T267" s="87" t="s">
        <v>2</v>
      </c>
      <c r="U267" s="88">
        <f>IF(S267&gt;0,IF(RIGHT(Ruimtestaat[[#This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67" s="88">
        <f>IF(U267&gt;0,VLOOKUP($K267,Ruimtegroepen[],3,FALSE)*VLOOKUP($M267,Vloersoorten[],3,FALSE)*VLOOKUP($T267,Frequenties[],3,FALSE)*VLOOKUP($A267,Locaties[],3,FALSE),0)</f>
        <v>0</v>
      </c>
      <c r="W267" s="89">
        <f>Ruimtestaat[[#This Row],[Uitvoeringen werkdagen]]*Ruimtestaat[[#This Row],[Oppervlak (netto)]]</f>
        <v>10860</v>
      </c>
      <c r="X267" s="90">
        <f>IF(V267&gt;0,Ruimtestaat[[#This Row],[Prest. (m2 /jaar) werkdagen]]/Ruimtestaat[[#This Row],[Norm (m2/uur) werkdagen]],0)</f>
        <v>0</v>
      </c>
      <c r="Y267" s="91">
        <f>Ruimtestaat[[#This Row],[uren / jaar werkdagen]]*Tariefsopbouw!$E$35</f>
        <v>0</v>
      </c>
      <c r="Z267" s="88"/>
      <c r="AA267" s="92">
        <f>IF(Ruimtestaat[[#This Row],[Frequentie weekend]]&gt;0,VALUE(LEFT(Z267,1))*S267,0)</f>
        <v>0</v>
      </c>
      <c r="AB267" s="88">
        <f>IF($AA267&gt;0,VLOOKUP($K267,Ruimtegroepen[],3,FALSE)*VLOOKUP($M267,Vloersoorten[],3,FALSE)*VLOOKUP($Z267,Frequenties[],3,FALSE)*VLOOKUP(#REF!,Locaties[],3,FALSE),0)</f>
        <v>0</v>
      </c>
      <c r="AC267" s="90">
        <f>Ruimtestaat[[#This Row],[Uitvoeringen weekend]]*Ruimtestaat[[#This Row],[Oppervlak (netto)]]</f>
        <v>0</v>
      </c>
      <c r="AD267" s="93">
        <f>IF(AC267&gt;0,Ruimtestaat[[#This Row],[Prest. (m2 /jaar) weekend]]/Ruimtestaat[[#This Row],[Norm (m2/uur) weekend]],0)</f>
        <v>0</v>
      </c>
      <c r="AE267" s="94">
        <f>Ruimtestaat[[#This Row],[uren / jaar weekend]]*Tariefsopbouw!$D$40</f>
        <v>0</v>
      </c>
      <c r="AF267" s="66">
        <f>Ruimtestaat[[#This Row],[Prest. (m2 /jaar) weekend]]+Ruimtestaat[[#This Row],[Prest. (m2 /jaar) werkdagen]]</f>
        <v>10860</v>
      </c>
      <c r="AG267" s="66">
        <f>Ruimtestaat[[#This Row],[uren / jaar weekend]]+Ruimtestaat[[#This Row],[uren / jaar werkdagen]]</f>
        <v>0</v>
      </c>
      <c r="AH267" s="67">
        <f>Ruimtestaat[[#This Row],[kosten / jaar weekend]]+Ruimtestaat[[#This Row],[kosten / jaar werkdagen]]</f>
        <v>0</v>
      </c>
    </row>
    <row r="268" spans="1:34" ht="15" customHeight="1">
      <c r="A268" s="112">
        <v>2</v>
      </c>
      <c r="B268" s="23" t="str">
        <f>VLOOKUP(Ruimtestaat[[#This Row],[Code]],Locaties[#All],2,FALSE)</f>
        <v>RSG Slingerbos</v>
      </c>
      <c r="C268" s="23" t="str">
        <f>VLOOKUP(Ruimtestaat[[#This Row],[Code]],Locaties[#All],4,FALSE)</f>
        <v>Eisenhowerlaan 59</v>
      </c>
      <c r="D268" s="23" t="str">
        <f>VLOOKUP(Ruimtestaat[[#This Row],[Code]],Locaties[#All],5,FALSE)</f>
        <v>3844 AS</v>
      </c>
      <c r="E268" s="23" t="str">
        <f>VLOOKUP(Ruimtestaat[[#This Row],[Code]],Locaties[#All],6,FALSE)</f>
        <v>Harderwijk</v>
      </c>
      <c r="F268" s="23"/>
      <c r="G268" s="60" t="s">
        <v>944</v>
      </c>
      <c r="H268" s="23" t="s">
        <v>535</v>
      </c>
      <c r="I268" s="23">
        <v>20</v>
      </c>
      <c r="J268" s="3" t="s">
        <v>1043</v>
      </c>
      <c r="K268" s="23">
        <v>16</v>
      </c>
      <c r="L268" s="60" t="str">
        <f>VLOOKUP(K268,Ruimtegroepen[],2,FALSE)</f>
        <v>Leslokalen theorie</v>
      </c>
      <c r="M268" s="23" t="s">
        <v>112</v>
      </c>
      <c r="N268" s="23" t="s">
        <v>1090</v>
      </c>
      <c r="O268" s="86">
        <v>54.8</v>
      </c>
      <c r="P268" s="86"/>
      <c r="Q268" s="95" t="str">
        <f>LEFT(VLOOKUP(Ruimtestaat[[#This Row],[Ruimte code]],Ruimtegroepen[#All],4,1),2)</f>
        <v xml:space="preserve">L </v>
      </c>
      <c r="R268" s="95"/>
      <c r="S268" s="87">
        <v>40</v>
      </c>
      <c r="T268" s="87" t="s">
        <v>2</v>
      </c>
      <c r="U268" s="88">
        <f>IF(S268&gt;0,IF(RIGHT(Ruimtestaat[[#This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68" s="88">
        <f>IF(U268&gt;0,VLOOKUP($K268,Ruimtegroepen[],3,FALSE)*VLOOKUP($M268,Vloersoorten[],3,FALSE)*VLOOKUP($T268,Frequenties[],3,FALSE)*VLOOKUP($A268,Locaties[],3,FALSE),0)</f>
        <v>0</v>
      </c>
      <c r="W268" s="89">
        <f>Ruimtestaat[[#This Row],[Uitvoeringen werkdagen]]*Ruimtestaat[[#This Row],[Oppervlak (netto)]]</f>
        <v>10960</v>
      </c>
      <c r="X268" s="90">
        <f>IF(V268&gt;0,Ruimtestaat[[#This Row],[Prest. (m2 /jaar) werkdagen]]/Ruimtestaat[[#This Row],[Norm (m2/uur) werkdagen]],0)</f>
        <v>0</v>
      </c>
      <c r="Y268" s="91">
        <f>Ruimtestaat[[#This Row],[uren / jaar werkdagen]]*Tariefsopbouw!$E$35</f>
        <v>0</v>
      </c>
      <c r="Z268" s="88"/>
      <c r="AA268" s="92">
        <f>IF(Ruimtestaat[[#This Row],[Frequentie weekend]]&gt;0,VALUE(LEFT(Z268,1))*S268,0)</f>
        <v>0</v>
      </c>
      <c r="AB268" s="88">
        <f>IF($AA268&gt;0,VLOOKUP($K268,Ruimtegroepen[],3,FALSE)*VLOOKUP($M268,Vloersoorten[],3,FALSE)*VLOOKUP($Z268,Frequenties[],3,FALSE)*VLOOKUP(#REF!,Locaties[],3,FALSE),0)</f>
        <v>0</v>
      </c>
      <c r="AC268" s="90">
        <f>Ruimtestaat[[#This Row],[Uitvoeringen weekend]]*Ruimtestaat[[#This Row],[Oppervlak (netto)]]</f>
        <v>0</v>
      </c>
      <c r="AD268" s="93">
        <f>IF(AC268&gt;0,Ruimtestaat[[#This Row],[Prest. (m2 /jaar) weekend]]/Ruimtestaat[[#This Row],[Norm (m2/uur) weekend]],0)</f>
        <v>0</v>
      </c>
      <c r="AE268" s="94">
        <f>Ruimtestaat[[#This Row],[uren / jaar weekend]]*Tariefsopbouw!$D$40</f>
        <v>0</v>
      </c>
      <c r="AF268" s="66">
        <f>Ruimtestaat[[#This Row],[Prest. (m2 /jaar) weekend]]+Ruimtestaat[[#This Row],[Prest. (m2 /jaar) werkdagen]]</f>
        <v>10960</v>
      </c>
      <c r="AG268" s="66">
        <f>Ruimtestaat[[#This Row],[uren / jaar weekend]]+Ruimtestaat[[#This Row],[uren / jaar werkdagen]]</f>
        <v>0</v>
      </c>
      <c r="AH268" s="67">
        <f>Ruimtestaat[[#This Row],[kosten / jaar weekend]]+Ruimtestaat[[#This Row],[kosten / jaar werkdagen]]</f>
        <v>0</v>
      </c>
    </row>
    <row r="269" spans="1:34" ht="15" customHeight="1">
      <c r="A269" s="112">
        <v>2</v>
      </c>
      <c r="B269" s="23" t="str">
        <f>VLOOKUP(Ruimtestaat[[#This Row],[Code]],Locaties[#All],2,FALSE)</f>
        <v>RSG Slingerbos</v>
      </c>
      <c r="C269" s="23" t="str">
        <f>VLOOKUP(Ruimtestaat[[#This Row],[Code]],Locaties[#All],4,FALSE)</f>
        <v>Eisenhowerlaan 59</v>
      </c>
      <c r="D269" s="23" t="str">
        <f>VLOOKUP(Ruimtestaat[[#This Row],[Code]],Locaties[#All],5,FALSE)</f>
        <v>3844 AS</v>
      </c>
      <c r="E269" s="23" t="str">
        <f>VLOOKUP(Ruimtestaat[[#This Row],[Code]],Locaties[#All],6,FALSE)</f>
        <v>Harderwijk</v>
      </c>
      <c r="F269" s="23"/>
      <c r="G269" s="60" t="s">
        <v>945</v>
      </c>
      <c r="H269" s="23" t="s">
        <v>535</v>
      </c>
      <c r="I269" s="23">
        <v>21</v>
      </c>
      <c r="J269" s="3" t="s">
        <v>1043</v>
      </c>
      <c r="K269" s="23">
        <v>16</v>
      </c>
      <c r="L269" s="60" t="str">
        <f>VLOOKUP(K269,Ruimtegroepen[],2,FALSE)</f>
        <v>Leslokalen theorie</v>
      </c>
      <c r="M269" s="23" t="s">
        <v>112</v>
      </c>
      <c r="N269" s="23" t="s">
        <v>1090</v>
      </c>
      <c r="O269" s="86">
        <v>54.9</v>
      </c>
      <c r="P269" s="86"/>
      <c r="Q269" s="95" t="str">
        <f>LEFT(VLOOKUP(Ruimtestaat[[#This Row],[Ruimte code]],Ruimtegroepen[#All],4,1),2)</f>
        <v xml:space="preserve">L </v>
      </c>
      <c r="R269" s="95"/>
      <c r="S269" s="87">
        <v>40</v>
      </c>
      <c r="T269" s="87" t="s">
        <v>2</v>
      </c>
      <c r="U269" s="88">
        <f>IF(S269&gt;0,IF(RIGHT(Ruimtestaat[[#This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69" s="88">
        <f>IF(U269&gt;0,VLOOKUP($K269,Ruimtegroepen[],3,FALSE)*VLOOKUP($M269,Vloersoorten[],3,FALSE)*VLOOKUP($T269,Frequenties[],3,FALSE)*VLOOKUP($A269,Locaties[],3,FALSE),0)</f>
        <v>0</v>
      </c>
      <c r="W269" s="89">
        <f>Ruimtestaat[[#This Row],[Uitvoeringen werkdagen]]*Ruimtestaat[[#This Row],[Oppervlak (netto)]]</f>
        <v>10980</v>
      </c>
      <c r="X269" s="90">
        <f>IF(V269&gt;0,Ruimtestaat[[#This Row],[Prest. (m2 /jaar) werkdagen]]/Ruimtestaat[[#This Row],[Norm (m2/uur) werkdagen]],0)</f>
        <v>0</v>
      </c>
      <c r="Y269" s="91">
        <f>Ruimtestaat[[#This Row],[uren / jaar werkdagen]]*Tariefsopbouw!$E$35</f>
        <v>0</v>
      </c>
      <c r="Z269" s="88"/>
      <c r="AA269" s="92">
        <f>IF(Ruimtestaat[[#This Row],[Frequentie weekend]]&gt;0,VALUE(LEFT(Z269,1))*S269,0)</f>
        <v>0</v>
      </c>
      <c r="AB269" s="88">
        <f>IF($AA269&gt;0,VLOOKUP($K269,Ruimtegroepen[],3,FALSE)*VLOOKUP($M269,Vloersoorten[],3,FALSE)*VLOOKUP($Z269,Frequenties[],3,FALSE)*VLOOKUP(#REF!,Locaties[],3,FALSE),0)</f>
        <v>0</v>
      </c>
      <c r="AC269" s="90">
        <f>Ruimtestaat[[#This Row],[Uitvoeringen weekend]]*Ruimtestaat[[#This Row],[Oppervlak (netto)]]</f>
        <v>0</v>
      </c>
      <c r="AD269" s="93">
        <f>IF(AC269&gt;0,Ruimtestaat[[#This Row],[Prest. (m2 /jaar) weekend]]/Ruimtestaat[[#This Row],[Norm (m2/uur) weekend]],0)</f>
        <v>0</v>
      </c>
      <c r="AE269" s="94">
        <f>Ruimtestaat[[#This Row],[uren / jaar weekend]]*Tariefsopbouw!$D$40</f>
        <v>0</v>
      </c>
      <c r="AF269" s="66">
        <f>Ruimtestaat[[#This Row],[Prest. (m2 /jaar) weekend]]+Ruimtestaat[[#This Row],[Prest. (m2 /jaar) werkdagen]]</f>
        <v>10980</v>
      </c>
      <c r="AG269" s="66">
        <f>Ruimtestaat[[#This Row],[uren / jaar weekend]]+Ruimtestaat[[#This Row],[uren / jaar werkdagen]]</f>
        <v>0</v>
      </c>
      <c r="AH269" s="67">
        <f>Ruimtestaat[[#This Row],[kosten / jaar weekend]]+Ruimtestaat[[#This Row],[kosten / jaar werkdagen]]</f>
        <v>0</v>
      </c>
    </row>
    <row r="270" spans="1:34" ht="15" customHeight="1">
      <c r="A270" s="112">
        <v>2</v>
      </c>
      <c r="B270" s="23" t="str">
        <f>VLOOKUP(Ruimtestaat[[#This Row],[Code]],Locaties[#All],2,FALSE)</f>
        <v>RSG Slingerbos</v>
      </c>
      <c r="C270" s="23" t="str">
        <f>VLOOKUP(Ruimtestaat[[#This Row],[Code]],Locaties[#All],4,FALSE)</f>
        <v>Eisenhowerlaan 59</v>
      </c>
      <c r="D270" s="23" t="str">
        <f>VLOOKUP(Ruimtestaat[[#This Row],[Code]],Locaties[#All],5,FALSE)</f>
        <v>3844 AS</v>
      </c>
      <c r="E270" s="23" t="str">
        <f>VLOOKUP(Ruimtestaat[[#This Row],[Code]],Locaties[#All],6,FALSE)</f>
        <v>Harderwijk</v>
      </c>
      <c r="F270" s="23"/>
      <c r="G270" s="60" t="s">
        <v>946</v>
      </c>
      <c r="H270" s="23" t="s">
        <v>837</v>
      </c>
      <c r="I270" s="23">
        <v>103</v>
      </c>
      <c r="J270" s="3" t="s">
        <v>1043</v>
      </c>
      <c r="K270" s="23">
        <v>16</v>
      </c>
      <c r="L270" s="60" t="str">
        <f>VLOOKUP(K270,Ruimtegroepen[],2,FALSE)</f>
        <v>Leslokalen theorie</v>
      </c>
      <c r="M270" s="23" t="s">
        <v>112</v>
      </c>
      <c r="N270" s="23" t="s">
        <v>1090</v>
      </c>
      <c r="O270" s="86">
        <v>56.9</v>
      </c>
      <c r="P270" s="86"/>
      <c r="Q270" s="95" t="str">
        <f>LEFT(VLOOKUP(Ruimtestaat[[#This Row],[Ruimte code]],Ruimtegroepen[#All],4,1),2)</f>
        <v xml:space="preserve">L </v>
      </c>
      <c r="R270" s="95"/>
      <c r="S270" s="87">
        <v>40</v>
      </c>
      <c r="T270" s="87" t="s">
        <v>2</v>
      </c>
      <c r="U270" s="88">
        <f>IF(S270&gt;0,IF(RIGHT(Ruimtestaat[[#This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70" s="88">
        <f>IF(U270&gt;0,VLOOKUP($K270,Ruimtegroepen[],3,FALSE)*VLOOKUP($M270,Vloersoorten[],3,FALSE)*VLOOKUP($T270,Frequenties[],3,FALSE)*VLOOKUP($A270,Locaties[],3,FALSE),0)</f>
        <v>0</v>
      </c>
      <c r="W270" s="89">
        <f>Ruimtestaat[[#This Row],[Uitvoeringen werkdagen]]*Ruimtestaat[[#This Row],[Oppervlak (netto)]]</f>
        <v>11380</v>
      </c>
      <c r="X270" s="90">
        <f>IF(V270&gt;0,Ruimtestaat[[#This Row],[Prest. (m2 /jaar) werkdagen]]/Ruimtestaat[[#This Row],[Norm (m2/uur) werkdagen]],0)</f>
        <v>0</v>
      </c>
      <c r="Y270" s="91">
        <f>Ruimtestaat[[#This Row],[uren / jaar werkdagen]]*Tariefsopbouw!$E$35</f>
        <v>0</v>
      </c>
      <c r="Z270" s="88"/>
      <c r="AA270" s="92">
        <f>IF(Ruimtestaat[[#This Row],[Frequentie weekend]]&gt;0,VALUE(LEFT(Z270,1))*S270,0)</f>
        <v>0</v>
      </c>
      <c r="AB270" s="88">
        <f>IF($AA270&gt;0,VLOOKUP($K270,Ruimtegroepen[],3,FALSE)*VLOOKUP($M270,Vloersoorten[],3,FALSE)*VLOOKUP($Z270,Frequenties[],3,FALSE)*VLOOKUP(#REF!,Locaties[],3,FALSE),0)</f>
        <v>0</v>
      </c>
      <c r="AC270" s="90">
        <f>Ruimtestaat[[#This Row],[Uitvoeringen weekend]]*Ruimtestaat[[#This Row],[Oppervlak (netto)]]</f>
        <v>0</v>
      </c>
      <c r="AD270" s="93">
        <f>IF(AC270&gt;0,Ruimtestaat[[#This Row],[Prest. (m2 /jaar) weekend]]/Ruimtestaat[[#This Row],[Norm (m2/uur) weekend]],0)</f>
        <v>0</v>
      </c>
      <c r="AE270" s="94">
        <f>Ruimtestaat[[#This Row],[uren / jaar weekend]]*Tariefsopbouw!$D$40</f>
        <v>0</v>
      </c>
      <c r="AF270" s="66">
        <f>Ruimtestaat[[#This Row],[Prest. (m2 /jaar) weekend]]+Ruimtestaat[[#This Row],[Prest. (m2 /jaar) werkdagen]]</f>
        <v>11380</v>
      </c>
      <c r="AG270" s="66">
        <f>Ruimtestaat[[#This Row],[uren / jaar weekend]]+Ruimtestaat[[#This Row],[uren / jaar werkdagen]]</f>
        <v>0</v>
      </c>
      <c r="AH270" s="67">
        <f>Ruimtestaat[[#This Row],[kosten / jaar weekend]]+Ruimtestaat[[#This Row],[kosten / jaar werkdagen]]</f>
        <v>0</v>
      </c>
    </row>
    <row r="271" spans="1:34" ht="15" customHeight="1">
      <c r="A271" s="112">
        <v>2</v>
      </c>
      <c r="B271" s="23" t="str">
        <f>VLOOKUP(Ruimtestaat[[#This Row],[Code]],Locaties[#All],2,FALSE)</f>
        <v>RSG Slingerbos</v>
      </c>
      <c r="C271" s="23" t="str">
        <f>VLOOKUP(Ruimtestaat[[#This Row],[Code]],Locaties[#All],4,FALSE)</f>
        <v>Eisenhowerlaan 59</v>
      </c>
      <c r="D271" s="23" t="str">
        <f>VLOOKUP(Ruimtestaat[[#This Row],[Code]],Locaties[#All],5,FALSE)</f>
        <v>3844 AS</v>
      </c>
      <c r="E271" s="23" t="str">
        <f>VLOOKUP(Ruimtestaat[[#This Row],[Code]],Locaties[#All],6,FALSE)</f>
        <v>Harderwijk</v>
      </c>
      <c r="F271" s="23"/>
      <c r="G271" s="60" t="s">
        <v>947</v>
      </c>
      <c r="H271" s="23" t="s">
        <v>837</v>
      </c>
      <c r="I271" s="23">
        <v>102</v>
      </c>
      <c r="J271" s="3" t="s">
        <v>1043</v>
      </c>
      <c r="K271" s="23">
        <v>16</v>
      </c>
      <c r="L271" s="60" t="str">
        <f>VLOOKUP(K271,Ruimtegroepen[],2,FALSE)</f>
        <v>Leslokalen theorie</v>
      </c>
      <c r="M271" s="23" t="s">
        <v>112</v>
      </c>
      <c r="N271" s="23" t="s">
        <v>1090</v>
      </c>
      <c r="O271" s="86">
        <v>56.9</v>
      </c>
      <c r="P271" s="86"/>
      <c r="Q271" s="95" t="str">
        <f>LEFT(VLOOKUP(Ruimtestaat[[#This Row],[Ruimte code]],Ruimtegroepen[#All],4,1),2)</f>
        <v xml:space="preserve">L </v>
      </c>
      <c r="R271" s="95"/>
      <c r="S271" s="87">
        <v>40</v>
      </c>
      <c r="T271" s="87" t="s">
        <v>2</v>
      </c>
      <c r="U271" s="88">
        <f>IF(S271&gt;0,IF(RIGHT(Ruimtestaat[[#This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71" s="88">
        <f>IF(U271&gt;0,VLOOKUP($K271,Ruimtegroepen[],3,FALSE)*VLOOKUP($M271,Vloersoorten[],3,FALSE)*VLOOKUP($T271,Frequenties[],3,FALSE)*VLOOKUP($A271,Locaties[],3,FALSE),0)</f>
        <v>0</v>
      </c>
      <c r="W271" s="89">
        <f>Ruimtestaat[[#This Row],[Uitvoeringen werkdagen]]*Ruimtestaat[[#This Row],[Oppervlak (netto)]]</f>
        <v>11380</v>
      </c>
      <c r="X271" s="90">
        <f>IF(V271&gt;0,Ruimtestaat[[#This Row],[Prest. (m2 /jaar) werkdagen]]/Ruimtestaat[[#This Row],[Norm (m2/uur) werkdagen]],0)</f>
        <v>0</v>
      </c>
      <c r="Y271" s="91">
        <f>Ruimtestaat[[#This Row],[uren / jaar werkdagen]]*Tariefsopbouw!$E$35</f>
        <v>0</v>
      </c>
      <c r="Z271" s="88"/>
      <c r="AA271" s="92">
        <f>IF(Ruimtestaat[[#This Row],[Frequentie weekend]]&gt;0,VALUE(LEFT(Z271,1))*S271,0)</f>
        <v>0</v>
      </c>
      <c r="AB271" s="88">
        <f>IF($AA271&gt;0,VLOOKUP($K271,Ruimtegroepen[],3,FALSE)*VLOOKUP($M271,Vloersoorten[],3,FALSE)*VLOOKUP($Z271,Frequenties[],3,FALSE)*VLOOKUP(#REF!,Locaties[],3,FALSE),0)</f>
        <v>0</v>
      </c>
      <c r="AC271" s="90">
        <f>Ruimtestaat[[#This Row],[Uitvoeringen weekend]]*Ruimtestaat[[#This Row],[Oppervlak (netto)]]</f>
        <v>0</v>
      </c>
      <c r="AD271" s="93">
        <f>IF(AC271&gt;0,Ruimtestaat[[#This Row],[Prest. (m2 /jaar) weekend]]/Ruimtestaat[[#This Row],[Norm (m2/uur) weekend]],0)</f>
        <v>0</v>
      </c>
      <c r="AE271" s="94">
        <f>Ruimtestaat[[#This Row],[uren / jaar weekend]]*Tariefsopbouw!$D$40</f>
        <v>0</v>
      </c>
      <c r="AF271" s="66">
        <f>Ruimtestaat[[#This Row],[Prest. (m2 /jaar) weekend]]+Ruimtestaat[[#This Row],[Prest. (m2 /jaar) werkdagen]]</f>
        <v>11380</v>
      </c>
      <c r="AG271" s="66">
        <f>Ruimtestaat[[#This Row],[uren / jaar weekend]]+Ruimtestaat[[#This Row],[uren / jaar werkdagen]]</f>
        <v>0</v>
      </c>
      <c r="AH271" s="67">
        <f>Ruimtestaat[[#This Row],[kosten / jaar weekend]]+Ruimtestaat[[#This Row],[kosten / jaar werkdagen]]</f>
        <v>0</v>
      </c>
    </row>
    <row r="272" spans="1:34" ht="15" customHeight="1">
      <c r="A272" s="112">
        <v>2</v>
      </c>
      <c r="B272" s="23" t="str">
        <f>VLOOKUP(Ruimtestaat[[#This Row],[Code]],Locaties[#All],2,FALSE)</f>
        <v>RSG Slingerbos</v>
      </c>
      <c r="C272" s="23" t="str">
        <f>VLOOKUP(Ruimtestaat[[#This Row],[Code]],Locaties[#All],4,FALSE)</f>
        <v>Eisenhowerlaan 59</v>
      </c>
      <c r="D272" s="23" t="str">
        <f>VLOOKUP(Ruimtestaat[[#This Row],[Code]],Locaties[#All],5,FALSE)</f>
        <v>3844 AS</v>
      </c>
      <c r="E272" s="23" t="str">
        <f>VLOOKUP(Ruimtestaat[[#This Row],[Code]],Locaties[#All],6,FALSE)</f>
        <v>Harderwijk</v>
      </c>
      <c r="F272" s="23"/>
      <c r="G272" s="60" t="s">
        <v>948</v>
      </c>
      <c r="H272" s="23" t="s">
        <v>837</v>
      </c>
      <c r="I272" s="23">
        <v>101</v>
      </c>
      <c r="J272" s="3" t="s">
        <v>1043</v>
      </c>
      <c r="K272" s="23">
        <v>16</v>
      </c>
      <c r="L272" s="60" t="str">
        <f>VLOOKUP(K272,Ruimtegroepen[],2,FALSE)</f>
        <v>Leslokalen theorie</v>
      </c>
      <c r="M272" s="23" t="s">
        <v>112</v>
      </c>
      <c r="N272" s="23" t="s">
        <v>1090</v>
      </c>
      <c r="O272" s="86">
        <v>55.4</v>
      </c>
      <c r="P272" s="86"/>
      <c r="Q272" s="95" t="str">
        <f>LEFT(VLOOKUP(Ruimtestaat[[#This Row],[Ruimte code]],Ruimtegroepen[#All],4,1),2)</f>
        <v xml:space="preserve">L </v>
      </c>
      <c r="R272" s="95"/>
      <c r="S272" s="87">
        <v>40</v>
      </c>
      <c r="T272" s="87" t="s">
        <v>2</v>
      </c>
      <c r="U272" s="88">
        <f>IF(S272&gt;0,IF(RIGHT(Ruimtestaat[[#This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72" s="88">
        <f>IF(U272&gt;0,VLOOKUP($K272,Ruimtegroepen[],3,FALSE)*VLOOKUP($M272,Vloersoorten[],3,FALSE)*VLOOKUP($T272,Frequenties[],3,FALSE)*VLOOKUP($A272,Locaties[],3,FALSE),0)</f>
        <v>0</v>
      </c>
      <c r="W272" s="89">
        <f>Ruimtestaat[[#This Row],[Uitvoeringen werkdagen]]*Ruimtestaat[[#This Row],[Oppervlak (netto)]]</f>
        <v>11080</v>
      </c>
      <c r="X272" s="90">
        <f>IF(V272&gt;0,Ruimtestaat[[#This Row],[Prest. (m2 /jaar) werkdagen]]/Ruimtestaat[[#This Row],[Norm (m2/uur) werkdagen]],0)</f>
        <v>0</v>
      </c>
      <c r="Y272" s="91">
        <f>Ruimtestaat[[#This Row],[uren / jaar werkdagen]]*Tariefsopbouw!$E$35</f>
        <v>0</v>
      </c>
      <c r="Z272" s="88"/>
      <c r="AA272" s="92">
        <f>IF(Ruimtestaat[[#This Row],[Frequentie weekend]]&gt;0,VALUE(LEFT(Z272,1))*S272,0)</f>
        <v>0</v>
      </c>
      <c r="AB272" s="88">
        <f>IF($AA272&gt;0,VLOOKUP($K272,Ruimtegroepen[],3,FALSE)*VLOOKUP($M272,Vloersoorten[],3,FALSE)*VLOOKUP($Z272,Frequenties[],3,FALSE)*VLOOKUP(#REF!,Locaties[],3,FALSE),0)</f>
        <v>0</v>
      </c>
      <c r="AC272" s="90">
        <f>Ruimtestaat[[#This Row],[Uitvoeringen weekend]]*Ruimtestaat[[#This Row],[Oppervlak (netto)]]</f>
        <v>0</v>
      </c>
      <c r="AD272" s="93">
        <f>IF(AC272&gt;0,Ruimtestaat[[#This Row],[Prest. (m2 /jaar) weekend]]/Ruimtestaat[[#This Row],[Norm (m2/uur) weekend]],0)</f>
        <v>0</v>
      </c>
      <c r="AE272" s="94">
        <f>Ruimtestaat[[#This Row],[uren / jaar weekend]]*Tariefsopbouw!$D$40</f>
        <v>0</v>
      </c>
      <c r="AF272" s="66">
        <f>Ruimtestaat[[#This Row],[Prest. (m2 /jaar) weekend]]+Ruimtestaat[[#This Row],[Prest. (m2 /jaar) werkdagen]]</f>
        <v>11080</v>
      </c>
      <c r="AG272" s="66">
        <f>Ruimtestaat[[#This Row],[uren / jaar weekend]]+Ruimtestaat[[#This Row],[uren / jaar werkdagen]]</f>
        <v>0</v>
      </c>
      <c r="AH272" s="67">
        <f>Ruimtestaat[[#This Row],[kosten / jaar weekend]]+Ruimtestaat[[#This Row],[kosten / jaar werkdagen]]</f>
        <v>0</v>
      </c>
    </row>
    <row r="273" spans="1:34" ht="15" customHeight="1">
      <c r="A273" s="112">
        <v>2</v>
      </c>
      <c r="B273" s="23" t="str">
        <f>VLOOKUP(Ruimtestaat[[#This Row],[Code]],Locaties[#All],2,FALSE)</f>
        <v>RSG Slingerbos</v>
      </c>
      <c r="C273" s="23" t="str">
        <f>VLOOKUP(Ruimtestaat[[#This Row],[Code]],Locaties[#All],4,FALSE)</f>
        <v>Eisenhowerlaan 59</v>
      </c>
      <c r="D273" s="23" t="str">
        <f>VLOOKUP(Ruimtestaat[[#This Row],[Code]],Locaties[#All],5,FALSE)</f>
        <v>3844 AS</v>
      </c>
      <c r="E273" s="23" t="str">
        <f>VLOOKUP(Ruimtestaat[[#This Row],[Code]],Locaties[#All],6,FALSE)</f>
        <v>Harderwijk</v>
      </c>
      <c r="F273" s="23"/>
      <c r="G273" s="60" t="s">
        <v>949</v>
      </c>
      <c r="H273" s="23" t="s">
        <v>837</v>
      </c>
      <c r="I273" s="23">
        <v>104</v>
      </c>
      <c r="J273" s="3" t="s">
        <v>1043</v>
      </c>
      <c r="K273" s="23">
        <v>16</v>
      </c>
      <c r="L273" s="60" t="str">
        <f>VLOOKUP(K273,Ruimtegroepen[],2,FALSE)</f>
        <v>Leslokalen theorie</v>
      </c>
      <c r="M273" s="23" t="s">
        <v>112</v>
      </c>
      <c r="N273" s="23" t="s">
        <v>1090</v>
      </c>
      <c r="O273" s="86">
        <v>56.5</v>
      </c>
      <c r="P273" s="86"/>
      <c r="Q273" s="95" t="str">
        <f>LEFT(VLOOKUP(Ruimtestaat[[#This Row],[Ruimte code]],Ruimtegroepen[#All],4,1),2)</f>
        <v xml:space="preserve">L </v>
      </c>
      <c r="R273" s="95"/>
      <c r="S273" s="87">
        <v>40</v>
      </c>
      <c r="T273" s="87" t="s">
        <v>2</v>
      </c>
      <c r="U273" s="88">
        <f>IF(S273&gt;0,IF(RIGHT(Ruimtestaat[[#This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73" s="88">
        <f>IF(U273&gt;0,VLOOKUP($K273,Ruimtegroepen[],3,FALSE)*VLOOKUP($M273,Vloersoorten[],3,FALSE)*VLOOKUP($T273,Frequenties[],3,FALSE)*VLOOKUP($A273,Locaties[],3,FALSE),0)</f>
        <v>0</v>
      </c>
      <c r="W273" s="89">
        <f>Ruimtestaat[[#This Row],[Uitvoeringen werkdagen]]*Ruimtestaat[[#This Row],[Oppervlak (netto)]]</f>
        <v>11300</v>
      </c>
      <c r="X273" s="90">
        <f>IF(V273&gt;0,Ruimtestaat[[#This Row],[Prest. (m2 /jaar) werkdagen]]/Ruimtestaat[[#This Row],[Norm (m2/uur) werkdagen]],0)</f>
        <v>0</v>
      </c>
      <c r="Y273" s="91">
        <f>Ruimtestaat[[#This Row],[uren / jaar werkdagen]]*Tariefsopbouw!$E$35</f>
        <v>0</v>
      </c>
      <c r="Z273" s="88"/>
      <c r="AA273" s="92">
        <f>IF(Ruimtestaat[[#This Row],[Frequentie weekend]]&gt;0,VALUE(LEFT(Z273,1))*S273,0)</f>
        <v>0</v>
      </c>
      <c r="AB273" s="88">
        <f>IF($AA273&gt;0,VLOOKUP($K273,Ruimtegroepen[],3,FALSE)*VLOOKUP($M273,Vloersoorten[],3,FALSE)*VLOOKUP($Z273,Frequenties[],3,FALSE)*VLOOKUP(#REF!,Locaties[],3,FALSE),0)</f>
        <v>0</v>
      </c>
      <c r="AC273" s="90">
        <f>Ruimtestaat[[#This Row],[Uitvoeringen weekend]]*Ruimtestaat[[#This Row],[Oppervlak (netto)]]</f>
        <v>0</v>
      </c>
      <c r="AD273" s="93">
        <f>IF(AC273&gt;0,Ruimtestaat[[#This Row],[Prest. (m2 /jaar) weekend]]/Ruimtestaat[[#This Row],[Norm (m2/uur) weekend]],0)</f>
        <v>0</v>
      </c>
      <c r="AE273" s="94">
        <f>Ruimtestaat[[#This Row],[uren / jaar weekend]]*Tariefsopbouw!$D$40</f>
        <v>0</v>
      </c>
      <c r="AF273" s="66">
        <f>Ruimtestaat[[#This Row],[Prest. (m2 /jaar) weekend]]+Ruimtestaat[[#This Row],[Prest. (m2 /jaar) werkdagen]]</f>
        <v>11300</v>
      </c>
      <c r="AG273" s="66">
        <f>Ruimtestaat[[#This Row],[uren / jaar weekend]]+Ruimtestaat[[#This Row],[uren / jaar werkdagen]]</f>
        <v>0</v>
      </c>
      <c r="AH273" s="67">
        <f>Ruimtestaat[[#This Row],[kosten / jaar weekend]]+Ruimtestaat[[#This Row],[kosten / jaar werkdagen]]</f>
        <v>0</v>
      </c>
    </row>
    <row r="274" spans="1:34" ht="15" customHeight="1">
      <c r="A274" s="112">
        <v>2</v>
      </c>
      <c r="B274" s="23" t="str">
        <f>VLOOKUP(Ruimtestaat[[#This Row],[Code]],Locaties[#All],2,FALSE)</f>
        <v>RSG Slingerbos</v>
      </c>
      <c r="C274" s="23" t="str">
        <f>VLOOKUP(Ruimtestaat[[#This Row],[Code]],Locaties[#All],4,FALSE)</f>
        <v>Eisenhowerlaan 59</v>
      </c>
      <c r="D274" s="23" t="str">
        <f>VLOOKUP(Ruimtestaat[[#This Row],[Code]],Locaties[#All],5,FALSE)</f>
        <v>3844 AS</v>
      </c>
      <c r="E274" s="23" t="str">
        <f>VLOOKUP(Ruimtestaat[[#This Row],[Code]],Locaties[#All],6,FALSE)</f>
        <v>Harderwijk</v>
      </c>
      <c r="F274" s="23"/>
      <c r="G274" s="60" t="s">
        <v>950</v>
      </c>
      <c r="H274" s="23" t="s">
        <v>837</v>
      </c>
      <c r="I274" s="23">
        <v>105</v>
      </c>
      <c r="J274" s="3" t="s">
        <v>1043</v>
      </c>
      <c r="K274" s="23">
        <v>16</v>
      </c>
      <c r="L274" s="60" t="str">
        <f>VLOOKUP(K274,Ruimtegroepen[],2,FALSE)</f>
        <v>Leslokalen theorie</v>
      </c>
      <c r="M274" s="23" t="s">
        <v>112</v>
      </c>
      <c r="N274" s="23" t="s">
        <v>1090</v>
      </c>
      <c r="O274" s="86">
        <v>56.9</v>
      </c>
      <c r="P274" s="86"/>
      <c r="Q274" s="95" t="str">
        <f>LEFT(VLOOKUP(Ruimtestaat[[#This Row],[Ruimte code]],Ruimtegroepen[#All],4,1),2)</f>
        <v xml:space="preserve">L </v>
      </c>
      <c r="R274" s="95"/>
      <c r="S274" s="87">
        <v>40</v>
      </c>
      <c r="T274" s="87" t="s">
        <v>2</v>
      </c>
      <c r="U274" s="88">
        <f>IF(S274&gt;0,IF(RIGHT(Ruimtestaat[[#This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74" s="88">
        <f>IF(U274&gt;0,VLOOKUP($K274,Ruimtegroepen[],3,FALSE)*VLOOKUP($M274,Vloersoorten[],3,FALSE)*VLOOKUP($T274,Frequenties[],3,FALSE)*VLOOKUP($A274,Locaties[],3,FALSE),0)</f>
        <v>0</v>
      </c>
      <c r="W274" s="89">
        <f>Ruimtestaat[[#This Row],[Uitvoeringen werkdagen]]*Ruimtestaat[[#This Row],[Oppervlak (netto)]]</f>
        <v>11380</v>
      </c>
      <c r="X274" s="90">
        <f>IF(V274&gt;0,Ruimtestaat[[#This Row],[Prest. (m2 /jaar) werkdagen]]/Ruimtestaat[[#This Row],[Norm (m2/uur) werkdagen]],0)</f>
        <v>0</v>
      </c>
      <c r="Y274" s="91">
        <f>Ruimtestaat[[#This Row],[uren / jaar werkdagen]]*Tariefsopbouw!$E$35</f>
        <v>0</v>
      </c>
      <c r="Z274" s="88"/>
      <c r="AA274" s="92">
        <f>IF(Ruimtestaat[[#This Row],[Frequentie weekend]]&gt;0,VALUE(LEFT(Z274,1))*S274,0)</f>
        <v>0</v>
      </c>
      <c r="AB274" s="88">
        <f>IF($AA274&gt;0,VLOOKUP($K274,Ruimtegroepen[],3,FALSE)*VLOOKUP($M274,Vloersoorten[],3,FALSE)*VLOOKUP($Z274,Frequenties[],3,FALSE)*VLOOKUP(#REF!,Locaties[],3,FALSE),0)</f>
        <v>0</v>
      </c>
      <c r="AC274" s="90">
        <f>Ruimtestaat[[#This Row],[Uitvoeringen weekend]]*Ruimtestaat[[#This Row],[Oppervlak (netto)]]</f>
        <v>0</v>
      </c>
      <c r="AD274" s="93">
        <f>IF(AC274&gt;0,Ruimtestaat[[#This Row],[Prest. (m2 /jaar) weekend]]/Ruimtestaat[[#This Row],[Norm (m2/uur) weekend]],0)</f>
        <v>0</v>
      </c>
      <c r="AE274" s="94">
        <f>Ruimtestaat[[#This Row],[uren / jaar weekend]]*Tariefsopbouw!$D$40</f>
        <v>0</v>
      </c>
      <c r="AF274" s="66">
        <f>Ruimtestaat[[#This Row],[Prest. (m2 /jaar) weekend]]+Ruimtestaat[[#This Row],[Prest. (m2 /jaar) werkdagen]]</f>
        <v>11380</v>
      </c>
      <c r="AG274" s="66">
        <f>Ruimtestaat[[#This Row],[uren / jaar weekend]]+Ruimtestaat[[#This Row],[uren / jaar werkdagen]]</f>
        <v>0</v>
      </c>
      <c r="AH274" s="67">
        <f>Ruimtestaat[[#This Row],[kosten / jaar weekend]]+Ruimtestaat[[#This Row],[kosten / jaar werkdagen]]</f>
        <v>0</v>
      </c>
    </row>
    <row r="275" spans="1:34" ht="15" customHeight="1">
      <c r="A275" s="112">
        <v>2</v>
      </c>
      <c r="B275" s="23" t="str">
        <f>VLOOKUP(Ruimtestaat[[#This Row],[Code]],Locaties[#All],2,FALSE)</f>
        <v>RSG Slingerbos</v>
      </c>
      <c r="C275" s="23" t="str">
        <f>VLOOKUP(Ruimtestaat[[#This Row],[Code]],Locaties[#All],4,FALSE)</f>
        <v>Eisenhowerlaan 59</v>
      </c>
      <c r="D275" s="23" t="str">
        <f>VLOOKUP(Ruimtestaat[[#This Row],[Code]],Locaties[#All],5,FALSE)</f>
        <v>3844 AS</v>
      </c>
      <c r="E275" s="23" t="str">
        <f>VLOOKUP(Ruimtestaat[[#This Row],[Code]],Locaties[#All],6,FALSE)</f>
        <v>Harderwijk</v>
      </c>
      <c r="F275" s="23"/>
      <c r="G275" s="60" t="s">
        <v>951</v>
      </c>
      <c r="H275" s="23" t="s">
        <v>837</v>
      </c>
      <c r="I275" s="23">
        <v>106</v>
      </c>
      <c r="J275" s="3" t="s">
        <v>1043</v>
      </c>
      <c r="K275" s="23">
        <v>16</v>
      </c>
      <c r="L275" s="60" t="str">
        <f>VLOOKUP(K275,Ruimtegroepen[],2,FALSE)</f>
        <v>Leslokalen theorie</v>
      </c>
      <c r="M275" s="23" t="s">
        <v>112</v>
      </c>
      <c r="N275" s="23" t="s">
        <v>1090</v>
      </c>
      <c r="O275" s="86">
        <v>56.9</v>
      </c>
      <c r="P275" s="86"/>
      <c r="Q275" s="95" t="str">
        <f>LEFT(VLOOKUP(Ruimtestaat[[#This Row],[Ruimte code]],Ruimtegroepen[#All],4,1),2)</f>
        <v xml:space="preserve">L </v>
      </c>
      <c r="R275" s="95"/>
      <c r="S275" s="87">
        <v>40</v>
      </c>
      <c r="T275" s="87" t="s">
        <v>2</v>
      </c>
      <c r="U275" s="88">
        <f>IF(S275&gt;0,IF(RIGHT(Ruimtestaat[[#This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75" s="88">
        <f>IF(U275&gt;0,VLOOKUP($K275,Ruimtegroepen[],3,FALSE)*VLOOKUP($M275,Vloersoorten[],3,FALSE)*VLOOKUP($T275,Frequenties[],3,FALSE)*VLOOKUP($A275,Locaties[],3,FALSE),0)</f>
        <v>0</v>
      </c>
      <c r="W275" s="89">
        <f>Ruimtestaat[[#This Row],[Uitvoeringen werkdagen]]*Ruimtestaat[[#This Row],[Oppervlak (netto)]]</f>
        <v>11380</v>
      </c>
      <c r="X275" s="90">
        <f>IF(V275&gt;0,Ruimtestaat[[#This Row],[Prest. (m2 /jaar) werkdagen]]/Ruimtestaat[[#This Row],[Norm (m2/uur) werkdagen]],0)</f>
        <v>0</v>
      </c>
      <c r="Y275" s="91">
        <f>Ruimtestaat[[#This Row],[uren / jaar werkdagen]]*Tariefsopbouw!$E$35</f>
        <v>0</v>
      </c>
      <c r="Z275" s="88"/>
      <c r="AA275" s="92">
        <f>IF(Ruimtestaat[[#This Row],[Frequentie weekend]]&gt;0,VALUE(LEFT(Z275,1))*S275,0)</f>
        <v>0</v>
      </c>
      <c r="AB275" s="88">
        <f>IF($AA275&gt;0,VLOOKUP($K275,Ruimtegroepen[],3,FALSE)*VLOOKUP($M275,Vloersoorten[],3,FALSE)*VLOOKUP($Z275,Frequenties[],3,FALSE)*VLOOKUP(#REF!,Locaties[],3,FALSE),0)</f>
        <v>0</v>
      </c>
      <c r="AC275" s="90">
        <f>Ruimtestaat[[#This Row],[Uitvoeringen weekend]]*Ruimtestaat[[#This Row],[Oppervlak (netto)]]</f>
        <v>0</v>
      </c>
      <c r="AD275" s="93">
        <f>IF(AC275&gt;0,Ruimtestaat[[#This Row],[Prest. (m2 /jaar) weekend]]/Ruimtestaat[[#This Row],[Norm (m2/uur) weekend]],0)</f>
        <v>0</v>
      </c>
      <c r="AE275" s="94">
        <f>Ruimtestaat[[#This Row],[uren / jaar weekend]]*Tariefsopbouw!$D$40</f>
        <v>0</v>
      </c>
      <c r="AF275" s="66">
        <f>Ruimtestaat[[#This Row],[Prest. (m2 /jaar) weekend]]+Ruimtestaat[[#This Row],[Prest. (m2 /jaar) werkdagen]]</f>
        <v>11380</v>
      </c>
      <c r="AG275" s="66">
        <f>Ruimtestaat[[#This Row],[uren / jaar weekend]]+Ruimtestaat[[#This Row],[uren / jaar werkdagen]]</f>
        <v>0</v>
      </c>
      <c r="AH275" s="67">
        <f>Ruimtestaat[[#This Row],[kosten / jaar weekend]]+Ruimtestaat[[#This Row],[kosten / jaar werkdagen]]</f>
        <v>0</v>
      </c>
    </row>
    <row r="276" spans="1:34" ht="15" customHeight="1">
      <c r="A276" s="112">
        <v>2</v>
      </c>
      <c r="B276" s="23" t="str">
        <f>VLOOKUP(Ruimtestaat[[#This Row],[Code]],Locaties[#All],2,FALSE)</f>
        <v>RSG Slingerbos</v>
      </c>
      <c r="C276" s="23" t="str">
        <f>VLOOKUP(Ruimtestaat[[#This Row],[Code]],Locaties[#All],4,FALSE)</f>
        <v>Eisenhowerlaan 59</v>
      </c>
      <c r="D276" s="23" t="str">
        <f>VLOOKUP(Ruimtestaat[[#This Row],[Code]],Locaties[#All],5,FALSE)</f>
        <v>3844 AS</v>
      </c>
      <c r="E276" s="23" t="str">
        <f>VLOOKUP(Ruimtestaat[[#This Row],[Code]],Locaties[#All],6,FALSE)</f>
        <v>Harderwijk</v>
      </c>
      <c r="F276" s="23"/>
      <c r="G276" s="60" t="s">
        <v>952</v>
      </c>
      <c r="H276" s="23" t="s">
        <v>837</v>
      </c>
      <c r="I276" s="23">
        <v>107</v>
      </c>
      <c r="J276" s="3" t="s">
        <v>1043</v>
      </c>
      <c r="K276" s="23">
        <v>16</v>
      </c>
      <c r="L276" s="60" t="str">
        <f>VLOOKUP(K276,Ruimtegroepen[],2,FALSE)</f>
        <v>Leslokalen theorie</v>
      </c>
      <c r="M276" s="23" t="s">
        <v>112</v>
      </c>
      <c r="N276" s="23" t="s">
        <v>1090</v>
      </c>
      <c r="O276" s="86">
        <v>56.5</v>
      </c>
      <c r="P276" s="86"/>
      <c r="Q276" s="95" t="str">
        <f>LEFT(VLOOKUP(Ruimtestaat[[#This Row],[Ruimte code]],Ruimtegroepen[#All],4,1),2)</f>
        <v xml:space="preserve">L </v>
      </c>
      <c r="R276" s="95"/>
      <c r="S276" s="87">
        <v>40</v>
      </c>
      <c r="T276" s="87" t="s">
        <v>2</v>
      </c>
      <c r="U276" s="88">
        <f>IF(S276&gt;0,IF(RIGHT(Ruimtestaat[[#This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76" s="88">
        <f>IF(U276&gt;0,VLOOKUP($K276,Ruimtegroepen[],3,FALSE)*VLOOKUP($M276,Vloersoorten[],3,FALSE)*VLOOKUP($T276,Frequenties[],3,FALSE)*VLOOKUP($A276,Locaties[],3,FALSE),0)</f>
        <v>0</v>
      </c>
      <c r="W276" s="89">
        <f>Ruimtestaat[[#This Row],[Uitvoeringen werkdagen]]*Ruimtestaat[[#This Row],[Oppervlak (netto)]]</f>
        <v>11300</v>
      </c>
      <c r="X276" s="90">
        <f>IF(V276&gt;0,Ruimtestaat[[#This Row],[Prest. (m2 /jaar) werkdagen]]/Ruimtestaat[[#This Row],[Norm (m2/uur) werkdagen]],0)</f>
        <v>0</v>
      </c>
      <c r="Y276" s="91">
        <f>Ruimtestaat[[#This Row],[uren / jaar werkdagen]]*Tariefsopbouw!$E$35</f>
        <v>0</v>
      </c>
      <c r="Z276" s="88"/>
      <c r="AA276" s="92">
        <f>IF(Ruimtestaat[[#This Row],[Frequentie weekend]]&gt;0,VALUE(LEFT(Z276,1))*S276,0)</f>
        <v>0</v>
      </c>
      <c r="AB276" s="88">
        <f>IF($AA276&gt;0,VLOOKUP($K276,Ruimtegroepen[],3,FALSE)*VLOOKUP($M276,Vloersoorten[],3,FALSE)*VLOOKUP($Z276,Frequenties[],3,FALSE)*VLOOKUP(#REF!,Locaties[],3,FALSE),0)</f>
        <v>0</v>
      </c>
      <c r="AC276" s="90">
        <f>Ruimtestaat[[#This Row],[Uitvoeringen weekend]]*Ruimtestaat[[#This Row],[Oppervlak (netto)]]</f>
        <v>0</v>
      </c>
      <c r="AD276" s="93">
        <f>IF(AC276&gt;0,Ruimtestaat[[#This Row],[Prest. (m2 /jaar) weekend]]/Ruimtestaat[[#This Row],[Norm (m2/uur) weekend]],0)</f>
        <v>0</v>
      </c>
      <c r="AE276" s="94">
        <f>Ruimtestaat[[#This Row],[uren / jaar weekend]]*Tariefsopbouw!$D$40</f>
        <v>0</v>
      </c>
      <c r="AF276" s="66">
        <f>Ruimtestaat[[#This Row],[Prest. (m2 /jaar) weekend]]+Ruimtestaat[[#This Row],[Prest. (m2 /jaar) werkdagen]]</f>
        <v>11300</v>
      </c>
      <c r="AG276" s="66">
        <f>Ruimtestaat[[#This Row],[uren / jaar weekend]]+Ruimtestaat[[#This Row],[uren / jaar werkdagen]]</f>
        <v>0</v>
      </c>
      <c r="AH276" s="67">
        <f>Ruimtestaat[[#This Row],[kosten / jaar weekend]]+Ruimtestaat[[#This Row],[kosten / jaar werkdagen]]</f>
        <v>0</v>
      </c>
    </row>
    <row r="277" spans="1:34" ht="15" customHeight="1">
      <c r="A277" s="112">
        <v>2</v>
      </c>
      <c r="B277" s="23" t="str">
        <f>VLOOKUP(Ruimtestaat[[#This Row],[Code]],Locaties[#All],2,FALSE)</f>
        <v>RSG Slingerbos</v>
      </c>
      <c r="C277" s="23" t="str">
        <f>VLOOKUP(Ruimtestaat[[#This Row],[Code]],Locaties[#All],4,FALSE)</f>
        <v>Eisenhowerlaan 59</v>
      </c>
      <c r="D277" s="23" t="str">
        <f>VLOOKUP(Ruimtestaat[[#This Row],[Code]],Locaties[#All],5,FALSE)</f>
        <v>3844 AS</v>
      </c>
      <c r="E277" s="23" t="str">
        <f>VLOOKUP(Ruimtestaat[[#This Row],[Code]],Locaties[#All],6,FALSE)</f>
        <v>Harderwijk</v>
      </c>
      <c r="F277" s="23"/>
      <c r="G277" s="60" t="s">
        <v>953</v>
      </c>
      <c r="H277" s="23" t="s">
        <v>837</v>
      </c>
      <c r="I277" s="23">
        <v>108</v>
      </c>
      <c r="J277" s="3" t="s">
        <v>1043</v>
      </c>
      <c r="K277" s="23">
        <v>16</v>
      </c>
      <c r="L277" s="60" t="str">
        <f>VLOOKUP(K277,Ruimtegroepen[],2,FALSE)</f>
        <v>Leslokalen theorie</v>
      </c>
      <c r="M277" s="23" t="s">
        <v>112</v>
      </c>
      <c r="N277" s="23" t="s">
        <v>1090</v>
      </c>
      <c r="O277" s="86">
        <v>57.5</v>
      </c>
      <c r="P277" s="86"/>
      <c r="Q277" s="95" t="str">
        <f>LEFT(VLOOKUP(Ruimtestaat[[#This Row],[Ruimte code]],Ruimtegroepen[#All],4,1),2)</f>
        <v xml:space="preserve">L </v>
      </c>
      <c r="R277" s="95"/>
      <c r="S277" s="87">
        <v>40</v>
      </c>
      <c r="T277" s="87" t="s">
        <v>2</v>
      </c>
      <c r="U277" s="88">
        <f>IF(S277&gt;0,IF(RIGHT(Ruimtestaat[[#This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77" s="88">
        <f>IF(U277&gt;0,VLOOKUP($K277,Ruimtegroepen[],3,FALSE)*VLOOKUP($M277,Vloersoorten[],3,FALSE)*VLOOKUP($T277,Frequenties[],3,FALSE)*VLOOKUP($A277,Locaties[],3,FALSE),0)</f>
        <v>0</v>
      </c>
      <c r="W277" s="89">
        <f>Ruimtestaat[[#This Row],[Uitvoeringen werkdagen]]*Ruimtestaat[[#This Row],[Oppervlak (netto)]]</f>
        <v>11500</v>
      </c>
      <c r="X277" s="90">
        <f>IF(V277&gt;0,Ruimtestaat[[#This Row],[Prest. (m2 /jaar) werkdagen]]/Ruimtestaat[[#This Row],[Norm (m2/uur) werkdagen]],0)</f>
        <v>0</v>
      </c>
      <c r="Y277" s="91">
        <f>Ruimtestaat[[#This Row],[uren / jaar werkdagen]]*Tariefsopbouw!$E$35</f>
        <v>0</v>
      </c>
      <c r="Z277" s="88"/>
      <c r="AA277" s="92">
        <f>IF(Ruimtestaat[[#This Row],[Frequentie weekend]]&gt;0,VALUE(LEFT(Z277,1))*S277,0)</f>
        <v>0</v>
      </c>
      <c r="AB277" s="88">
        <f>IF($AA277&gt;0,VLOOKUP($K277,Ruimtegroepen[],3,FALSE)*VLOOKUP($M277,Vloersoorten[],3,FALSE)*VLOOKUP($Z277,Frequenties[],3,FALSE)*VLOOKUP(#REF!,Locaties[],3,FALSE),0)</f>
        <v>0</v>
      </c>
      <c r="AC277" s="90">
        <f>Ruimtestaat[[#This Row],[Uitvoeringen weekend]]*Ruimtestaat[[#This Row],[Oppervlak (netto)]]</f>
        <v>0</v>
      </c>
      <c r="AD277" s="93">
        <f>IF(AC277&gt;0,Ruimtestaat[[#This Row],[Prest. (m2 /jaar) weekend]]/Ruimtestaat[[#This Row],[Norm (m2/uur) weekend]],0)</f>
        <v>0</v>
      </c>
      <c r="AE277" s="94">
        <f>Ruimtestaat[[#This Row],[uren / jaar weekend]]*Tariefsopbouw!$D$40</f>
        <v>0</v>
      </c>
      <c r="AF277" s="66">
        <f>Ruimtestaat[[#This Row],[Prest. (m2 /jaar) weekend]]+Ruimtestaat[[#This Row],[Prest. (m2 /jaar) werkdagen]]</f>
        <v>11500</v>
      </c>
      <c r="AG277" s="66">
        <f>Ruimtestaat[[#This Row],[uren / jaar weekend]]+Ruimtestaat[[#This Row],[uren / jaar werkdagen]]</f>
        <v>0</v>
      </c>
      <c r="AH277" s="67">
        <f>Ruimtestaat[[#This Row],[kosten / jaar weekend]]+Ruimtestaat[[#This Row],[kosten / jaar werkdagen]]</f>
        <v>0</v>
      </c>
    </row>
    <row r="278" spans="1:34" ht="15" customHeight="1">
      <c r="A278" s="112">
        <v>2</v>
      </c>
      <c r="B278" s="23" t="str">
        <f>VLOOKUP(Ruimtestaat[[#This Row],[Code]],Locaties[#All],2,FALSE)</f>
        <v>RSG Slingerbos</v>
      </c>
      <c r="C278" s="23" t="str">
        <f>VLOOKUP(Ruimtestaat[[#This Row],[Code]],Locaties[#All],4,FALSE)</f>
        <v>Eisenhowerlaan 59</v>
      </c>
      <c r="D278" s="23" t="str">
        <f>VLOOKUP(Ruimtestaat[[#This Row],[Code]],Locaties[#All],5,FALSE)</f>
        <v>3844 AS</v>
      </c>
      <c r="E278" s="23" t="str">
        <f>VLOOKUP(Ruimtestaat[[#This Row],[Code]],Locaties[#All],6,FALSE)</f>
        <v>Harderwijk</v>
      </c>
      <c r="F278" s="23"/>
      <c r="G278" s="60" t="s">
        <v>953</v>
      </c>
      <c r="H278" s="23" t="s">
        <v>837</v>
      </c>
      <c r="I278" s="23" t="s">
        <v>784</v>
      </c>
      <c r="J278" s="3" t="s">
        <v>1043</v>
      </c>
      <c r="K278" s="23">
        <v>16</v>
      </c>
      <c r="L278" s="60" t="str">
        <f>VLOOKUP(K278,Ruimtegroepen[],2,FALSE)</f>
        <v>Leslokalen theorie</v>
      </c>
      <c r="M278" s="23" t="s">
        <v>112</v>
      </c>
      <c r="N278" s="23" t="s">
        <v>1090</v>
      </c>
      <c r="O278" s="86">
        <v>57.5</v>
      </c>
      <c r="P278" s="86"/>
      <c r="Q278" s="95" t="str">
        <f>LEFT(VLOOKUP(Ruimtestaat[[#This Row],[Ruimte code]],Ruimtegroepen[#All],4,1),2)</f>
        <v xml:space="preserve">L </v>
      </c>
      <c r="R278" s="95"/>
      <c r="S278" s="87">
        <v>40</v>
      </c>
      <c r="T278" s="87" t="s">
        <v>2</v>
      </c>
      <c r="U278" s="88">
        <f>IF(S278&gt;0,IF(RIGHT(Ruimtestaat[[#This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78" s="88">
        <f>IF(U278&gt;0,VLOOKUP($K278,Ruimtegroepen[],3,FALSE)*VLOOKUP($M278,Vloersoorten[],3,FALSE)*VLOOKUP($T278,Frequenties[],3,FALSE)*VLOOKUP($A278,Locaties[],3,FALSE),0)</f>
        <v>0</v>
      </c>
      <c r="W278" s="89">
        <f>Ruimtestaat[[#This Row],[Uitvoeringen werkdagen]]*Ruimtestaat[[#This Row],[Oppervlak (netto)]]</f>
        <v>11500</v>
      </c>
      <c r="X278" s="90">
        <f>IF(V278&gt;0,Ruimtestaat[[#This Row],[Prest. (m2 /jaar) werkdagen]]/Ruimtestaat[[#This Row],[Norm (m2/uur) werkdagen]],0)</f>
        <v>0</v>
      </c>
      <c r="Y278" s="91">
        <f>Ruimtestaat[[#This Row],[uren / jaar werkdagen]]*Tariefsopbouw!$E$35</f>
        <v>0</v>
      </c>
      <c r="Z278" s="88"/>
      <c r="AA278" s="92">
        <f>IF(Ruimtestaat[[#This Row],[Frequentie weekend]]&gt;0,VALUE(LEFT(Z278,1))*S278,0)</f>
        <v>0</v>
      </c>
      <c r="AB278" s="88">
        <f>IF($AA278&gt;0,VLOOKUP($K278,Ruimtegroepen[],3,FALSE)*VLOOKUP($M278,Vloersoorten[],3,FALSE)*VLOOKUP($Z278,Frequenties[],3,FALSE)*VLOOKUP(#REF!,Locaties[],3,FALSE),0)</f>
        <v>0</v>
      </c>
      <c r="AC278" s="90">
        <f>Ruimtestaat[[#This Row],[Uitvoeringen weekend]]*Ruimtestaat[[#This Row],[Oppervlak (netto)]]</f>
        <v>0</v>
      </c>
      <c r="AD278" s="93">
        <f>IF(AC278&gt;0,Ruimtestaat[[#This Row],[Prest. (m2 /jaar) weekend]]/Ruimtestaat[[#This Row],[Norm (m2/uur) weekend]],0)</f>
        <v>0</v>
      </c>
      <c r="AE278" s="94">
        <f>Ruimtestaat[[#This Row],[uren / jaar weekend]]*Tariefsopbouw!$D$40</f>
        <v>0</v>
      </c>
      <c r="AF278" s="66">
        <f>Ruimtestaat[[#This Row],[Prest. (m2 /jaar) weekend]]+Ruimtestaat[[#This Row],[Prest. (m2 /jaar) werkdagen]]</f>
        <v>11500</v>
      </c>
      <c r="AG278" s="66">
        <f>Ruimtestaat[[#This Row],[uren / jaar weekend]]+Ruimtestaat[[#This Row],[uren / jaar werkdagen]]</f>
        <v>0</v>
      </c>
      <c r="AH278" s="67">
        <f>Ruimtestaat[[#This Row],[kosten / jaar weekend]]+Ruimtestaat[[#This Row],[kosten / jaar werkdagen]]</f>
        <v>0</v>
      </c>
    </row>
    <row r="279" spans="1:34" ht="15" customHeight="1">
      <c r="A279" s="112">
        <v>2</v>
      </c>
      <c r="B279" s="23" t="str">
        <f>VLOOKUP(Ruimtestaat[[#This Row],[Code]],Locaties[#All],2,FALSE)</f>
        <v>RSG Slingerbos</v>
      </c>
      <c r="C279" s="23" t="str">
        <f>VLOOKUP(Ruimtestaat[[#This Row],[Code]],Locaties[#All],4,FALSE)</f>
        <v>Eisenhowerlaan 59</v>
      </c>
      <c r="D279" s="23" t="str">
        <f>VLOOKUP(Ruimtestaat[[#This Row],[Code]],Locaties[#All],5,FALSE)</f>
        <v>3844 AS</v>
      </c>
      <c r="E279" s="23" t="str">
        <f>VLOOKUP(Ruimtestaat[[#This Row],[Code]],Locaties[#All],6,FALSE)</f>
        <v>Harderwijk</v>
      </c>
      <c r="F279" s="23"/>
      <c r="G279" s="60" t="s">
        <v>954</v>
      </c>
      <c r="H279" s="23" t="s">
        <v>837</v>
      </c>
      <c r="I279" s="23">
        <v>109</v>
      </c>
      <c r="J279" s="3" t="s">
        <v>1043</v>
      </c>
      <c r="K279" s="23">
        <v>16</v>
      </c>
      <c r="L279" s="60" t="str">
        <f>VLOOKUP(K279,Ruimtegroepen[],2,FALSE)</f>
        <v>Leslokalen theorie</v>
      </c>
      <c r="M279" s="23" t="s">
        <v>112</v>
      </c>
      <c r="N279" s="23" t="s">
        <v>1090</v>
      </c>
      <c r="O279" s="86">
        <v>57.5</v>
      </c>
      <c r="P279" s="86"/>
      <c r="Q279" s="95" t="str">
        <f>LEFT(VLOOKUP(Ruimtestaat[[#This Row],[Ruimte code]],Ruimtegroepen[#All],4,1),2)</f>
        <v xml:space="preserve">L </v>
      </c>
      <c r="R279" s="95"/>
      <c r="S279" s="87">
        <v>40</v>
      </c>
      <c r="T279" s="87" t="s">
        <v>2</v>
      </c>
      <c r="U279" s="88">
        <f>IF(S279&gt;0,IF(RIGHT(Ruimtestaat[[#This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79" s="88">
        <f>IF(U279&gt;0,VLOOKUP($K279,Ruimtegroepen[],3,FALSE)*VLOOKUP($M279,Vloersoorten[],3,FALSE)*VLOOKUP($T279,Frequenties[],3,FALSE)*VLOOKUP($A279,Locaties[],3,FALSE),0)</f>
        <v>0</v>
      </c>
      <c r="W279" s="89">
        <f>Ruimtestaat[[#This Row],[Uitvoeringen werkdagen]]*Ruimtestaat[[#This Row],[Oppervlak (netto)]]</f>
        <v>11500</v>
      </c>
      <c r="X279" s="90">
        <f>IF(V279&gt;0,Ruimtestaat[[#This Row],[Prest. (m2 /jaar) werkdagen]]/Ruimtestaat[[#This Row],[Norm (m2/uur) werkdagen]],0)</f>
        <v>0</v>
      </c>
      <c r="Y279" s="91">
        <f>Ruimtestaat[[#This Row],[uren / jaar werkdagen]]*Tariefsopbouw!$E$35</f>
        <v>0</v>
      </c>
      <c r="Z279" s="88"/>
      <c r="AA279" s="92">
        <f>IF(Ruimtestaat[[#This Row],[Frequentie weekend]]&gt;0,VALUE(LEFT(Z279,1))*S279,0)</f>
        <v>0</v>
      </c>
      <c r="AB279" s="88">
        <f>IF($AA279&gt;0,VLOOKUP($K279,Ruimtegroepen[],3,FALSE)*VLOOKUP($M279,Vloersoorten[],3,FALSE)*VLOOKUP($Z279,Frequenties[],3,FALSE)*VLOOKUP(#REF!,Locaties[],3,FALSE),0)</f>
        <v>0</v>
      </c>
      <c r="AC279" s="90">
        <f>Ruimtestaat[[#This Row],[Uitvoeringen weekend]]*Ruimtestaat[[#This Row],[Oppervlak (netto)]]</f>
        <v>0</v>
      </c>
      <c r="AD279" s="93">
        <f>IF(AC279&gt;0,Ruimtestaat[[#This Row],[Prest. (m2 /jaar) weekend]]/Ruimtestaat[[#This Row],[Norm (m2/uur) weekend]],0)</f>
        <v>0</v>
      </c>
      <c r="AE279" s="94">
        <f>Ruimtestaat[[#This Row],[uren / jaar weekend]]*Tariefsopbouw!$D$40</f>
        <v>0</v>
      </c>
      <c r="AF279" s="66">
        <f>Ruimtestaat[[#This Row],[Prest. (m2 /jaar) weekend]]+Ruimtestaat[[#This Row],[Prest. (m2 /jaar) werkdagen]]</f>
        <v>11500</v>
      </c>
      <c r="AG279" s="66">
        <f>Ruimtestaat[[#This Row],[uren / jaar weekend]]+Ruimtestaat[[#This Row],[uren / jaar werkdagen]]</f>
        <v>0</v>
      </c>
      <c r="AH279" s="67">
        <f>Ruimtestaat[[#This Row],[kosten / jaar weekend]]+Ruimtestaat[[#This Row],[kosten / jaar werkdagen]]</f>
        <v>0</v>
      </c>
    </row>
    <row r="280" spans="1:34" ht="15" customHeight="1">
      <c r="A280" s="112">
        <v>2</v>
      </c>
      <c r="B280" s="23" t="str">
        <f>VLOOKUP(Ruimtestaat[[#This Row],[Code]],Locaties[#All],2,FALSE)</f>
        <v>RSG Slingerbos</v>
      </c>
      <c r="C280" s="23" t="str">
        <f>VLOOKUP(Ruimtestaat[[#This Row],[Code]],Locaties[#All],4,FALSE)</f>
        <v>Eisenhowerlaan 59</v>
      </c>
      <c r="D280" s="23" t="str">
        <f>VLOOKUP(Ruimtestaat[[#This Row],[Code]],Locaties[#All],5,FALSE)</f>
        <v>3844 AS</v>
      </c>
      <c r="E280" s="23" t="str">
        <f>VLOOKUP(Ruimtestaat[[#This Row],[Code]],Locaties[#All],6,FALSE)</f>
        <v>Harderwijk</v>
      </c>
      <c r="F280" s="23"/>
      <c r="G280" s="60" t="s">
        <v>955</v>
      </c>
      <c r="H280" s="23" t="s">
        <v>837</v>
      </c>
      <c r="I280" s="23">
        <v>110</v>
      </c>
      <c r="J280" s="3" t="s">
        <v>1043</v>
      </c>
      <c r="K280" s="23">
        <v>16</v>
      </c>
      <c r="L280" s="60" t="str">
        <f>VLOOKUP(K280,Ruimtegroepen[],2,FALSE)</f>
        <v>Leslokalen theorie</v>
      </c>
      <c r="M280" s="23" t="s">
        <v>112</v>
      </c>
      <c r="N280" s="23" t="s">
        <v>1090</v>
      </c>
      <c r="O280" s="86">
        <v>70.3</v>
      </c>
      <c r="P280" s="86"/>
      <c r="Q280" s="95" t="str">
        <f>LEFT(VLOOKUP(Ruimtestaat[[#This Row],[Ruimte code]],Ruimtegroepen[#All],4,1),2)</f>
        <v xml:space="preserve">L </v>
      </c>
      <c r="R280" s="95"/>
      <c r="S280" s="87">
        <v>40</v>
      </c>
      <c r="T280" s="87" t="s">
        <v>2</v>
      </c>
      <c r="U280" s="88">
        <f>IF(S280&gt;0,IF(RIGHT(Ruimtestaat[[#This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80" s="88">
        <f>IF(U280&gt;0,VLOOKUP($K280,Ruimtegroepen[],3,FALSE)*VLOOKUP($M280,Vloersoorten[],3,FALSE)*VLOOKUP($T280,Frequenties[],3,FALSE)*VLOOKUP($A280,Locaties[],3,FALSE),0)</f>
        <v>0</v>
      </c>
      <c r="W280" s="89">
        <f>Ruimtestaat[[#This Row],[Uitvoeringen werkdagen]]*Ruimtestaat[[#This Row],[Oppervlak (netto)]]</f>
        <v>14060</v>
      </c>
      <c r="X280" s="90">
        <f>IF(V280&gt;0,Ruimtestaat[[#This Row],[Prest. (m2 /jaar) werkdagen]]/Ruimtestaat[[#This Row],[Norm (m2/uur) werkdagen]],0)</f>
        <v>0</v>
      </c>
      <c r="Y280" s="91">
        <f>Ruimtestaat[[#This Row],[uren / jaar werkdagen]]*Tariefsopbouw!$E$35</f>
        <v>0</v>
      </c>
      <c r="Z280" s="88"/>
      <c r="AA280" s="92">
        <f>IF(Ruimtestaat[[#This Row],[Frequentie weekend]]&gt;0,VALUE(LEFT(Z280,1))*S280,0)</f>
        <v>0</v>
      </c>
      <c r="AB280" s="88">
        <f>IF($AA280&gt;0,VLOOKUP($K280,Ruimtegroepen[],3,FALSE)*VLOOKUP($M280,Vloersoorten[],3,FALSE)*VLOOKUP($Z280,Frequenties[],3,FALSE)*VLOOKUP(#REF!,Locaties[],3,FALSE),0)</f>
        <v>0</v>
      </c>
      <c r="AC280" s="90">
        <f>Ruimtestaat[[#This Row],[Uitvoeringen weekend]]*Ruimtestaat[[#This Row],[Oppervlak (netto)]]</f>
        <v>0</v>
      </c>
      <c r="AD280" s="93">
        <f>IF(AC280&gt;0,Ruimtestaat[[#This Row],[Prest. (m2 /jaar) weekend]]/Ruimtestaat[[#This Row],[Norm (m2/uur) weekend]],0)</f>
        <v>0</v>
      </c>
      <c r="AE280" s="94">
        <f>Ruimtestaat[[#This Row],[uren / jaar weekend]]*Tariefsopbouw!$D$40</f>
        <v>0</v>
      </c>
      <c r="AF280" s="66">
        <f>Ruimtestaat[[#This Row],[Prest. (m2 /jaar) weekend]]+Ruimtestaat[[#This Row],[Prest. (m2 /jaar) werkdagen]]</f>
        <v>14060</v>
      </c>
      <c r="AG280" s="66">
        <f>Ruimtestaat[[#This Row],[uren / jaar weekend]]+Ruimtestaat[[#This Row],[uren / jaar werkdagen]]</f>
        <v>0</v>
      </c>
      <c r="AH280" s="67">
        <f>Ruimtestaat[[#This Row],[kosten / jaar weekend]]+Ruimtestaat[[#This Row],[kosten / jaar werkdagen]]</f>
        <v>0</v>
      </c>
    </row>
    <row r="281" spans="1:34" ht="15" customHeight="1">
      <c r="A281" s="112">
        <v>2</v>
      </c>
      <c r="B281" s="23" t="str">
        <f>VLOOKUP(Ruimtestaat[[#This Row],[Code]],Locaties[#All],2,FALSE)</f>
        <v>RSG Slingerbos</v>
      </c>
      <c r="C281" s="23" t="str">
        <f>VLOOKUP(Ruimtestaat[[#This Row],[Code]],Locaties[#All],4,FALSE)</f>
        <v>Eisenhowerlaan 59</v>
      </c>
      <c r="D281" s="23" t="str">
        <f>VLOOKUP(Ruimtestaat[[#This Row],[Code]],Locaties[#All],5,FALSE)</f>
        <v>3844 AS</v>
      </c>
      <c r="E281" s="23" t="str">
        <f>VLOOKUP(Ruimtestaat[[#This Row],[Code]],Locaties[#All],6,FALSE)</f>
        <v>Harderwijk</v>
      </c>
      <c r="F281" s="23"/>
      <c r="G281" s="60" t="s">
        <v>956</v>
      </c>
      <c r="H281" s="23" t="s">
        <v>837</v>
      </c>
      <c r="I281" s="23">
        <v>111</v>
      </c>
      <c r="J281" s="3" t="s">
        <v>1043</v>
      </c>
      <c r="K281" s="23">
        <v>16</v>
      </c>
      <c r="L281" s="60" t="str">
        <f>VLOOKUP(K281,Ruimtegroepen[],2,FALSE)</f>
        <v>Leslokalen theorie</v>
      </c>
      <c r="M281" s="23" t="s">
        <v>112</v>
      </c>
      <c r="N281" s="23" t="s">
        <v>1090</v>
      </c>
      <c r="O281" s="86">
        <v>61.6</v>
      </c>
      <c r="P281" s="86"/>
      <c r="Q281" s="95" t="str">
        <f>LEFT(VLOOKUP(Ruimtestaat[[#This Row],[Ruimte code]],Ruimtegroepen[#All],4,1),2)</f>
        <v xml:space="preserve">L </v>
      </c>
      <c r="R281" s="95"/>
      <c r="S281" s="87">
        <v>40</v>
      </c>
      <c r="T281" s="87" t="s">
        <v>2</v>
      </c>
      <c r="U281" s="88">
        <f>IF(S281&gt;0,IF(RIGHT(Ruimtestaat[[#This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81" s="88">
        <f>IF(U281&gt;0,VLOOKUP($K281,Ruimtegroepen[],3,FALSE)*VLOOKUP($M281,Vloersoorten[],3,FALSE)*VLOOKUP($T281,Frequenties[],3,FALSE)*VLOOKUP($A281,Locaties[],3,FALSE),0)</f>
        <v>0</v>
      </c>
      <c r="W281" s="89">
        <f>Ruimtestaat[[#This Row],[Uitvoeringen werkdagen]]*Ruimtestaat[[#This Row],[Oppervlak (netto)]]</f>
        <v>12320</v>
      </c>
      <c r="X281" s="90">
        <f>IF(V281&gt;0,Ruimtestaat[[#This Row],[Prest. (m2 /jaar) werkdagen]]/Ruimtestaat[[#This Row],[Norm (m2/uur) werkdagen]],0)</f>
        <v>0</v>
      </c>
      <c r="Y281" s="91">
        <f>Ruimtestaat[[#This Row],[uren / jaar werkdagen]]*Tariefsopbouw!$E$35</f>
        <v>0</v>
      </c>
      <c r="Z281" s="88"/>
      <c r="AA281" s="92">
        <f>IF(Ruimtestaat[[#This Row],[Frequentie weekend]]&gt;0,VALUE(LEFT(Z281,1))*S281,0)</f>
        <v>0</v>
      </c>
      <c r="AB281" s="88">
        <f>IF($AA281&gt;0,VLOOKUP($K281,Ruimtegroepen[],3,FALSE)*VLOOKUP($M281,Vloersoorten[],3,FALSE)*VLOOKUP($Z281,Frequenties[],3,FALSE)*VLOOKUP(#REF!,Locaties[],3,FALSE),0)</f>
        <v>0</v>
      </c>
      <c r="AC281" s="90">
        <f>Ruimtestaat[[#This Row],[Uitvoeringen weekend]]*Ruimtestaat[[#This Row],[Oppervlak (netto)]]</f>
        <v>0</v>
      </c>
      <c r="AD281" s="93">
        <f>IF(AC281&gt;0,Ruimtestaat[[#This Row],[Prest. (m2 /jaar) weekend]]/Ruimtestaat[[#This Row],[Norm (m2/uur) weekend]],0)</f>
        <v>0</v>
      </c>
      <c r="AE281" s="94">
        <f>Ruimtestaat[[#This Row],[uren / jaar weekend]]*Tariefsopbouw!$D$40</f>
        <v>0</v>
      </c>
      <c r="AF281" s="66">
        <f>Ruimtestaat[[#This Row],[Prest. (m2 /jaar) weekend]]+Ruimtestaat[[#This Row],[Prest. (m2 /jaar) werkdagen]]</f>
        <v>12320</v>
      </c>
      <c r="AG281" s="66">
        <f>Ruimtestaat[[#This Row],[uren / jaar weekend]]+Ruimtestaat[[#This Row],[uren / jaar werkdagen]]</f>
        <v>0</v>
      </c>
      <c r="AH281" s="67">
        <f>Ruimtestaat[[#This Row],[kosten / jaar weekend]]+Ruimtestaat[[#This Row],[kosten / jaar werkdagen]]</f>
        <v>0</v>
      </c>
    </row>
    <row r="282" spans="1:34" ht="15" customHeight="1">
      <c r="A282" s="112">
        <v>2</v>
      </c>
      <c r="B282" s="23" t="str">
        <f>VLOOKUP(Ruimtestaat[[#This Row],[Code]],Locaties[#All],2,FALSE)</f>
        <v>RSG Slingerbos</v>
      </c>
      <c r="C282" s="23" t="str">
        <f>VLOOKUP(Ruimtestaat[[#This Row],[Code]],Locaties[#All],4,FALSE)</f>
        <v>Eisenhowerlaan 59</v>
      </c>
      <c r="D282" s="23" t="str">
        <f>VLOOKUP(Ruimtestaat[[#This Row],[Code]],Locaties[#All],5,FALSE)</f>
        <v>3844 AS</v>
      </c>
      <c r="E282" s="23" t="str">
        <f>VLOOKUP(Ruimtestaat[[#This Row],[Code]],Locaties[#All],6,FALSE)</f>
        <v>Harderwijk</v>
      </c>
      <c r="F282" s="23"/>
      <c r="G282" s="60" t="s">
        <v>957</v>
      </c>
      <c r="H282" s="23" t="s">
        <v>837</v>
      </c>
      <c r="I282" s="23">
        <v>112</v>
      </c>
      <c r="J282" s="3" t="s">
        <v>1043</v>
      </c>
      <c r="K282" s="23">
        <v>16</v>
      </c>
      <c r="L282" s="60" t="str">
        <f>VLOOKUP(K282,Ruimtegroepen[],2,FALSE)</f>
        <v>Leslokalen theorie</v>
      </c>
      <c r="M282" s="23" t="s">
        <v>112</v>
      </c>
      <c r="N282" s="23" t="s">
        <v>1090</v>
      </c>
      <c r="O282" s="86">
        <v>58.3</v>
      </c>
      <c r="P282" s="86"/>
      <c r="Q282" s="95" t="str">
        <f>LEFT(VLOOKUP(Ruimtestaat[[#This Row],[Ruimte code]],Ruimtegroepen[#All],4,1),2)</f>
        <v xml:space="preserve">L </v>
      </c>
      <c r="R282" s="95"/>
      <c r="S282" s="87">
        <v>40</v>
      </c>
      <c r="T282" s="87" t="s">
        <v>2</v>
      </c>
      <c r="U282" s="88">
        <f>IF(S282&gt;0,IF(RIGHT(Ruimtestaat[[#This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82" s="88">
        <f>IF(U282&gt;0,VLOOKUP($K282,Ruimtegroepen[],3,FALSE)*VLOOKUP($M282,Vloersoorten[],3,FALSE)*VLOOKUP($T282,Frequenties[],3,FALSE)*VLOOKUP($A282,Locaties[],3,FALSE),0)</f>
        <v>0</v>
      </c>
      <c r="W282" s="89">
        <f>Ruimtestaat[[#This Row],[Uitvoeringen werkdagen]]*Ruimtestaat[[#This Row],[Oppervlak (netto)]]</f>
        <v>11660</v>
      </c>
      <c r="X282" s="90">
        <f>IF(V282&gt;0,Ruimtestaat[[#This Row],[Prest. (m2 /jaar) werkdagen]]/Ruimtestaat[[#This Row],[Norm (m2/uur) werkdagen]],0)</f>
        <v>0</v>
      </c>
      <c r="Y282" s="91">
        <f>Ruimtestaat[[#This Row],[uren / jaar werkdagen]]*Tariefsopbouw!$E$35</f>
        <v>0</v>
      </c>
      <c r="Z282" s="88"/>
      <c r="AA282" s="92">
        <f>IF(Ruimtestaat[[#This Row],[Frequentie weekend]]&gt;0,VALUE(LEFT(Z282,1))*S282,0)</f>
        <v>0</v>
      </c>
      <c r="AB282" s="88">
        <f>IF($AA282&gt;0,VLOOKUP($K282,Ruimtegroepen[],3,FALSE)*VLOOKUP($M282,Vloersoorten[],3,FALSE)*VLOOKUP($Z282,Frequenties[],3,FALSE)*VLOOKUP(#REF!,Locaties[],3,FALSE),0)</f>
        <v>0</v>
      </c>
      <c r="AC282" s="90">
        <f>Ruimtestaat[[#This Row],[Uitvoeringen weekend]]*Ruimtestaat[[#This Row],[Oppervlak (netto)]]</f>
        <v>0</v>
      </c>
      <c r="AD282" s="93">
        <f>IF(AC282&gt;0,Ruimtestaat[[#This Row],[Prest. (m2 /jaar) weekend]]/Ruimtestaat[[#This Row],[Norm (m2/uur) weekend]],0)</f>
        <v>0</v>
      </c>
      <c r="AE282" s="94">
        <f>Ruimtestaat[[#This Row],[uren / jaar weekend]]*Tariefsopbouw!$D$40</f>
        <v>0</v>
      </c>
      <c r="AF282" s="66">
        <f>Ruimtestaat[[#This Row],[Prest. (m2 /jaar) weekend]]+Ruimtestaat[[#This Row],[Prest. (m2 /jaar) werkdagen]]</f>
        <v>11660</v>
      </c>
      <c r="AG282" s="66">
        <f>Ruimtestaat[[#This Row],[uren / jaar weekend]]+Ruimtestaat[[#This Row],[uren / jaar werkdagen]]</f>
        <v>0</v>
      </c>
      <c r="AH282" s="67">
        <f>Ruimtestaat[[#This Row],[kosten / jaar weekend]]+Ruimtestaat[[#This Row],[kosten / jaar werkdagen]]</f>
        <v>0</v>
      </c>
    </row>
    <row r="283" spans="1:34" ht="15" customHeight="1">
      <c r="A283" s="112">
        <v>2</v>
      </c>
      <c r="B283" s="23" t="str">
        <f>VLOOKUP(Ruimtestaat[[#This Row],[Code]],Locaties[#All],2,FALSE)</f>
        <v>RSG Slingerbos</v>
      </c>
      <c r="C283" s="23" t="str">
        <f>VLOOKUP(Ruimtestaat[[#This Row],[Code]],Locaties[#All],4,FALSE)</f>
        <v>Eisenhowerlaan 59</v>
      </c>
      <c r="D283" s="23" t="str">
        <f>VLOOKUP(Ruimtestaat[[#This Row],[Code]],Locaties[#All],5,FALSE)</f>
        <v>3844 AS</v>
      </c>
      <c r="E283" s="23" t="str">
        <f>VLOOKUP(Ruimtestaat[[#This Row],[Code]],Locaties[#All],6,FALSE)</f>
        <v>Harderwijk</v>
      </c>
      <c r="F283" s="23"/>
      <c r="G283" s="60" t="s">
        <v>958</v>
      </c>
      <c r="H283" s="23" t="s">
        <v>837</v>
      </c>
      <c r="I283" s="23">
        <v>115</v>
      </c>
      <c r="J283" s="3" t="s">
        <v>1043</v>
      </c>
      <c r="K283" s="23">
        <v>16</v>
      </c>
      <c r="L283" s="60" t="str">
        <f>VLOOKUP(K283,Ruimtegroepen[],2,FALSE)</f>
        <v>Leslokalen theorie</v>
      </c>
      <c r="M283" s="23" t="s">
        <v>112</v>
      </c>
      <c r="N283" s="23" t="s">
        <v>1090</v>
      </c>
      <c r="O283" s="86">
        <v>45.1</v>
      </c>
      <c r="P283" s="86"/>
      <c r="Q283" s="95" t="str">
        <f>LEFT(VLOOKUP(Ruimtestaat[[#This Row],[Ruimte code]],Ruimtegroepen[#All],4,1),2)</f>
        <v xml:space="preserve">L </v>
      </c>
      <c r="R283" s="95"/>
      <c r="S283" s="87">
        <v>40</v>
      </c>
      <c r="T283" s="87" t="s">
        <v>2</v>
      </c>
      <c r="U283" s="88">
        <f>IF(S283&gt;0,IF(RIGHT(Ruimtestaat[[#This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83" s="88">
        <f>IF(U283&gt;0,VLOOKUP($K283,Ruimtegroepen[],3,FALSE)*VLOOKUP($M283,Vloersoorten[],3,FALSE)*VLOOKUP($T283,Frequenties[],3,FALSE)*VLOOKUP($A283,Locaties[],3,FALSE),0)</f>
        <v>0</v>
      </c>
      <c r="W283" s="89">
        <f>Ruimtestaat[[#This Row],[Uitvoeringen werkdagen]]*Ruimtestaat[[#This Row],[Oppervlak (netto)]]</f>
        <v>9020</v>
      </c>
      <c r="X283" s="90">
        <f>IF(V283&gt;0,Ruimtestaat[[#This Row],[Prest. (m2 /jaar) werkdagen]]/Ruimtestaat[[#This Row],[Norm (m2/uur) werkdagen]],0)</f>
        <v>0</v>
      </c>
      <c r="Y283" s="91">
        <f>Ruimtestaat[[#This Row],[uren / jaar werkdagen]]*Tariefsopbouw!$E$35</f>
        <v>0</v>
      </c>
      <c r="Z283" s="88"/>
      <c r="AA283" s="92">
        <f>IF(Ruimtestaat[[#This Row],[Frequentie weekend]]&gt;0,VALUE(LEFT(Z283,1))*S283,0)</f>
        <v>0</v>
      </c>
      <c r="AB283" s="88">
        <f>IF($AA283&gt;0,VLOOKUP($K283,Ruimtegroepen[],3,FALSE)*VLOOKUP($M283,Vloersoorten[],3,FALSE)*VLOOKUP($Z283,Frequenties[],3,FALSE)*VLOOKUP(#REF!,Locaties[],3,FALSE),0)</f>
        <v>0</v>
      </c>
      <c r="AC283" s="90">
        <f>Ruimtestaat[[#This Row],[Uitvoeringen weekend]]*Ruimtestaat[[#This Row],[Oppervlak (netto)]]</f>
        <v>0</v>
      </c>
      <c r="AD283" s="93">
        <f>IF(AC283&gt;0,Ruimtestaat[[#This Row],[Prest. (m2 /jaar) weekend]]/Ruimtestaat[[#This Row],[Norm (m2/uur) weekend]],0)</f>
        <v>0</v>
      </c>
      <c r="AE283" s="94">
        <f>Ruimtestaat[[#This Row],[uren / jaar weekend]]*Tariefsopbouw!$D$40</f>
        <v>0</v>
      </c>
      <c r="AF283" s="66">
        <f>Ruimtestaat[[#This Row],[Prest. (m2 /jaar) weekend]]+Ruimtestaat[[#This Row],[Prest. (m2 /jaar) werkdagen]]</f>
        <v>9020</v>
      </c>
      <c r="AG283" s="66">
        <f>Ruimtestaat[[#This Row],[uren / jaar weekend]]+Ruimtestaat[[#This Row],[uren / jaar werkdagen]]</f>
        <v>0</v>
      </c>
      <c r="AH283" s="67">
        <f>Ruimtestaat[[#This Row],[kosten / jaar weekend]]+Ruimtestaat[[#This Row],[kosten / jaar werkdagen]]</f>
        <v>0</v>
      </c>
    </row>
    <row r="284" spans="1:34" ht="15" customHeight="1">
      <c r="A284" s="112">
        <v>2</v>
      </c>
      <c r="B284" s="23" t="str">
        <f>VLOOKUP(Ruimtestaat[[#This Row],[Code]],Locaties[#All],2,FALSE)</f>
        <v>RSG Slingerbos</v>
      </c>
      <c r="C284" s="23" t="str">
        <f>VLOOKUP(Ruimtestaat[[#This Row],[Code]],Locaties[#All],4,FALSE)</f>
        <v>Eisenhowerlaan 59</v>
      </c>
      <c r="D284" s="23" t="str">
        <f>VLOOKUP(Ruimtestaat[[#This Row],[Code]],Locaties[#All],5,FALSE)</f>
        <v>3844 AS</v>
      </c>
      <c r="E284" s="23" t="str">
        <f>VLOOKUP(Ruimtestaat[[#This Row],[Code]],Locaties[#All],6,FALSE)</f>
        <v>Harderwijk</v>
      </c>
      <c r="F284" s="23"/>
      <c r="G284" s="60" t="s">
        <v>959</v>
      </c>
      <c r="H284" s="23" t="s">
        <v>837</v>
      </c>
      <c r="I284" s="23">
        <v>116</v>
      </c>
      <c r="J284" s="3" t="s">
        <v>1043</v>
      </c>
      <c r="K284" s="23">
        <v>16</v>
      </c>
      <c r="L284" s="60" t="str">
        <f>VLOOKUP(K284,Ruimtegroepen[],2,FALSE)</f>
        <v>Leslokalen theorie</v>
      </c>
      <c r="M284" s="23" t="s">
        <v>112</v>
      </c>
      <c r="N284" s="23" t="s">
        <v>1090</v>
      </c>
      <c r="O284" s="86">
        <v>52.4</v>
      </c>
      <c r="P284" s="86"/>
      <c r="Q284" s="95" t="str">
        <f>LEFT(VLOOKUP(Ruimtestaat[[#This Row],[Ruimte code]],Ruimtegroepen[#All],4,1),2)</f>
        <v xml:space="preserve">L </v>
      </c>
      <c r="R284" s="95"/>
      <c r="S284" s="87">
        <v>40</v>
      </c>
      <c r="T284" s="87" t="s">
        <v>2</v>
      </c>
      <c r="U284" s="88">
        <f>IF(S284&gt;0,IF(RIGHT(Ruimtestaat[[#This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84" s="88">
        <f>IF(U284&gt;0,VLOOKUP($K284,Ruimtegroepen[],3,FALSE)*VLOOKUP($M284,Vloersoorten[],3,FALSE)*VLOOKUP($T284,Frequenties[],3,FALSE)*VLOOKUP($A284,Locaties[],3,FALSE),0)</f>
        <v>0</v>
      </c>
      <c r="W284" s="89">
        <f>Ruimtestaat[[#This Row],[Uitvoeringen werkdagen]]*Ruimtestaat[[#This Row],[Oppervlak (netto)]]</f>
        <v>10480</v>
      </c>
      <c r="X284" s="90">
        <f>IF(V284&gt;0,Ruimtestaat[[#This Row],[Prest. (m2 /jaar) werkdagen]]/Ruimtestaat[[#This Row],[Norm (m2/uur) werkdagen]],0)</f>
        <v>0</v>
      </c>
      <c r="Y284" s="91">
        <f>Ruimtestaat[[#This Row],[uren / jaar werkdagen]]*Tariefsopbouw!$E$35</f>
        <v>0</v>
      </c>
      <c r="Z284" s="88"/>
      <c r="AA284" s="92">
        <f>IF(Ruimtestaat[[#This Row],[Frequentie weekend]]&gt;0,VALUE(LEFT(Z284,1))*S284,0)</f>
        <v>0</v>
      </c>
      <c r="AB284" s="88">
        <f>IF($AA284&gt;0,VLOOKUP($K284,Ruimtegroepen[],3,FALSE)*VLOOKUP($M284,Vloersoorten[],3,FALSE)*VLOOKUP($Z284,Frequenties[],3,FALSE)*VLOOKUP(#REF!,Locaties[],3,FALSE),0)</f>
        <v>0</v>
      </c>
      <c r="AC284" s="90">
        <f>Ruimtestaat[[#This Row],[Uitvoeringen weekend]]*Ruimtestaat[[#This Row],[Oppervlak (netto)]]</f>
        <v>0</v>
      </c>
      <c r="AD284" s="93">
        <f>IF(AC284&gt;0,Ruimtestaat[[#This Row],[Prest. (m2 /jaar) weekend]]/Ruimtestaat[[#This Row],[Norm (m2/uur) weekend]],0)</f>
        <v>0</v>
      </c>
      <c r="AE284" s="94">
        <f>Ruimtestaat[[#This Row],[uren / jaar weekend]]*Tariefsopbouw!$D$40</f>
        <v>0</v>
      </c>
      <c r="AF284" s="66">
        <f>Ruimtestaat[[#This Row],[Prest. (m2 /jaar) weekend]]+Ruimtestaat[[#This Row],[Prest. (m2 /jaar) werkdagen]]</f>
        <v>10480</v>
      </c>
      <c r="AG284" s="66">
        <f>Ruimtestaat[[#This Row],[uren / jaar weekend]]+Ruimtestaat[[#This Row],[uren / jaar werkdagen]]</f>
        <v>0</v>
      </c>
      <c r="AH284" s="67">
        <f>Ruimtestaat[[#This Row],[kosten / jaar weekend]]+Ruimtestaat[[#This Row],[kosten / jaar werkdagen]]</f>
        <v>0</v>
      </c>
    </row>
    <row r="285" spans="1:34" ht="15" customHeight="1">
      <c r="A285" s="112">
        <v>2</v>
      </c>
      <c r="B285" s="23" t="str">
        <f>VLOOKUP(Ruimtestaat[[#This Row],[Code]],Locaties[#All],2,FALSE)</f>
        <v>RSG Slingerbos</v>
      </c>
      <c r="C285" s="23" t="str">
        <f>VLOOKUP(Ruimtestaat[[#This Row],[Code]],Locaties[#All],4,FALSE)</f>
        <v>Eisenhowerlaan 59</v>
      </c>
      <c r="D285" s="23" t="str">
        <f>VLOOKUP(Ruimtestaat[[#This Row],[Code]],Locaties[#All],5,FALSE)</f>
        <v>3844 AS</v>
      </c>
      <c r="E285" s="23" t="str">
        <f>VLOOKUP(Ruimtestaat[[#This Row],[Code]],Locaties[#All],6,FALSE)</f>
        <v>Harderwijk</v>
      </c>
      <c r="F285" s="23"/>
      <c r="G285" s="60" t="s">
        <v>960</v>
      </c>
      <c r="H285" s="23" t="s">
        <v>837</v>
      </c>
      <c r="I285" s="23">
        <v>117</v>
      </c>
      <c r="J285" s="3" t="s">
        <v>1043</v>
      </c>
      <c r="K285" s="23">
        <v>16</v>
      </c>
      <c r="L285" s="60" t="str">
        <f>VLOOKUP(K285,Ruimtegroepen[],2,FALSE)</f>
        <v>Leslokalen theorie</v>
      </c>
      <c r="M285" s="23" t="s">
        <v>112</v>
      </c>
      <c r="N285" s="23" t="s">
        <v>1090</v>
      </c>
      <c r="O285" s="86">
        <v>54.9</v>
      </c>
      <c r="P285" s="86"/>
      <c r="Q285" s="95" t="str">
        <f>LEFT(VLOOKUP(Ruimtestaat[[#This Row],[Ruimte code]],Ruimtegroepen[#All],4,1),2)</f>
        <v xml:space="preserve">L </v>
      </c>
      <c r="R285" s="95"/>
      <c r="S285" s="87">
        <v>40</v>
      </c>
      <c r="T285" s="87" t="s">
        <v>2</v>
      </c>
      <c r="U285" s="88">
        <f>IF(S285&gt;0,IF(RIGHT(Ruimtestaat[[#This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85" s="88">
        <f>IF(U285&gt;0,VLOOKUP($K285,Ruimtegroepen[],3,FALSE)*VLOOKUP($M285,Vloersoorten[],3,FALSE)*VLOOKUP($T285,Frequenties[],3,FALSE)*VLOOKUP($A285,Locaties[],3,FALSE),0)</f>
        <v>0</v>
      </c>
      <c r="W285" s="89">
        <f>Ruimtestaat[[#This Row],[Uitvoeringen werkdagen]]*Ruimtestaat[[#This Row],[Oppervlak (netto)]]</f>
        <v>10980</v>
      </c>
      <c r="X285" s="90">
        <f>IF(V285&gt;0,Ruimtestaat[[#This Row],[Prest. (m2 /jaar) werkdagen]]/Ruimtestaat[[#This Row],[Norm (m2/uur) werkdagen]],0)</f>
        <v>0</v>
      </c>
      <c r="Y285" s="91">
        <f>Ruimtestaat[[#This Row],[uren / jaar werkdagen]]*Tariefsopbouw!$E$35</f>
        <v>0</v>
      </c>
      <c r="Z285" s="88"/>
      <c r="AA285" s="92">
        <f>IF(Ruimtestaat[[#This Row],[Frequentie weekend]]&gt;0,VALUE(LEFT(Z285,1))*S285,0)</f>
        <v>0</v>
      </c>
      <c r="AB285" s="88">
        <f>IF($AA285&gt;0,VLOOKUP($K285,Ruimtegroepen[],3,FALSE)*VLOOKUP($M285,Vloersoorten[],3,FALSE)*VLOOKUP($Z285,Frequenties[],3,FALSE)*VLOOKUP(#REF!,Locaties[],3,FALSE),0)</f>
        <v>0</v>
      </c>
      <c r="AC285" s="90">
        <f>Ruimtestaat[[#This Row],[Uitvoeringen weekend]]*Ruimtestaat[[#This Row],[Oppervlak (netto)]]</f>
        <v>0</v>
      </c>
      <c r="AD285" s="93">
        <f>IF(AC285&gt;0,Ruimtestaat[[#This Row],[Prest. (m2 /jaar) weekend]]/Ruimtestaat[[#This Row],[Norm (m2/uur) weekend]],0)</f>
        <v>0</v>
      </c>
      <c r="AE285" s="94">
        <f>Ruimtestaat[[#This Row],[uren / jaar weekend]]*Tariefsopbouw!$D$40</f>
        <v>0</v>
      </c>
      <c r="AF285" s="66">
        <f>Ruimtestaat[[#This Row],[Prest. (m2 /jaar) weekend]]+Ruimtestaat[[#This Row],[Prest. (m2 /jaar) werkdagen]]</f>
        <v>10980</v>
      </c>
      <c r="AG285" s="66">
        <f>Ruimtestaat[[#This Row],[uren / jaar weekend]]+Ruimtestaat[[#This Row],[uren / jaar werkdagen]]</f>
        <v>0</v>
      </c>
      <c r="AH285" s="67">
        <f>Ruimtestaat[[#This Row],[kosten / jaar weekend]]+Ruimtestaat[[#This Row],[kosten / jaar werkdagen]]</f>
        <v>0</v>
      </c>
    </row>
    <row r="286" spans="1:34" ht="15" customHeight="1">
      <c r="A286" s="112">
        <v>2</v>
      </c>
      <c r="B286" s="23" t="str">
        <f>VLOOKUP(Ruimtestaat[[#This Row],[Code]],Locaties[#All],2,FALSE)</f>
        <v>RSG Slingerbos</v>
      </c>
      <c r="C286" s="23" t="str">
        <f>VLOOKUP(Ruimtestaat[[#This Row],[Code]],Locaties[#All],4,FALSE)</f>
        <v>Eisenhowerlaan 59</v>
      </c>
      <c r="D286" s="23" t="str">
        <f>VLOOKUP(Ruimtestaat[[#This Row],[Code]],Locaties[#All],5,FALSE)</f>
        <v>3844 AS</v>
      </c>
      <c r="E286" s="23" t="str">
        <f>VLOOKUP(Ruimtestaat[[#This Row],[Code]],Locaties[#All],6,FALSE)</f>
        <v>Harderwijk</v>
      </c>
      <c r="F286" s="23"/>
      <c r="G286" s="60" t="s">
        <v>961</v>
      </c>
      <c r="H286" s="23" t="s">
        <v>837</v>
      </c>
      <c r="I286" s="23">
        <v>118</v>
      </c>
      <c r="J286" s="3" t="s">
        <v>1043</v>
      </c>
      <c r="K286" s="23">
        <v>16</v>
      </c>
      <c r="L286" s="60" t="str">
        <f>VLOOKUP(K286,Ruimtegroepen[],2,FALSE)</f>
        <v>Leslokalen theorie</v>
      </c>
      <c r="M286" s="23" t="s">
        <v>112</v>
      </c>
      <c r="N286" s="23" t="s">
        <v>1090</v>
      </c>
      <c r="O286" s="86">
        <v>54.6</v>
      </c>
      <c r="P286" s="86"/>
      <c r="Q286" s="95" t="str">
        <f>LEFT(VLOOKUP(Ruimtestaat[[#This Row],[Ruimte code]],Ruimtegroepen[#All],4,1),2)</f>
        <v xml:space="preserve">L </v>
      </c>
      <c r="R286" s="95"/>
      <c r="S286" s="87">
        <v>40</v>
      </c>
      <c r="T286" s="87" t="s">
        <v>2</v>
      </c>
      <c r="U286" s="88">
        <f>IF(S286&gt;0,IF(RIGHT(Ruimtestaat[[#This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86" s="88">
        <f>IF(U286&gt;0,VLOOKUP($K286,Ruimtegroepen[],3,FALSE)*VLOOKUP($M286,Vloersoorten[],3,FALSE)*VLOOKUP($T286,Frequenties[],3,FALSE)*VLOOKUP($A286,Locaties[],3,FALSE),0)</f>
        <v>0</v>
      </c>
      <c r="W286" s="89">
        <f>Ruimtestaat[[#This Row],[Uitvoeringen werkdagen]]*Ruimtestaat[[#This Row],[Oppervlak (netto)]]</f>
        <v>10920</v>
      </c>
      <c r="X286" s="90">
        <f>IF(V286&gt;0,Ruimtestaat[[#This Row],[Prest. (m2 /jaar) werkdagen]]/Ruimtestaat[[#This Row],[Norm (m2/uur) werkdagen]],0)</f>
        <v>0</v>
      </c>
      <c r="Y286" s="91">
        <f>Ruimtestaat[[#This Row],[uren / jaar werkdagen]]*Tariefsopbouw!$E$35</f>
        <v>0</v>
      </c>
      <c r="Z286" s="88"/>
      <c r="AA286" s="92">
        <f>IF(Ruimtestaat[[#This Row],[Frequentie weekend]]&gt;0,VALUE(LEFT(Z286,1))*S286,0)</f>
        <v>0</v>
      </c>
      <c r="AB286" s="88">
        <f>IF($AA286&gt;0,VLOOKUP($K286,Ruimtegroepen[],3,FALSE)*VLOOKUP($M286,Vloersoorten[],3,FALSE)*VLOOKUP($Z286,Frequenties[],3,FALSE)*VLOOKUP(#REF!,Locaties[],3,FALSE),0)</f>
        <v>0</v>
      </c>
      <c r="AC286" s="90">
        <f>Ruimtestaat[[#This Row],[Uitvoeringen weekend]]*Ruimtestaat[[#This Row],[Oppervlak (netto)]]</f>
        <v>0</v>
      </c>
      <c r="AD286" s="93">
        <f>IF(AC286&gt;0,Ruimtestaat[[#This Row],[Prest. (m2 /jaar) weekend]]/Ruimtestaat[[#This Row],[Norm (m2/uur) weekend]],0)</f>
        <v>0</v>
      </c>
      <c r="AE286" s="94">
        <f>Ruimtestaat[[#This Row],[uren / jaar weekend]]*Tariefsopbouw!$D$40</f>
        <v>0</v>
      </c>
      <c r="AF286" s="66">
        <f>Ruimtestaat[[#This Row],[Prest. (m2 /jaar) weekend]]+Ruimtestaat[[#This Row],[Prest. (m2 /jaar) werkdagen]]</f>
        <v>10920</v>
      </c>
      <c r="AG286" s="66">
        <f>Ruimtestaat[[#This Row],[uren / jaar weekend]]+Ruimtestaat[[#This Row],[uren / jaar werkdagen]]</f>
        <v>0</v>
      </c>
      <c r="AH286" s="67">
        <f>Ruimtestaat[[#This Row],[kosten / jaar weekend]]+Ruimtestaat[[#This Row],[kosten / jaar werkdagen]]</f>
        <v>0</v>
      </c>
    </row>
    <row r="287" spans="1:34" ht="15" customHeight="1">
      <c r="A287" s="112">
        <v>2</v>
      </c>
      <c r="B287" s="23" t="str">
        <f>VLOOKUP(Ruimtestaat[[#This Row],[Code]],Locaties[#All],2,FALSE)</f>
        <v>RSG Slingerbos</v>
      </c>
      <c r="C287" s="23" t="str">
        <f>VLOOKUP(Ruimtestaat[[#This Row],[Code]],Locaties[#All],4,FALSE)</f>
        <v>Eisenhowerlaan 59</v>
      </c>
      <c r="D287" s="23" t="str">
        <f>VLOOKUP(Ruimtestaat[[#This Row],[Code]],Locaties[#All],5,FALSE)</f>
        <v>3844 AS</v>
      </c>
      <c r="E287" s="23" t="str">
        <f>VLOOKUP(Ruimtestaat[[#This Row],[Code]],Locaties[#All],6,FALSE)</f>
        <v>Harderwijk</v>
      </c>
      <c r="F287" s="23"/>
      <c r="G287" s="60" t="s">
        <v>962</v>
      </c>
      <c r="H287" s="23" t="s">
        <v>837</v>
      </c>
      <c r="I287" s="23">
        <v>113</v>
      </c>
      <c r="J287" s="3" t="s">
        <v>1043</v>
      </c>
      <c r="K287" s="23">
        <v>16</v>
      </c>
      <c r="L287" s="60" t="str">
        <f>VLOOKUP(K287,Ruimtegroepen[],2,FALSE)</f>
        <v>Leslokalen theorie</v>
      </c>
      <c r="M287" s="23" t="s">
        <v>112</v>
      </c>
      <c r="N287" s="23" t="s">
        <v>1090</v>
      </c>
      <c r="O287" s="86">
        <v>54.7</v>
      </c>
      <c r="P287" s="86"/>
      <c r="Q287" s="95" t="str">
        <f>LEFT(VLOOKUP(Ruimtestaat[[#This Row],[Ruimte code]],Ruimtegroepen[#All],4,1),2)</f>
        <v xml:space="preserve">L </v>
      </c>
      <c r="R287" s="95"/>
      <c r="S287" s="87">
        <v>40</v>
      </c>
      <c r="T287" s="87" t="s">
        <v>2</v>
      </c>
      <c r="U287" s="88">
        <f>IF(S287&gt;0,IF(RIGHT(Ruimtestaat[[#This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87" s="88">
        <f>IF(U287&gt;0,VLOOKUP($K287,Ruimtegroepen[],3,FALSE)*VLOOKUP($M287,Vloersoorten[],3,FALSE)*VLOOKUP($T287,Frequenties[],3,FALSE)*VLOOKUP($A287,Locaties[],3,FALSE),0)</f>
        <v>0</v>
      </c>
      <c r="W287" s="89">
        <f>Ruimtestaat[[#This Row],[Uitvoeringen werkdagen]]*Ruimtestaat[[#This Row],[Oppervlak (netto)]]</f>
        <v>10940</v>
      </c>
      <c r="X287" s="90">
        <f>IF(V287&gt;0,Ruimtestaat[[#This Row],[Prest. (m2 /jaar) werkdagen]]/Ruimtestaat[[#This Row],[Norm (m2/uur) werkdagen]],0)</f>
        <v>0</v>
      </c>
      <c r="Y287" s="91">
        <f>Ruimtestaat[[#This Row],[uren / jaar werkdagen]]*Tariefsopbouw!$E$35</f>
        <v>0</v>
      </c>
      <c r="Z287" s="88"/>
      <c r="AA287" s="92">
        <f>IF(Ruimtestaat[[#This Row],[Frequentie weekend]]&gt;0,VALUE(LEFT(Z287,1))*S287,0)</f>
        <v>0</v>
      </c>
      <c r="AB287" s="88">
        <f>IF($AA287&gt;0,VLOOKUP($K287,Ruimtegroepen[],3,FALSE)*VLOOKUP($M287,Vloersoorten[],3,FALSE)*VLOOKUP($Z287,Frequenties[],3,FALSE)*VLOOKUP(#REF!,Locaties[],3,FALSE),0)</f>
        <v>0</v>
      </c>
      <c r="AC287" s="90">
        <f>Ruimtestaat[[#This Row],[Uitvoeringen weekend]]*Ruimtestaat[[#This Row],[Oppervlak (netto)]]</f>
        <v>0</v>
      </c>
      <c r="AD287" s="93">
        <f>IF(AC287&gt;0,Ruimtestaat[[#This Row],[Prest. (m2 /jaar) weekend]]/Ruimtestaat[[#This Row],[Norm (m2/uur) weekend]],0)</f>
        <v>0</v>
      </c>
      <c r="AE287" s="94">
        <f>Ruimtestaat[[#This Row],[uren / jaar weekend]]*Tariefsopbouw!$D$40</f>
        <v>0</v>
      </c>
      <c r="AF287" s="66">
        <f>Ruimtestaat[[#This Row],[Prest. (m2 /jaar) weekend]]+Ruimtestaat[[#This Row],[Prest. (m2 /jaar) werkdagen]]</f>
        <v>10940</v>
      </c>
      <c r="AG287" s="66">
        <f>Ruimtestaat[[#This Row],[uren / jaar weekend]]+Ruimtestaat[[#This Row],[uren / jaar werkdagen]]</f>
        <v>0</v>
      </c>
      <c r="AH287" s="67">
        <f>Ruimtestaat[[#This Row],[kosten / jaar weekend]]+Ruimtestaat[[#This Row],[kosten / jaar werkdagen]]</f>
        <v>0</v>
      </c>
    </row>
    <row r="288" spans="1:34" ht="15" customHeight="1">
      <c r="A288" s="112">
        <v>2</v>
      </c>
      <c r="B288" s="23" t="str">
        <f>VLOOKUP(Ruimtestaat[[#This Row],[Code]],Locaties[#All],2,FALSE)</f>
        <v>RSG Slingerbos</v>
      </c>
      <c r="C288" s="23" t="str">
        <f>VLOOKUP(Ruimtestaat[[#This Row],[Code]],Locaties[#All],4,FALSE)</f>
        <v>Eisenhowerlaan 59</v>
      </c>
      <c r="D288" s="23" t="str">
        <f>VLOOKUP(Ruimtestaat[[#This Row],[Code]],Locaties[#All],5,FALSE)</f>
        <v>3844 AS</v>
      </c>
      <c r="E288" s="23" t="str">
        <f>VLOOKUP(Ruimtestaat[[#This Row],[Code]],Locaties[#All],6,FALSE)</f>
        <v>Harderwijk</v>
      </c>
      <c r="F288" s="23"/>
      <c r="G288" s="60" t="s">
        <v>963</v>
      </c>
      <c r="H288" s="23" t="s">
        <v>837</v>
      </c>
      <c r="I288" s="23">
        <v>114</v>
      </c>
      <c r="J288" s="3" t="s">
        <v>1025</v>
      </c>
      <c r="K288" s="23">
        <v>6</v>
      </c>
      <c r="L288" s="60" t="str">
        <f>VLOOKUP(K288,Ruimtegroepen[],2,FALSE)</f>
        <v>Gangen/hallen</v>
      </c>
      <c r="M288" s="23" t="s">
        <v>112</v>
      </c>
      <c r="N288" s="23" t="s">
        <v>1090</v>
      </c>
      <c r="O288" s="86">
        <v>29.9</v>
      </c>
      <c r="P288" s="86"/>
      <c r="Q288" s="95" t="str">
        <f>LEFT(VLOOKUP(Ruimtestaat[[#This Row],[Ruimte code]],Ruimtegroepen[#All],4,1),2)</f>
        <v xml:space="preserve">V </v>
      </c>
      <c r="R288" s="95"/>
      <c r="S288" s="87">
        <v>40</v>
      </c>
      <c r="T288" s="87" t="s">
        <v>2</v>
      </c>
      <c r="U288" s="88">
        <f>IF(S288&gt;0,IF(RIGHT(Ruimtestaat[[#This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88" s="88">
        <f>IF(U288&gt;0,VLOOKUP($K288,Ruimtegroepen[],3,FALSE)*VLOOKUP($M288,Vloersoorten[],3,FALSE)*VLOOKUP($T288,Frequenties[],3,FALSE)*VLOOKUP($A288,Locaties[],3,FALSE),0)</f>
        <v>0</v>
      </c>
      <c r="W288" s="89">
        <f>Ruimtestaat[[#This Row],[Uitvoeringen werkdagen]]*Ruimtestaat[[#This Row],[Oppervlak (netto)]]</f>
        <v>5980</v>
      </c>
      <c r="X288" s="90">
        <f>IF(V288&gt;0,Ruimtestaat[[#This Row],[Prest. (m2 /jaar) werkdagen]]/Ruimtestaat[[#This Row],[Norm (m2/uur) werkdagen]],0)</f>
        <v>0</v>
      </c>
      <c r="Y288" s="91">
        <f>Ruimtestaat[[#This Row],[uren / jaar werkdagen]]*Tariefsopbouw!$E$35</f>
        <v>0</v>
      </c>
      <c r="Z288" s="88"/>
      <c r="AA288" s="92">
        <f>IF(Ruimtestaat[[#This Row],[Frequentie weekend]]&gt;0,VALUE(LEFT(Z288,1))*S288,0)</f>
        <v>0</v>
      </c>
      <c r="AB288" s="88">
        <f>IF($AA288&gt;0,VLOOKUP($K288,Ruimtegroepen[],3,FALSE)*VLOOKUP($M288,Vloersoorten[],3,FALSE)*VLOOKUP($Z288,Frequenties[],3,FALSE)*VLOOKUP(#REF!,Locaties[],3,FALSE),0)</f>
        <v>0</v>
      </c>
      <c r="AC288" s="90">
        <f>Ruimtestaat[[#This Row],[Uitvoeringen weekend]]*Ruimtestaat[[#This Row],[Oppervlak (netto)]]</f>
        <v>0</v>
      </c>
      <c r="AD288" s="93">
        <f>IF(AC288&gt;0,Ruimtestaat[[#This Row],[Prest. (m2 /jaar) weekend]]/Ruimtestaat[[#This Row],[Norm (m2/uur) weekend]],0)</f>
        <v>0</v>
      </c>
      <c r="AE288" s="94">
        <f>Ruimtestaat[[#This Row],[uren / jaar weekend]]*Tariefsopbouw!$D$40</f>
        <v>0</v>
      </c>
      <c r="AF288" s="66">
        <f>Ruimtestaat[[#This Row],[Prest. (m2 /jaar) weekend]]+Ruimtestaat[[#This Row],[Prest. (m2 /jaar) werkdagen]]</f>
        <v>5980</v>
      </c>
      <c r="AG288" s="66">
        <f>Ruimtestaat[[#This Row],[uren / jaar weekend]]+Ruimtestaat[[#This Row],[uren / jaar werkdagen]]</f>
        <v>0</v>
      </c>
      <c r="AH288" s="67">
        <f>Ruimtestaat[[#This Row],[kosten / jaar weekend]]+Ruimtestaat[[#This Row],[kosten / jaar werkdagen]]</f>
        <v>0</v>
      </c>
    </row>
    <row r="289" spans="1:34" ht="15" customHeight="1">
      <c r="A289" s="112">
        <v>2</v>
      </c>
      <c r="B289" s="23" t="str">
        <f>VLOOKUP(Ruimtestaat[[#This Row],[Code]],Locaties[#All],2,FALSE)</f>
        <v>RSG Slingerbos</v>
      </c>
      <c r="C289" s="23" t="str">
        <f>VLOOKUP(Ruimtestaat[[#This Row],[Code]],Locaties[#All],4,FALSE)</f>
        <v>Eisenhowerlaan 59</v>
      </c>
      <c r="D289" s="23" t="str">
        <f>VLOOKUP(Ruimtestaat[[#This Row],[Code]],Locaties[#All],5,FALSE)</f>
        <v>3844 AS</v>
      </c>
      <c r="E289" s="23" t="str">
        <f>VLOOKUP(Ruimtestaat[[#This Row],[Code]],Locaties[#All],6,FALSE)</f>
        <v>Harderwijk</v>
      </c>
      <c r="F289" s="23"/>
      <c r="G289" s="60" t="s">
        <v>964</v>
      </c>
      <c r="H289" s="23" t="s">
        <v>837</v>
      </c>
      <c r="I289" s="23" t="s">
        <v>785</v>
      </c>
      <c r="J289" s="3" t="s">
        <v>1017</v>
      </c>
      <c r="K289" s="23">
        <v>23</v>
      </c>
      <c r="L289" s="60" t="str">
        <f>VLOOKUP(K289,Ruimtegroepen[],2,FALSE)</f>
        <v>Niet in onderhoud</v>
      </c>
      <c r="M289" s="23" t="s">
        <v>112</v>
      </c>
      <c r="N289" s="23" t="s">
        <v>1090</v>
      </c>
      <c r="O289" s="86"/>
      <c r="P289" s="86">
        <v>13.9</v>
      </c>
      <c r="Q289" s="95" t="str">
        <f>LEFT(VLOOKUP(Ruimtestaat[[#This Row],[Ruimte code]],Ruimtegroepen[#All],4,1),2)</f>
        <v/>
      </c>
      <c r="R289" s="95"/>
      <c r="S289" s="87"/>
      <c r="T289" s="87"/>
      <c r="U289" s="88">
        <f>IF(S289&gt;0,IF(RIGHT(Ruimtestaat[[#This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289" s="88">
        <f>IF(U289&gt;0,VLOOKUP($K289,Ruimtegroepen[],3,FALSE)*VLOOKUP($M289,Vloersoorten[],3,FALSE)*VLOOKUP($T289,Frequenties[],3,FALSE)*VLOOKUP($A289,Locaties[],3,FALSE),0)</f>
        <v>0</v>
      </c>
      <c r="W289" s="89">
        <f>Ruimtestaat[[#This Row],[Uitvoeringen werkdagen]]*Ruimtestaat[[#This Row],[Oppervlak (netto)]]</f>
        <v>0</v>
      </c>
      <c r="X289" s="90">
        <f>IF(V289&gt;0,Ruimtestaat[[#This Row],[Prest. (m2 /jaar) werkdagen]]/Ruimtestaat[[#This Row],[Norm (m2/uur) werkdagen]],0)</f>
        <v>0</v>
      </c>
      <c r="Y289" s="91">
        <f>Ruimtestaat[[#This Row],[uren / jaar werkdagen]]*Tariefsopbouw!$E$35</f>
        <v>0</v>
      </c>
      <c r="Z289" s="88"/>
      <c r="AA289" s="92">
        <f>IF(Ruimtestaat[[#This Row],[Frequentie weekend]]&gt;0,VALUE(LEFT(Z289,1))*S289,0)</f>
        <v>0</v>
      </c>
      <c r="AB289" s="88">
        <f>IF($AA289&gt;0,VLOOKUP($K289,Ruimtegroepen[],3,FALSE)*VLOOKUP($M289,Vloersoorten[],3,FALSE)*VLOOKUP($Z289,Frequenties[],3,FALSE)*VLOOKUP(#REF!,Locaties[],3,FALSE),0)</f>
        <v>0</v>
      </c>
      <c r="AC289" s="90">
        <f>Ruimtestaat[[#This Row],[Uitvoeringen weekend]]*Ruimtestaat[[#This Row],[Oppervlak (netto)]]</f>
        <v>0</v>
      </c>
      <c r="AD289" s="93">
        <f>IF(AC289&gt;0,Ruimtestaat[[#This Row],[Prest. (m2 /jaar) weekend]]/Ruimtestaat[[#This Row],[Norm (m2/uur) weekend]],0)</f>
        <v>0</v>
      </c>
      <c r="AE289" s="94">
        <f>Ruimtestaat[[#This Row],[uren / jaar weekend]]*Tariefsopbouw!$D$40</f>
        <v>0</v>
      </c>
      <c r="AF289" s="66">
        <f>Ruimtestaat[[#This Row],[Prest. (m2 /jaar) weekend]]+Ruimtestaat[[#This Row],[Prest. (m2 /jaar) werkdagen]]</f>
        <v>0</v>
      </c>
      <c r="AG289" s="66">
        <f>Ruimtestaat[[#This Row],[uren / jaar weekend]]+Ruimtestaat[[#This Row],[uren / jaar werkdagen]]</f>
        <v>0</v>
      </c>
      <c r="AH289" s="67">
        <f>Ruimtestaat[[#This Row],[kosten / jaar weekend]]+Ruimtestaat[[#This Row],[kosten / jaar werkdagen]]</f>
        <v>0</v>
      </c>
    </row>
    <row r="290" spans="1:34" ht="15" customHeight="1">
      <c r="A290" s="112">
        <v>2</v>
      </c>
      <c r="B290" s="23" t="str">
        <f>VLOOKUP(Ruimtestaat[[#This Row],[Code]],Locaties[#All],2,FALSE)</f>
        <v>RSG Slingerbos</v>
      </c>
      <c r="C290" s="23" t="str">
        <f>VLOOKUP(Ruimtestaat[[#This Row],[Code]],Locaties[#All],4,FALSE)</f>
        <v>Eisenhowerlaan 59</v>
      </c>
      <c r="D290" s="23" t="str">
        <f>VLOOKUP(Ruimtestaat[[#This Row],[Code]],Locaties[#All],5,FALSE)</f>
        <v>3844 AS</v>
      </c>
      <c r="E290" s="23" t="str">
        <f>VLOOKUP(Ruimtestaat[[#This Row],[Code]],Locaties[#All],6,FALSE)</f>
        <v>Harderwijk</v>
      </c>
      <c r="F290" s="23"/>
      <c r="G290" s="60" t="s">
        <v>965</v>
      </c>
      <c r="H290" s="23" t="s">
        <v>837</v>
      </c>
      <c r="I290" s="23">
        <v>110</v>
      </c>
      <c r="J290" s="3" t="s">
        <v>1041</v>
      </c>
      <c r="K290" s="23">
        <v>2</v>
      </c>
      <c r="L290" s="60" t="str">
        <f>VLOOKUP(K290,Ruimtegroepen[],2,FALSE)</f>
        <v>Kantoren</v>
      </c>
      <c r="M290" s="23" t="s">
        <v>1094</v>
      </c>
      <c r="N290" s="23" t="s">
        <v>1095</v>
      </c>
      <c r="O290" s="86">
        <v>27.9</v>
      </c>
      <c r="P290" s="86"/>
      <c r="Q290" s="95" t="str">
        <f>LEFT(VLOOKUP(Ruimtestaat[[#This Row],[Ruimte code]],Ruimtegroepen[#All],4,1),2)</f>
        <v xml:space="preserve">B </v>
      </c>
      <c r="R290" s="95"/>
      <c r="S290" s="87">
        <v>40</v>
      </c>
      <c r="T290" s="87" t="s">
        <v>17</v>
      </c>
      <c r="U290" s="88">
        <f>IF(S290&gt;0,IF(RIGHT(Ruimtestaat[[#This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90" s="88">
        <f>IF(U290&gt;0,VLOOKUP($K290,Ruimtegroepen[],3,FALSE)*VLOOKUP($M290,Vloersoorten[],3,FALSE)*VLOOKUP($T290,Frequenties[],3,FALSE)*VLOOKUP($A290,Locaties[],3,FALSE),0)</f>
        <v>0</v>
      </c>
      <c r="W290" s="89">
        <f>Ruimtestaat[[#This Row],[Uitvoeringen werkdagen]]*Ruimtestaat[[#This Row],[Oppervlak (netto)]]</f>
        <v>2232</v>
      </c>
      <c r="X290" s="90">
        <f>IF(V290&gt;0,Ruimtestaat[[#This Row],[Prest. (m2 /jaar) werkdagen]]/Ruimtestaat[[#This Row],[Norm (m2/uur) werkdagen]],0)</f>
        <v>0</v>
      </c>
      <c r="Y290" s="91">
        <f>Ruimtestaat[[#This Row],[uren / jaar werkdagen]]*Tariefsopbouw!$E$35</f>
        <v>0</v>
      </c>
      <c r="Z290" s="88"/>
      <c r="AA290" s="92">
        <f>IF(Ruimtestaat[[#This Row],[Frequentie weekend]]&gt;0,VALUE(LEFT(Z290,1))*S290,0)</f>
        <v>0</v>
      </c>
      <c r="AB290" s="88">
        <f>IF($AA290&gt;0,VLOOKUP($K290,Ruimtegroepen[],3,FALSE)*VLOOKUP($M290,Vloersoorten[],3,FALSE)*VLOOKUP($Z290,Frequenties[],3,FALSE)*VLOOKUP(#REF!,Locaties[],3,FALSE),0)</f>
        <v>0</v>
      </c>
      <c r="AC290" s="90">
        <f>Ruimtestaat[[#This Row],[Uitvoeringen weekend]]*Ruimtestaat[[#This Row],[Oppervlak (netto)]]</f>
        <v>0</v>
      </c>
      <c r="AD290" s="93">
        <f>IF(AC290&gt;0,Ruimtestaat[[#This Row],[Prest. (m2 /jaar) weekend]]/Ruimtestaat[[#This Row],[Norm (m2/uur) weekend]],0)</f>
        <v>0</v>
      </c>
      <c r="AE290" s="94">
        <f>Ruimtestaat[[#This Row],[uren / jaar weekend]]*Tariefsopbouw!$D$40</f>
        <v>0</v>
      </c>
      <c r="AF290" s="66">
        <f>Ruimtestaat[[#This Row],[Prest. (m2 /jaar) weekend]]+Ruimtestaat[[#This Row],[Prest. (m2 /jaar) werkdagen]]</f>
        <v>2232</v>
      </c>
      <c r="AG290" s="66">
        <f>Ruimtestaat[[#This Row],[uren / jaar weekend]]+Ruimtestaat[[#This Row],[uren / jaar werkdagen]]</f>
        <v>0</v>
      </c>
      <c r="AH290" s="67">
        <f>Ruimtestaat[[#This Row],[kosten / jaar weekend]]+Ruimtestaat[[#This Row],[kosten / jaar werkdagen]]</f>
        <v>0</v>
      </c>
    </row>
    <row r="291" spans="1:34" ht="15" customHeight="1">
      <c r="A291" s="112">
        <v>2</v>
      </c>
      <c r="B291" s="23" t="str">
        <f>VLOOKUP(Ruimtestaat[[#This Row],[Code]],Locaties[#All],2,FALSE)</f>
        <v>RSG Slingerbos</v>
      </c>
      <c r="C291" s="23" t="str">
        <f>VLOOKUP(Ruimtestaat[[#This Row],[Code]],Locaties[#All],4,FALSE)</f>
        <v>Eisenhowerlaan 59</v>
      </c>
      <c r="D291" s="23" t="str">
        <f>VLOOKUP(Ruimtestaat[[#This Row],[Code]],Locaties[#All],5,FALSE)</f>
        <v>3844 AS</v>
      </c>
      <c r="E291" s="23" t="str">
        <f>VLOOKUP(Ruimtestaat[[#This Row],[Code]],Locaties[#All],6,FALSE)</f>
        <v>Harderwijk</v>
      </c>
      <c r="F291" s="23"/>
      <c r="G291" s="60" t="s">
        <v>966</v>
      </c>
      <c r="H291" s="23" t="s">
        <v>837</v>
      </c>
      <c r="I291" s="23" t="s">
        <v>786</v>
      </c>
      <c r="J291" s="3" t="s">
        <v>1025</v>
      </c>
      <c r="K291" s="23">
        <v>6</v>
      </c>
      <c r="L291" s="60" t="str">
        <f>VLOOKUP(K291,Ruimtegroepen[],2,FALSE)</f>
        <v>Gangen/hallen</v>
      </c>
      <c r="M291" s="23" t="s">
        <v>112</v>
      </c>
      <c r="N291" s="23" t="s">
        <v>1090</v>
      </c>
      <c r="O291" s="86">
        <v>79.2</v>
      </c>
      <c r="P291" s="86"/>
      <c r="Q291" s="95" t="str">
        <f>LEFT(VLOOKUP(Ruimtestaat[[#This Row],[Ruimte code]],Ruimtegroepen[#All],4,1),2)</f>
        <v xml:space="preserve">V </v>
      </c>
      <c r="R291" s="95"/>
      <c r="S291" s="87">
        <v>40</v>
      </c>
      <c r="T291" s="87" t="s">
        <v>2</v>
      </c>
      <c r="U291" s="88">
        <f>IF(S291&gt;0,IF(RIGHT(Ruimtestaat[[#This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91" s="88">
        <f>IF(U291&gt;0,VLOOKUP($K291,Ruimtegroepen[],3,FALSE)*VLOOKUP($M291,Vloersoorten[],3,FALSE)*VLOOKUP($T291,Frequenties[],3,FALSE)*VLOOKUP($A291,Locaties[],3,FALSE),0)</f>
        <v>0</v>
      </c>
      <c r="W291" s="89">
        <f>Ruimtestaat[[#This Row],[Uitvoeringen werkdagen]]*Ruimtestaat[[#This Row],[Oppervlak (netto)]]</f>
        <v>15840</v>
      </c>
      <c r="X291" s="90">
        <f>IF(V291&gt;0,Ruimtestaat[[#This Row],[Prest. (m2 /jaar) werkdagen]]/Ruimtestaat[[#This Row],[Norm (m2/uur) werkdagen]],0)</f>
        <v>0</v>
      </c>
      <c r="Y291" s="91">
        <f>Ruimtestaat[[#This Row],[uren / jaar werkdagen]]*Tariefsopbouw!$E$35</f>
        <v>0</v>
      </c>
      <c r="Z291" s="88"/>
      <c r="AA291" s="92">
        <f>IF(Ruimtestaat[[#This Row],[Frequentie weekend]]&gt;0,VALUE(LEFT(Z291,1))*S291,0)</f>
        <v>0</v>
      </c>
      <c r="AB291" s="88">
        <f>IF($AA291&gt;0,VLOOKUP($K291,Ruimtegroepen[],3,FALSE)*VLOOKUP($M291,Vloersoorten[],3,FALSE)*VLOOKUP($Z291,Frequenties[],3,FALSE)*VLOOKUP(#REF!,Locaties[],3,FALSE),0)</f>
        <v>0</v>
      </c>
      <c r="AC291" s="90">
        <f>Ruimtestaat[[#This Row],[Uitvoeringen weekend]]*Ruimtestaat[[#This Row],[Oppervlak (netto)]]</f>
        <v>0</v>
      </c>
      <c r="AD291" s="93">
        <f>IF(AC291&gt;0,Ruimtestaat[[#This Row],[Prest. (m2 /jaar) weekend]]/Ruimtestaat[[#This Row],[Norm (m2/uur) weekend]],0)</f>
        <v>0</v>
      </c>
      <c r="AE291" s="94">
        <f>Ruimtestaat[[#This Row],[uren / jaar weekend]]*Tariefsopbouw!$D$40</f>
        <v>0</v>
      </c>
      <c r="AF291" s="66">
        <f>Ruimtestaat[[#This Row],[Prest. (m2 /jaar) weekend]]+Ruimtestaat[[#This Row],[Prest. (m2 /jaar) werkdagen]]</f>
        <v>15840</v>
      </c>
      <c r="AG291" s="66">
        <f>Ruimtestaat[[#This Row],[uren / jaar weekend]]+Ruimtestaat[[#This Row],[uren / jaar werkdagen]]</f>
        <v>0</v>
      </c>
      <c r="AH291" s="67">
        <f>Ruimtestaat[[#This Row],[kosten / jaar weekend]]+Ruimtestaat[[#This Row],[kosten / jaar werkdagen]]</f>
        <v>0</v>
      </c>
    </row>
    <row r="292" spans="1:34" ht="15" customHeight="1">
      <c r="A292" s="112">
        <v>2</v>
      </c>
      <c r="B292" s="23" t="str">
        <f>VLOOKUP(Ruimtestaat[[#This Row],[Code]],Locaties[#All],2,FALSE)</f>
        <v>RSG Slingerbos</v>
      </c>
      <c r="C292" s="23" t="str">
        <f>VLOOKUP(Ruimtestaat[[#This Row],[Code]],Locaties[#All],4,FALSE)</f>
        <v>Eisenhowerlaan 59</v>
      </c>
      <c r="D292" s="23" t="str">
        <f>VLOOKUP(Ruimtestaat[[#This Row],[Code]],Locaties[#All],5,FALSE)</f>
        <v>3844 AS</v>
      </c>
      <c r="E292" s="23" t="str">
        <f>VLOOKUP(Ruimtestaat[[#This Row],[Code]],Locaties[#All],6,FALSE)</f>
        <v>Harderwijk</v>
      </c>
      <c r="F292" s="23"/>
      <c r="G292" s="60" t="s">
        <v>967</v>
      </c>
      <c r="H292" s="23"/>
      <c r="I292" s="23" t="s">
        <v>787</v>
      </c>
      <c r="J292" s="3" t="s">
        <v>1025</v>
      </c>
      <c r="K292" s="23">
        <v>6</v>
      </c>
      <c r="L292" s="60" t="str">
        <f>VLOOKUP(K292,Ruimtegroepen[],2,FALSE)</f>
        <v>Gangen/hallen</v>
      </c>
      <c r="M292" s="23" t="s">
        <v>112</v>
      </c>
      <c r="N292" s="23" t="s">
        <v>1090</v>
      </c>
      <c r="O292" s="86">
        <v>66.8</v>
      </c>
      <c r="P292" s="86"/>
      <c r="Q292" s="95" t="str">
        <f>LEFT(VLOOKUP(Ruimtestaat[[#This Row],[Ruimte code]],Ruimtegroepen[#All],4,1),2)</f>
        <v xml:space="preserve">V </v>
      </c>
      <c r="R292" s="95"/>
      <c r="S292" s="87">
        <v>40</v>
      </c>
      <c r="T292" s="87" t="s">
        <v>2</v>
      </c>
      <c r="U292" s="88">
        <f>IF(S292&gt;0,IF(RIGHT(Ruimtestaat[[#This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92" s="88">
        <f>IF(U292&gt;0,VLOOKUP($K292,Ruimtegroepen[],3,FALSE)*VLOOKUP($M292,Vloersoorten[],3,FALSE)*VLOOKUP($T292,Frequenties[],3,FALSE)*VLOOKUP($A292,Locaties[],3,FALSE),0)</f>
        <v>0</v>
      </c>
      <c r="W292" s="89">
        <f>Ruimtestaat[[#This Row],[Uitvoeringen werkdagen]]*Ruimtestaat[[#This Row],[Oppervlak (netto)]]</f>
        <v>13360</v>
      </c>
      <c r="X292" s="90">
        <f>IF(V292&gt;0,Ruimtestaat[[#This Row],[Prest. (m2 /jaar) werkdagen]]/Ruimtestaat[[#This Row],[Norm (m2/uur) werkdagen]],0)</f>
        <v>0</v>
      </c>
      <c r="Y292" s="91">
        <f>Ruimtestaat[[#This Row],[uren / jaar werkdagen]]*Tariefsopbouw!$E$35</f>
        <v>0</v>
      </c>
      <c r="Z292" s="88"/>
      <c r="AA292" s="92">
        <f>IF(Ruimtestaat[[#This Row],[Frequentie weekend]]&gt;0,VALUE(LEFT(Z292,1))*S292,0)</f>
        <v>0</v>
      </c>
      <c r="AB292" s="88">
        <f>IF($AA292&gt;0,VLOOKUP($K292,Ruimtegroepen[],3,FALSE)*VLOOKUP($M292,Vloersoorten[],3,FALSE)*VLOOKUP($Z292,Frequenties[],3,FALSE)*VLOOKUP(#REF!,Locaties[],3,FALSE),0)</f>
        <v>0</v>
      </c>
      <c r="AC292" s="90">
        <f>Ruimtestaat[[#This Row],[Uitvoeringen weekend]]*Ruimtestaat[[#This Row],[Oppervlak (netto)]]</f>
        <v>0</v>
      </c>
      <c r="AD292" s="93">
        <f>IF(AC292&gt;0,Ruimtestaat[[#This Row],[Prest. (m2 /jaar) weekend]]/Ruimtestaat[[#This Row],[Norm (m2/uur) weekend]],0)</f>
        <v>0</v>
      </c>
      <c r="AE292" s="94">
        <f>Ruimtestaat[[#This Row],[uren / jaar weekend]]*Tariefsopbouw!$D$40</f>
        <v>0</v>
      </c>
      <c r="AF292" s="66">
        <f>Ruimtestaat[[#This Row],[Prest. (m2 /jaar) weekend]]+Ruimtestaat[[#This Row],[Prest. (m2 /jaar) werkdagen]]</f>
        <v>13360</v>
      </c>
      <c r="AG292" s="66">
        <f>Ruimtestaat[[#This Row],[uren / jaar weekend]]+Ruimtestaat[[#This Row],[uren / jaar werkdagen]]</f>
        <v>0</v>
      </c>
      <c r="AH292" s="67">
        <f>Ruimtestaat[[#This Row],[kosten / jaar weekend]]+Ruimtestaat[[#This Row],[kosten / jaar werkdagen]]</f>
        <v>0</v>
      </c>
    </row>
    <row r="293" spans="1:34" ht="15" customHeight="1">
      <c r="A293" s="112">
        <v>2</v>
      </c>
      <c r="B293" s="23" t="str">
        <f>VLOOKUP(Ruimtestaat[[#This Row],[Code]],Locaties[#All],2,FALSE)</f>
        <v>RSG Slingerbos</v>
      </c>
      <c r="C293" s="23" t="str">
        <f>VLOOKUP(Ruimtestaat[[#This Row],[Code]],Locaties[#All],4,FALSE)</f>
        <v>Eisenhowerlaan 59</v>
      </c>
      <c r="D293" s="23" t="str">
        <f>VLOOKUP(Ruimtestaat[[#This Row],[Code]],Locaties[#All],5,FALSE)</f>
        <v>3844 AS</v>
      </c>
      <c r="E293" s="23" t="str">
        <f>VLOOKUP(Ruimtestaat[[#This Row],[Code]],Locaties[#All],6,FALSE)</f>
        <v>Harderwijk</v>
      </c>
      <c r="F293" s="23"/>
      <c r="G293" s="60" t="s">
        <v>968</v>
      </c>
      <c r="H293" s="23" t="s">
        <v>837</v>
      </c>
      <c r="I293" s="23" t="s">
        <v>788</v>
      </c>
      <c r="J293" s="3" t="s">
        <v>1025</v>
      </c>
      <c r="K293" s="23">
        <v>6</v>
      </c>
      <c r="L293" s="60" t="str">
        <f>VLOOKUP(K293,Ruimtegroepen[],2,FALSE)</f>
        <v>Gangen/hallen</v>
      </c>
      <c r="M293" s="23" t="s">
        <v>112</v>
      </c>
      <c r="N293" s="23" t="s">
        <v>1090</v>
      </c>
      <c r="O293" s="86">
        <v>28.4</v>
      </c>
      <c r="P293" s="86"/>
      <c r="Q293" s="95" t="str">
        <f>LEFT(VLOOKUP(Ruimtestaat[[#This Row],[Ruimte code]],Ruimtegroepen[#All],4,1),2)</f>
        <v xml:space="preserve">V </v>
      </c>
      <c r="R293" s="95"/>
      <c r="S293" s="87">
        <v>40</v>
      </c>
      <c r="T293" s="87" t="s">
        <v>2</v>
      </c>
      <c r="U293" s="88">
        <f>IF(S293&gt;0,IF(RIGHT(Ruimtestaat[[#This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93" s="88">
        <f>IF(U293&gt;0,VLOOKUP($K293,Ruimtegroepen[],3,FALSE)*VLOOKUP($M293,Vloersoorten[],3,FALSE)*VLOOKUP($T293,Frequenties[],3,FALSE)*VLOOKUP($A293,Locaties[],3,FALSE),0)</f>
        <v>0</v>
      </c>
      <c r="W293" s="89">
        <f>Ruimtestaat[[#This Row],[Uitvoeringen werkdagen]]*Ruimtestaat[[#This Row],[Oppervlak (netto)]]</f>
        <v>5680</v>
      </c>
      <c r="X293" s="90">
        <f>IF(V293&gt;0,Ruimtestaat[[#This Row],[Prest. (m2 /jaar) werkdagen]]/Ruimtestaat[[#This Row],[Norm (m2/uur) werkdagen]],0)</f>
        <v>0</v>
      </c>
      <c r="Y293" s="91">
        <f>Ruimtestaat[[#This Row],[uren / jaar werkdagen]]*Tariefsopbouw!$E$35</f>
        <v>0</v>
      </c>
      <c r="Z293" s="88"/>
      <c r="AA293" s="92">
        <f>IF(Ruimtestaat[[#This Row],[Frequentie weekend]]&gt;0,VALUE(LEFT(Z293,1))*S293,0)</f>
        <v>0</v>
      </c>
      <c r="AB293" s="88">
        <f>IF($AA293&gt;0,VLOOKUP($K293,Ruimtegroepen[],3,FALSE)*VLOOKUP($M293,Vloersoorten[],3,FALSE)*VLOOKUP($Z293,Frequenties[],3,FALSE)*VLOOKUP(#REF!,Locaties[],3,FALSE),0)</f>
        <v>0</v>
      </c>
      <c r="AC293" s="90">
        <f>Ruimtestaat[[#This Row],[Uitvoeringen weekend]]*Ruimtestaat[[#This Row],[Oppervlak (netto)]]</f>
        <v>0</v>
      </c>
      <c r="AD293" s="93">
        <f>IF(AC293&gt;0,Ruimtestaat[[#This Row],[Prest. (m2 /jaar) weekend]]/Ruimtestaat[[#This Row],[Norm (m2/uur) weekend]],0)</f>
        <v>0</v>
      </c>
      <c r="AE293" s="94">
        <f>Ruimtestaat[[#This Row],[uren / jaar weekend]]*Tariefsopbouw!$D$40</f>
        <v>0</v>
      </c>
      <c r="AF293" s="66">
        <f>Ruimtestaat[[#This Row],[Prest. (m2 /jaar) weekend]]+Ruimtestaat[[#This Row],[Prest. (m2 /jaar) werkdagen]]</f>
        <v>5680</v>
      </c>
      <c r="AG293" s="66">
        <f>Ruimtestaat[[#This Row],[uren / jaar weekend]]+Ruimtestaat[[#This Row],[uren / jaar werkdagen]]</f>
        <v>0</v>
      </c>
      <c r="AH293" s="67">
        <f>Ruimtestaat[[#This Row],[kosten / jaar weekend]]+Ruimtestaat[[#This Row],[kosten / jaar werkdagen]]</f>
        <v>0</v>
      </c>
    </row>
    <row r="294" spans="1:34" ht="15" customHeight="1">
      <c r="A294" s="112">
        <v>2</v>
      </c>
      <c r="B294" s="23" t="str">
        <f>VLOOKUP(Ruimtestaat[[#This Row],[Code]],Locaties[#All],2,FALSE)</f>
        <v>RSG Slingerbos</v>
      </c>
      <c r="C294" s="23" t="str">
        <f>VLOOKUP(Ruimtestaat[[#This Row],[Code]],Locaties[#All],4,FALSE)</f>
        <v>Eisenhowerlaan 59</v>
      </c>
      <c r="D294" s="23" t="str">
        <f>VLOOKUP(Ruimtestaat[[#This Row],[Code]],Locaties[#All],5,FALSE)</f>
        <v>3844 AS</v>
      </c>
      <c r="E294" s="23" t="str">
        <f>VLOOKUP(Ruimtestaat[[#This Row],[Code]],Locaties[#All],6,FALSE)</f>
        <v>Harderwijk</v>
      </c>
      <c r="F294" s="23"/>
      <c r="G294" s="60" t="s">
        <v>969</v>
      </c>
      <c r="H294" s="23" t="s">
        <v>837</v>
      </c>
      <c r="I294" s="23" t="s">
        <v>789</v>
      </c>
      <c r="J294" s="3" t="s">
        <v>1025</v>
      </c>
      <c r="K294" s="23">
        <v>6</v>
      </c>
      <c r="L294" s="60" t="str">
        <f>VLOOKUP(K294,Ruimtegroepen[],2,FALSE)</f>
        <v>Gangen/hallen</v>
      </c>
      <c r="M294" s="23" t="s">
        <v>112</v>
      </c>
      <c r="N294" s="23" t="s">
        <v>1090</v>
      </c>
      <c r="O294" s="86">
        <v>28.4</v>
      </c>
      <c r="P294" s="86"/>
      <c r="Q294" s="95" t="str">
        <f>LEFT(VLOOKUP(Ruimtestaat[[#This Row],[Ruimte code]],Ruimtegroepen[#All],4,1),2)</f>
        <v xml:space="preserve">V </v>
      </c>
      <c r="R294" s="95"/>
      <c r="S294" s="87">
        <v>40</v>
      </c>
      <c r="T294" s="87" t="s">
        <v>2</v>
      </c>
      <c r="U294" s="88">
        <f>IF(S294&gt;0,IF(RIGHT(Ruimtestaat[[#This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94" s="88">
        <f>IF(U294&gt;0,VLOOKUP($K294,Ruimtegroepen[],3,FALSE)*VLOOKUP($M294,Vloersoorten[],3,FALSE)*VLOOKUP($T294,Frequenties[],3,FALSE)*VLOOKUP($A294,Locaties[],3,FALSE),0)</f>
        <v>0</v>
      </c>
      <c r="W294" s="89">
        <f>Ruimtestaat[[#This Row],[Uitvoeringen werkdagen]]*Ruimtestaat[[#This Row],[Oppervlak (netto)]]</f>
        <v>5680</v>
      </c>
      <c r="X294" s="90">
        <f>IF(V294&gt;0,Ruimtestaat[[#This Row],[Prest. (m2 /jaar) werkdagen]]/Ruimtestaat[[#This Row],[Norm (m2/uur) werkdagen]],0)</f>
        <v>0</v>
      </c>
      <c r="Y294" s="91">
        <f>Ruimtestaat[[#This Row],[uren / jaar werkdagen]]*Tariefsopbouw!$E$35</f>
        <v>0</v>
      </c>
      <c r="Z294" s="88"/>
      <c r="AA294" s="92">
        <f>IF(Ruimtestaat[[#This Row],[Frequentie weekend]]&gt;0,VALUE(LEFT(Z294,1))*S294,0)</f>
        <v>0</v>
      </c>
      <c r="AB294" s="88">
        <f>IF($AA294&gt;0,VLOOKUP($K294,Ruimtegroepen[],3,FALSE)*VLOOKUP($M294,Vloersoorten[],3,FALSE)*VLOOKUP($Z294,Frequenties[],3,FALSE)*VLOOKUP(#REF!,Locaties[],3,FALSE),0)</f>
        <v>0</v>
      </c>
      <c r="AC294" s="90">
        <f>Ruimtestaat[[#This Row],[Uitvoeringen weekend]]*Ruimtestaat[[#This Row],[Oppervlak (netto)]]</f>
        <v>0</v>
      </c>
      <c r="AD294" s="93">
        <f>IF(AC294&gt;0,Ruimtestaat[[#This Row],[Prest. (m2 /jaar) weekend]]/Ruimtestaat[[#This Row],[Norm (m2/uur) weekend]],0)</f>
        <v>0</v>
      </c>
      <c r="AE294" s="94">
        <f>Ruimtestaat[[#This Row],[uren / jaar weekend]]*Tariefsopbouw!$D$40</f>
        <v>0</v>
      </c>
      <c r="AF294" s="66">
        <f>Ruimtestaat[[#This Row],[Prest. (m2 /jaar) weekend]]+Ruimtestaat[[#This Row],[Prest. (m2 /jaar) werkdagen]]</f>
        <v>5680</v>
      </c>
      <c r="AG294" s="66">
        <f>Ruimtestaat[[#This Row],[uren / jaar weekend]]+Ruimtestaat[[#This Row],[uren / jaar werkdagen]]</f>
        <v>0</v>
      </c>
      <c r="AH294" s="67">
        <f>Ruimtestaat[[#This Row],[kosten / jaar weekend]]+Ruimtestaat[[#This Row],[kosten / jaar werkdagen]]</f>
        <v>0</v>
      </c>
    </row>
    <row r="295" spans="1:34" ht="15" customHeight="1">
      <c r="A295" s="112">
        <v>2</v>
      </c>
      <c r="B295" s="23" t="str">
        <f>VLOOKUP(Ruimtestaat[[#This Row],[Code]],Locaties[#All],2,FALSE)</f>
        <v>RSG Slingerbos</v>
      </c>
      <c r="C295" s="23" t="str">
        <f>VLOOKUP(Ruimtestaat[[#This Row],[Code]],Locaties[#All],4,FALSE)</f>
        <v>Eisenhowerlaan 59</v>
      </c>
      <c r="D295" s="23" t="str">
        <f>VLOOKUP(Ruimtestaat[[#This Row],[Code]],Locaties[#All],5,FALSE)</f>
        <v>3844 AS</v>
      </c>
      <c r="E295" s="23" t="str">
        <f>VLOOKUP(Ruimtestaat[[#This Row],[Code]],Locaties[#All],6,FALSE)</f>
        <v>Harderwijk</v>
      </c>
      <c r="F295" s="23"/>
      <c r="G295" s="60" t="s">
        <v>970</v>
      </c>
      <c r="H295" s="23" t="s">
        <v>837</v>
      </c>
      <c r="I295" s="23" t="s">
        <v>790</v>
      </c>
      <c r="J295" s="3" t="s">
        <v>1070</v>
      </c>
      <c r="K295" s="23">
        <v>6</v>
      </c>
      <c r="L295" s="60" t="str">
        <f>VLOOKUP(K295,Ruimtegroepen[],2,FALSE)</f>
        <v>Gangen/hallen</v>
      </c>
      <c r="M295" s="23" t="s">
        <v>112</v>
      </c>
      <c r="N295" s="23" t="s">
        <v>1090</v>
      </c>
      <c r="O295" s="86">
        <v>39.5</v>
      </c>
      <c r="P295" s="86"/>
      <c r="Q295" s="95" t="str">
        <f>LEFT(VLOOKUP(Ruimtestaat[[#This Row],[Ruimte code]],Ruimtegroepen[#All],4,1),2)</f>
        <v xml:space="preserve">V </v>
      </c>
      <c r="R295" s="95"/>
      <c r="S295" s="87">
        <v>40</v>
      </c>
      <c r="T295" s="87" t="s">
        <v>2</v>
      </c>
      <c r="U295" s="88">
        <f>IF(S295&gt;0,IF(RIGHT(Ruimtestaat[[#This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95" s="88">
        <f>IF(U295&gt;0,VLOOKUP($K295,Ruimtegroepen[],3,FALSE)*VLOOKUP($M295,Vloersoorten[],3,FALSE)*VLOOKUP($T295,Frequenties[],3,FALSE)*VLOOKUP($A295,Locaties[],3,FALSE),0)</f>
        <v>0</v>
      </c>
      <c r="W295" s="89">
        <f>Ruimtestaat[[#This Row],[Uitvoeringen werkdagen]]*Ruimtestaat[[#This Row],[Oppervlak (netto)]]</f>
        <v>7900</v>
      </c>
      <c r="X295" s="90">
        <f>IF(V295&gt;0,Ruimtestaat[[#This Row],[Prest. (m2 /jaar) werkdagen]]/Ruimtestaat[[#This Row],[Norm (m2/uur) werkdagen]],0)</f>
        <v>0</v>
      </c>
      <c r="Y295" s="91">
        <f>Ruimtestaat[[#This Row],[uren / jaar werkdagen]]*Tariefsopbouw!$E$35</f>
        <v>0</v>
      </c>
      <c r="Z295" s="88"/>
      <c r="AA295" s="92">
        <f>IF(Ruimtestaat[[#This Row],[Frequentie weekend]]&gt;0,VALUE(LEFT(Z295,1))*S295,0)</f>
        <v>0</v>
      </c>
      <c r="AB295" s="88">
        <f>IF($AA295&gt;0,VLOOKUP($K295,Ruimtegroepen[],3,FALSE)*VLOOKUP($M295,Vloersoorten[],3,FALSE)*VLOOKUP($Z295,Frequenties[],3,FALSE)*VLOOKUP(#REF!,Locaties[],3,FALSE),0)</f>
        <v>0</v>
      </c>
      <c r="AC295" s="90">
        <f>Ruimtestaat[[#This Row],[Uitvoeringen weekend]]*Ruimtestaat[[#This Row],[Oppervlak (netto)]]</f>
        <v>0</v>
      </c>
      <c r="AD295" s="93">
        <f>IF(AC295&gt;0,Ruimtestaat[[#This Row],[Prest. (m2 /jaar) weekend]]/Ruimtestaat[[#This Row],[Norm (m2/uur) weekend]],0)</f>
        <v>0</v>
      </c>
      <c r="AE295" s="94">
        <f>Ruimtestaat[[#This Row],[uren / jaar weekend]]*Tariefsopbouw!$D$40</f>
        <v>0</v>
      </c>
      <c r="AF295" s="66">
        <f>Ruimtestaat[[#This Row],[Prest. (m2 /jaar) weekend]]+Ruimtestaat[[#This Row],[Prest. (m2 /jaar) werkdagen]]</f>
        <v>7900</v>
      </c>
      <c r="AG295" s="66">
        <f>Ruimtestaat[[#This Row],[uren / jaar weekend]]+Ruimtestaat[[#This Row],[uren / jaar werkdagen]]</f>
        <v>0</v>
      </c>
      <c r="AH295" s="67">
        <f>Ruimtestaat[[#This Row],[kosten / jaar weekend]]+Ruimtestaat[[#This Row],[kosten / jaar werkdagen]]</f>
        <v>0</v>
      </c>
    </row>
    <row r="296" spans="1:34" ht="15" customHeight="1">
      <c r="A296" s="112">
        <v>2</v>
      </c>
      <c r="B296" s="23" t="str">
        <f>VLOOKUP(Ruimtestaat[[#This Row],[Code]],Locaties[#All],2,FALSE)</f>
        <v>RSG Slingerbos</v>
      </c>
      <c r="C296" s="23" t="str">
        <f>VLOOKUP(Ruimtestaat[[#This Row],[Code]],Locaties[#All],4,FALSE)</f>
        <v>Eisenhowerlaan 59</v>
      </c>
      <c r="D296" s="23" t="str">
        <f>VLOOKUP(Ruimtestaat[[#This Row],[Code]],Locaties[#All],5,FALSE)</f>
        <v>3844 AS</v>
      </c>
      <c r="E296" s="23" t="str">
        <f>VLOOKUP(Ruimtestaat[[#This Row],[Code]],Locaties[#All],6,FALSE)</f>
        <v>Harderwijk</v>
      </c>
      <c r="F296" s="23"/>
      <c r="G296" s="60" t="s">
        <v>971</v>
      </c>
      <c r="H296" s="23" t="s">
        <v>837</v>
      </c>
      <c r="I296" s="23" t="s">
        <v>791</v>
      </c>
      <c r="J296" s="3" t="s">
        <v>1025</v>
      </c>
      <c r="K296" s="23">
        <v>6</v>
      </c>
      <c r="L296" s="60" t="str">
        <f>VLOOKUP(K296,Ruimtegroepen[],2,FALSE)</f>
        <v>Gangen/hallen</v>
      </c>
      <c r="M296" s="23" t="s">
        <v>112</v>
      </c>
      <c r="N296" s="23" t="s">
        <v>1090</v>
      </c>
      <c r="O296" s="86">
        <v>81.2</v>
      </c>
      <c r="P296" s="86"/>
      <c r="Q296" s="95" t="str">
        <f>LEFT(VLOOKUP(Ruimtestaat[[#This Row],[Ruimte code]],Ruimtegroepen[#All],4,1),2)</f>
        <v xml:space="preserve">V </v>
      </c>
      <c r="R296" s="95"/>
      <c r="S296" s="87">
        <v>40</v>
      </c>
      <c r="T296" s="87" t="s">
        <v>2</v>
      </c>
      <c r="U296" s="88">
        <f>IF(S296&gt;0,IF(RIGHT(Ruimtestaat[[#This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96" s="88">
        <f>IF(U296&gt;0,VLOOKUP($K296,Ruimtegroepen[],3,FALSE)*VLOOKUP($M296,Vloersoorten[],3,FALSE)*VLOOKUP($T296,Frequenties[],3,FALSE)*VLOOKUP($A296,Locaties[],3,FALSE),0)</f>
        <v>0</v>
      </c>
      <c r="W296" s="89">
        <f>Ruimtestaat[[#This Row],[Uitvoeringen werkdagen]]*Ruimtestaat[[#This Row],[Oppervlak (netto)]]</f>
        <v>16240</v>
      </c>
      <c r="X296" s="90">
        <f>IF(V296&gt;0,Ruimtestaat[[#This Row],[Prest. (m2 /jaar) werkdagen]]/Ruimtestaat[[#This Row],[Norm (m2/uur) werkdagen]],0)</f>
        <v>0</v>
      </c>
      <c r="Y296" s="91">
        <f>Ruimtestaat[[#This Row],[uren / jaar werkdagen]]*Tariefsopbouw!$E$35</f>
        <v>0</v>
      </c>
      <c r="Z296" s="88"/>
      <c r="AA296" s="92">
        <f>IF(Ruimtestaat[[#This Row],[Frequentie weekend]]&gt;0,VALUE(LEFT(Z296,1))*S296,0)</f>
        <v>0</v>
      </c>
      <c r="AB296" s="88">
        <f>IF($AA296&gt;0,VLOOKUP($K296,Ruimtegroepen[],3,FALSE)*VLOOKUP($M296,Vloersoorten[],3,FALSE)*VLOOKUP($Z296,Frequenties[],3,FALSE)*VLOOKUP(#REF!,Locaties[],3,FALSE),0)</f>
        <v>0</v>
      </c>
      <c r="AC296" s="90">
        <f>Ruimtestaat[[#This Row],[Uitvoeringen weekend]]*Ruimtestaat[[#This Row],[Oppervlak (netto)]]</f>
        <v>0</v>
      </c>
      <c r="AD296" s="93">
        <f>IF(AC296&gt;0,Ruimtestaat[[#This Row],[Prest. (m2 /jaar) weekend]]/Ruimtestaat[[#This Row],[Norm (m2/uur) weekend]],0)</f>
        <v>0</v>
      </c>
      <c r="AE296" s="94">
        <f>Ruimtestaat[[#This Row],[uren / jaar weekend]]*Tariefsopbouw!$D$40</f>
        <v>0</v>
      </c>
      <c r="AF296" s="66">
        <f>Ruimtestaat[[#This Row],[Prest. (m2 /jaar) weekend]]+Ruimtestaat[[#This Row],[Prest. (m2 /jaar) werkdagen]]</f>
        <v>16240</v>
      </c>
      <c r="AG296" s="66">
        <f>Ruimtestaat[[#This Row],[uren / jaar weekend]]+Ruimtestaat[[#This Row],[uren / jaar werkdagen]]</f>
        <v>0</v>
      </c>
      <c r="AH296" s="67">
        <f>Ruimtestaat[[#This Row],[kosten / jaar weekend]]+Ruimtestaat[[#This Row],[kosten / jaar werkdagen]]</f>
        <v>0</v>
      </c>
    </row>
    <row r="297" spans="1:34" ht="15" customHeight="1">
      <c r="A297" s="112">
        <v>2</v>
      </c>
      <c r="B297" s="23" t="str">
        <f>VLOOKUP(Ruimtestaat[[#This Row],[Code]],Locaties[#All],2,FALSE)</f>
        <v>RSG Slingerbos</v>
      </c>
      <c r="C297" s="23" t="str">
        <f>VLOOKUP(Ruimtestaat[[#This Row],[Code]],Locaties[#All],4,FALSE)</f>
        <v>Eisenhowerlaan 59</v>
      </c>
      <c r="D297" s="23" t="str">
        <f>VLOOKUP(Ruimtestaat[[#This Row],[Code]],Locaties[#All],5,FALSE)</f>
        <v>3844 AS</v>
      </c>
      <c r="E297" s="23" t="str">
        <f>VLOOKUP(Ruimtestaat[[#This Row],[Code]],Locaties[#All],6,FALSE)</f>
        <v>Harderwijk</v>
      </c>
      <c r="F297" s="23"/>
      <c r="G297" s="60" t="s">
        <v>972</v>
      </c>
      <c r="H297" s="23" t="s">
        <v>837</v>
      </c>
      <c r="I297" s="23" t="s">
        <v>792</v>
      </c>
      <c r="J297" s="3" t="s">
        <v>1061</v>
      </c>
      <c r="K297" s="23">
        <v>2</v>
      </c>
      <c r="L297" s="60" t="str">
        <f>VLOOKUP(K297,Ruimtegroepen[],2,FALSE)</f>
        <v>Kantoren</v>
      </c>
      <c r="M297" s="23" t="s">
        <v>112</v>
      </c>
      <c r="N297" s="23" t="s">
        <v>1090</v>
      </c>
      <c r="O297" s="86">
        <v>199.6</v>
      </c>
      <c r="P297" s="86"/>
      <c r="Q297" s="95" t="str">
        <f>LEFT(VLOOKUP(Ruimtestaat[[#This Row],[Ruimte code]],Ruimtegroepen[#All],4,1),2)</f>
        <v xml:space="preserve">B </v>
      </c>
      <c r="R297" s="95"/>
      <c r="S297" s="87">
        <v>40</v>
      </c>
      <c r="T297" s="87" t="s">
        <v>17</v>
      </c>
      <c r="U297" s="88">
        <f>IF(S297&gt;0,IF(RIGHT(Ruimtestaat[[#This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97" s="88">
        <f>IF(U297&gt;0,VLOOKUP($K297,Ruimtegroepen[],3,FALSE)*VLOOKUP($M297,Vloersoorten[],3,FALSE)*VLOOKUP($T297,Frequenties[],3,FALSE)*VLOOKUP($A297,Locaties[],3,FALSE),0)</f>
        <v>0</v>
      </c>
      <c r="W297" s="89">
        <f>Ruimtestaat[[#This Row],[Uitvoeringen werkdagen]]*Ruimtestaat[[#This Row],[Oppervlak (netto)]]</f>
        <v>15968</v>
      </c>
      <c r="X297" s="90">
        <f>IF(V297&gt;0,Ruimtestaat[[#This Row],[Prest. (m2 /jaar) werkdagen]]/Ruimtestaat[[#This Row],[Norm (m2/uur) werkdagen]],0)</f>
        <v>0</v>
      </c>
      <c r="Y297" s="91">
        <f>Ruimtestaat[[#This Row],[uren / jaar werkdagen]]*Tariefsopbouw!$E$35</f>
        <v>0</v>
      </c>
      <c r="Z297" s="88"/>
      <c r="AA297" s="92">
        <f>IF(Ruimtestaat[[#This Row],[Frequentie weekend]]&gt;0,VALUE(LEFT(Z297,1))*S297,0)</f>
        <v>0</v>
      </c>
      <c r="AB297" s="88">
        <f>IF($AA297&gt;0,VLOOKUP($K297,Ruimtegroepen[],3,FALSE)*VLOOKUP($M297,Vloersoorten[],3,FALSE)*VLOOKUP($Z297,Frequenties[],3,FALSE)*VLOOKUP(#REF!,Locaties[],3,FALSE),0)</f>
        <v>0</v>
      </c>
      <c r="AC297" s="90">
        <f>Ruimtestaat[[#This Row],[Uitvoeringen weekend]]*Ruimtestaat[[#This Row],[Oppervlak (netto)]]</f>
        <v>0</v>
      </c>
      <c r="AD297" s="93">
        <f>IF(AC297&gt;0,Ruimtestaat[[#This Row],[Prest. (m2 /jaar) weekend]]/Ruimtestaat[[#This Row],[Norm (m2/uur) weekend]],0)</f>
        <v>0</v>
      </c>
      <c r="AE297" s="94">
        <f>Ruimtestaat[[#This Row],[uren / jaar weekend]]*Tariefsopbouw!$D$40</f>
        <v>0</v>
      </c>
      <c r="AF297" s="66">
        <f>Ruimtestaat[[#This Row],[Prest. (m2 /jaar) weekend]]+Ruimtestaat[[#This Row],[Prest. (m2 /jaar) werkdagen]]</f>
        <v>15968</v>
      </c>
      <c r="AG297" s="66">
        <f>Ruimtestaat[[#This Row],[uren / jaar weekend]]+Ruimtestaat[[#This Row],[uren / jaar werkdagen]]</f>
        <v>0</v>
      </c>
      <c r="AH297" s="67">
        <f>Ruimtestaat[[#This Row],[kosten / jaar weekend]]+Ruimtestaat[[#This Row],[kosten / jaar werkdagen]]</f>
        <v>0</v>
      </c>
    </row>
    <row r="298" spans="1:34" ht="15" customHeight="1">
      <c r="A298" s="112">
        <v>2</v>
      </c>
      <c r="B298" s="23" t="str">
        <f>VLOOKUP(Ruimtestaat[[#This Row],[Code]],Locaties[#All],2,FALSE)</f>
        <v>RSG Slingerbos</v>
      </c>
      <c r="C298" s="23" t="str">
        <f>VLOOKUP(Ruimtestaat[[#This Row],[Code]],Locaties[#All],4,FALSE)</f>
        <v>Eisenhowerlaan 59</v>
      </c>
      <c r="D298" s="23" t="str">
        <f>VLOOKUP(Ruimtestaat[[#This Row],[Code]],Locaties[#All],5,FALSE)</f>
        <v>3844 AS</v>
      </c>
      <c r="E298" s="23" t="str">
        <f>VLOOKUP(Ruimtestaat[[#This Row],[Code]],Locaties[#All],6,FALSE)</f>
        <v>Harderwijk</v>
      </c>
      <c r="F298" s="23"/>
      <c r="G298" s="60" t="s">
        <v>973</v>
      </c>
      <c r="H298" s="23" t="s">
        <v>837</v>
      </c>
      <c r="I298" s="23" t="s">
        <v>793</v>
      </c>
      <c r="J298" s="3" t="s">
        <v>1071</v>
      </c>
      <c r="K298" s="23">
        <v>23</v>
      </c>
      <c r="L298" s="60" t="str">
        <f>VLOOKUP(K298,Ruimtegroepen[],2,FALSE)</f>
        <v>Niet in onderhoud</v>
      </c>
      <c r="M298" s="23" t="s">
        <v>112</v>
      </c>
      <c r="N298" s="23" t="s">
        <v>1090</v>
      </c>
      <c r="O298" s="86"/>
      <c r="P298" s="86">
        <v>12.4</v>
      </c>
      <c r="Q298" s="95" t="str">
        <f>LEFT(VLOOKUP(Ruimtestaat[[#This Row],[Ruimte code]],Ruimtegroepen[#All],4,1),2)</f>
        <v/>
      </c>
      <c r="R298" s="95"/>
      <c r="S298" s="87"/>
      <c r="T298" s="87"/>
      <c r="U298" s="88">
        <f>IF(S298&gt;0,IF(RIGHT(Ruimtestaat[[#This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298" s="88">
        <f>IF(U298&gt;0,VLOOKUP($K298,Ruimtegroepen[],3,FALSE)*VLOOKUP($M298,Vloersoorten[],3,FALSE)*VLOOKUP($T298,Frequenties[],3,FALSE)*VLOOKUP($A298,Locaties[],3,FALSE),0)</f>
        <v>0</v>
      </c>
      <c r="W298" s="89">
        <f>Ruimtestaat[[#This Row],[Uitvoeringen werkdagen]]*Ruimtestaat[[#This Row],[Oppervlak (netto)]]</f>
        <v>0</v>
      </c>
      <c r="X298" s="90">
        <f>IF(V298&gt;0,Ruimtestaat[[#This Row],[Prest. (m2 /jaar) werkdagen]]/Ruimtestaat[[#This Row],[Norm (m2/uur) werkdagen]],0)</f>
        <v>0</v>
      </c>
      <c r="Y298" s="91">
        <f>Ruimtestaat[[#This Row],[uren / jaar werkdagen]]*Tariefsopbouw!$E$35</f>
        <v>0</v>
      </c>
      <c r="Z298" s="88"/>
      <c r="AA298" s="92">
        <f>IF(Ruimtestaat[[#This Row],[Frequentie weekend]]&gt;0,VALUE(LEFT(Z298,1))*S298,0)</f>
        <v>0</v>
      </c>
      <c r="AB298" s="88">
        <f>IF($AA298&gt;0,VLOOKUP($K298,Ruimtegroepen[],3,FALSE)*VLOOKUP($M298,Vloersoorten[],3,FALSE)*VLOOKUP($Z298,Frequenties[],3,FALSE)*VLOOKUP(#REF!,Locaties[],3,FALSE),0)</f>
        <v>0</v>
      </c>
      <c r="AC298" s="90">
        <f>Ruimtestaat[[#This Row],[Uitvoeringen weekend]]*Ruimtestaat[[#This Row],[Oppervlak (netto)]]</f>
        <v>0</v>
      </c>
      <c r="AD298" s="93">
        <f>IF(AC298&gt;0,Ruimtestaat[[#This Row],[Prest. (m2 /jaar) weekend]]/Ruimtestaat[[#This Row],[Norm (m2/uur) weekend]],0)</f>
        <v>0</v>
      </c>
      <c r="AE298" s="94">
        <f>Ruimtestaat[[#This Row],[uren / jaar weekend]]*Tariefsopbouw!$D$40</f>
        <v>0</v>
      </c>
      <c r="AF298" s="66">
        <f>Ruimtestaat[[#This Row],[Prest. (m2 /jaar) weekend]]+Ruimtestaat[[#This Row],[Prest. (m2 /jaar) werkdagen]]</f>
        <v>0</v>
      </c>
      <c r="AG298" s="66">
        <f>Ruimtestaat[[#This Row],[uren / jaar weekend]]+Ruimtestaat[[#This Row],[uren / jaar werkdagen]]</f>
        <v>0</v>
      </c>
      <c r="AH298" s="67">
        <f>Ruimtestaat[[#This Row],[kosten / jaar weekend]]+Ruimtestaat[[#This Row],[kosten / jaar werkdagen]]</f>
        <v>0</v>
      </c>
    </row>
    <row r="299" spans="1:34" ht="15" customHeight="1">
      <c r="A299" s="112">
        <v>2</v>
      </c>
      <c r="B299" s="23" t="str">
        <f>VLOOKUP(Ruimtestaat[[#This Row],[Code]],Locaties[#All],2,FALSE)</f>
        <v>RSG Slingerbos</v>
      </c>
      <c r="C299" s="23" t="str">
        <f>VLOOKUP(Ruimtestaat[[#This Row],[Code]],Locaties[#All],4,FALSE)</f>
        <v>Eisenhowerlaan 59</v>
      </c>
      <c r="D299" s="23" t="str">
        <f>VLOOKUP(Ruimtestaat[[#This Row],[Code]],Locaties[#All],5,FALSE)</f>
        <v>3844 AS</v>
      </c>
      <c r="E299" s="23" t="str">
        <f>VLOOKUP(Ruimtestaat[[#This Row],[Code]],Locaties[#All],6,FALSE)</f>
        <v>Harderwijk</v>
      </c>
      <c r="F299" s="23"/>
      <c r="G299" s="60" t="s">
        <v>974</v>
      </c>
      <c r="H299" s="23" t="s">
        <v>837</v>
      </c>
      <c r="I299" s="23" t="s">
        <v>794</v>
      </c>
      <c r="J299" s="3" t="s">
        <v>1041</v>
      </c>
      <c r="K299" s="23">
        <v>2</v>
      </c>
      <c r="L299" s="60" t="str">
        <f>VLOOKUP(K299,Ruimtegroepen[],2,FALSE)</f>
        <v>Kantoren</v>
      </c>
      <c r="M299" s="23" t="s">
        <v>112</v>
      </c>
      <c r="N299" s="23" t="s">
        <v>1090</v>
      </c>
      <c r="O299" s="86">
        <v>15.1</v>
      </c>
      <c r="P299" s="86"/>
      <c r="Q299" s="95" t="str">
        <f>LEFT(VLOOKUP(Ruimtestaat[[#This Row],[Ruimte code]],Ruimtegroepen[#All],4,1),2)</f>
        <v xml:space="preserve">B </v>
      </c>
      <c r="R299" s="95"/>
      <c r="S299" s="87">
        <v>40</v>
      </c>
      <c r="T299" s="87" t="s">
        <v>17</v>
      </c>
      <c r="U299" s="88">
        <f>IF(S299&gt;0,IF(RIGHT(Ruimtestaat[[#This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99" s="88">
        <f>IF(U299&gt;0,VLOOKUP($K299,Ruimtegroepen[],3,FALSE)*VLOOKUP($M299,Vloersoorten[],3,FALSE)*VLOOKUP($T299,Frequenties[],3,FALSE)*VLOOKUP($A299,Locaties[],3,FALSE),0)</f>
        <v>0</v>
      </c>
      <c r="W299" s="89">
        <f>Ruimtestaat[[#This Row],[Uitvoeringen werkdagen]]*Ruimtestaat[[#This Row],[Oppervlak (netto)]]</f>
        <v>1208</v>
      </c>
      <c r="X299" s="90">
        <f>IF(V299&gt;0,Ruimtestaat[[#This Row],[Prest. (m2 /jaar) werkdagen]]/Ruimtestaat[[#This Row],[Norm (m2/uur) werkdagen]],0)</f>
        <v>0</v>
      </c>
      <c r="Y299" s="91">
        <f>Ruimtestaat[[#This Row],[uren / jaar werkdagen]]*Tariefsopbouw!$E$35</f>
        <v>0</v>
      </c>
      <c r="Z299" s="88"/>
      <c r="AA299" s="92">
        <f>IF(Ruimtestaat[[#This Row],[Frequentie weekend]]&gt;0,VALUE(LEFT(Z299,1))*S299,0)</f>
        <v>0</v>
      </c>
      <c r="AB299" s="88">
        <f>IF($AA299&gt;0,VLOOKUP($K299,Ruimtegroepen[],3,FALSE)*VLOOKUP($M299,Vloersoorten[],3,FALSE)*VLOOKUP($Z299,Frequenties[],3,FALSE)*VLOOKUP(#REF!,Locaties[],3,FALSE),0)</f>
        <v>0</v>
      </c>
      <c r="AC299" s="90">
        <f>Ruimtestaat[[#This Row],[Uitvoeringen weekend]]*Ruimtestaat[[#This Row],[Oppervlak (netto)]]</f>
        <v>0</v>
      </c>
      <c r="AD299" s="93">
        <f>IF(AC299&gt;0,Ruimtestaat[[#This Row],[Prest. (m2 /jaar) weekend]]/Ruimtestaat[[#This Row],[Norm (m2/uur) weekend]],0)</f>
        <v>0</v>
      </c>
      <c r="AE299" s="94">
        <f>Ruimtestaat[[#This Row],[uren / jaar weekend]]*Tariefsopbouw!$D$40</f>
        <v>0</v>
      </c>
      <c r="AF299" s="66">
        <f>Ruimtestaat[[#This Row],[Prest. (m2 /jaar) weekend]]+Ruimtestaat[[#This Row],[Prest. (m2 /jaar) werkdagen]]</f>
        <v>1208</v>
      </c>
      <c r="AG299" s="66">
        <f>Ruimtestaat[[#This Row],[uren / jaar weekend]]+Ruimtestaat[[#This Row],[uren / jaar werkdagen]]</f>
        <v>0</v>
      </c>
      <c r="AH299" s="67">
        <f>Ruimtestaat[[#This Row],[kosten / jaar weekend]]+Ruimtestaat[[#This Row],[kosten / jaar werkdagen]]</f>
        <v>0</v>
      </c>
    </row>
    <row r="300" spans="1:34" ht="15" customHeight="1">
      <c r="A300" s="112">
        <v>2</v>
      </c>
      <c r="B300" s="23" t="str">
        <f>VLOOKUP(Ruimtestaat[[#This Row],[Code]],Locaties[#All],2,FALSE)</f>
        <v>RSG Slingerbos</v>
      </c>
      <c r="C300" s="23" t="str">
        <f>VLOOKUP(Ruimtestaat[[#This Row],[Code]],Locaties[#All],4,FALSE)</f>
        <v>Eisenhowerlaan 59</v>
      </c>
      <c r="D300" s="23" t="str">
        <f>VLOOKUP(Ruimtestaat[[#This Row],[Code]],Locaties[#All],5,FALSE)</f>
        <v>3844 AS</v>
      </c>
      <c r="E300" s="23" t="str">
        <f>VLOOKUP(Ruimtestaat[[#This Row],[Code]],Locaties[#All],6,FALSE)</f>
        <v>Harderwijk</v>
      </c>
      <c r="F300" s="23"/>
      <c r="G300" s="60" t="s">
        <v>975</v>
      </c>
      <c r="H300" s="23" t="s">
        <v>837</v>
      </c>
      <c r="I300" s="23" t="s">
        <v>795</v>
      </c>
      <c r="J300" s="3" t="s">
        <v>1041</v>
      </c>
      <c r="K300" s="23">
        <v>2</v>
      </c>
      <c r="L300" s="60" t="str">
        <f>VLOOKUP(K300,Ruimtegroepen[],2,FALSE)</f>
        <v>Kantoren</v>
      </c>
      <c r="M300" s="23" t="s">
        <v>112</v>
      </c>
      <c r="N300" s="23" t="s">
        <v>1090</v>
      </c>
      <c r="O300" s="86">
        <v>13.9</v>
      </c>
      <c r="P300" s="86"/>
      <c r="Q300" s="95" t="str">
        <f>LEFT(VLOOKUP(Ruimtestaat[[#This Row],[Ruimte code]],Ruimtegroepen[#All],4,1),2)</f>
        <v xml:space="preserve">B </v>
      </c>
      <c r="R300" s="95"/>
      <c r="S300" s="87">
        <v>40</v>
      </c>
      <c r="T300" s="87" t="s">
        <v>17</v>
      </c>
      <c r="U300" s="88">
        <f>IF(S300&gt;0,IF(RIGHT(Ruimtestaat[[#This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300" s="88">
        <f>IF(U300&gt;0,VLOOKUP($K300,Ruimtegroepen[],3,FALSE)*VLOOKUP($M300,Vloersoorten[],3,FALSE)*VLOOKUP($T300,Frequenties[],3,FALSE)*VLOOKUP($A300,Locaties[],3,FALSE),0)</f>
        <v>0</v>
      </c>
      <c r="W300" s="89">
        <f>Ruimtestaat[[#This Row],[Uitvoeringen werkdagen]]*Ruimtestaat[[#This Row],[Oppervlak (netto)]]</f>
        <v>1112</v>
      </c>
      <c r="X300" s="90">
        <f>IF(V300&gt;0,Ruimtestaat[[#This Row],[Prest. (m2 /jaar) werkdagen]]/Ruimtestaat[[#This Row],[Norm (m2/uur) werkdagen]],0)</f>
        <v>0</v>
      </c>
      <c r="Y300" s="91">
        <f>Ruimtestaat[[#This Row],[uren / jaar werkdagen]]*Tariefsopbouw!$E$35</f>
        <v>0</v>
      </c>
      <c r="Z300" s="88"/>
      <c r="AA300" s="92">
        <f>IF(Ruimtestaat[[#This Row],[Frequentie weekend]]&gt;0,VALUE(LEFT(Z300,1))*S300,0)</f>
        <v>0</v>
      </c>
      <c r="AB300" s="88">
        <f>IF($AA300&gt;0,VLOOKUP($K300,Ruimtegroepen[],3,FALSE)*VLOOKUP($M300,Vloersoorten[],3,FALSE)*VLOOKUP($Z300,Frequenties[],3,FALSE)*VLOOKUP(#REF!,Locaties[],3,FALSE),0)</f>
        <v>0</v>
      </c>
      <c r="AC300" s="90">
        <f>Ruimtestaat[[#This Row],[Uitvoeringen weekend]]*Ruimtestaat[[#This Row],[Oppervlak (netto)]]</f>
        <v>0</v>
      </c>
      <c r="AD300" s="93">
        <f>IF(AC300&gt;0,Ruimtestaat[[#This Row],[Prest. (m2 /jaar) weekend]]/Ruimtestaat[[#This Row],[Norm (m2/uur) weekend]],0)</f>
        <v>0</v>
      </c>
      <c r="AE300" s="94">
        <f>Ruimtestaat[[#This Row],[uren / jaar weekend]]*Tariefsopbouw!$D$40</f>
        <v>0</v>
      </c>
      <c r="AF300" s="66">
        <f>Ruimtestaat[[#This Row],[Prest. (m2 /jaar) weekend]]+Ruimtestaat[[#This Row],[Prest. (m2 /jaar) werkdagen]]</f>
        <v>1112</v>
      </c>
      <c r="AG300" s="66">
        <f>Ruimtestaat[[#This Row],[uren / jaar weekend]]+Ruimtestaat[[#This Row],[uren / jaar werkdagen]]</f>
        <v>0</v>
      </c>
      <c r="AH300" s="67">
        <f>Ruimtestaat[[#This Row],[kosten / jaar weekend]]+Ruimtestaat[[#This Row],[kosten / jaar werkdagen]]</f>
        <v>0</v>
      </c>
    </row>
    <row r="301" spans="1:34" ht="15" customHeight="1">
      <c r="A301" s="112">
        <v>2</v>
      </c>
      <c r="B301" s="23" t="str">
        <f>VLOOKUP(Ruimtestaat[[#This Row],[Code]],Locaties[#All],2,FALSE)</f>
        <v>RSG Slingerbos</v>
      </c>
      <c r="C301" s="23" t="str">
        <f>VLOOKUP(Ruimtestaat[[#This Row],[Code]],Locaties[#All],4,FALSE)</f>
        <v>Eisenhowerlaan 59</v>
      </c>
      <c r="D301" s="23" t="str">
        <f>VLOOKUP(Ruimtestaat[[#This Row],[Code]],Locaties[#All],5,FALSE)</f>
        <v>3844 AS</v>
      </c>
      <c r="E301" s="23" t="str">
        <f>VLOOKUP(Ruimtestaat[[#This Row],[Code]],Locaties[#All],6,FALSE)</f>
        <v>Harderwijk</v>
      </c>
      <c r="F301" s="23"/>
      <c r="G301" s="60" t="s">
        <v>976</v>
      </c>
      <c r="H301" s="23" t="s">
        <v>837</v>
      </c>
      <c r="I301" s="23" t="s">
        <v>796</v>
      </c>
      <c r="J301" s="3" t="s">
        <v>1025</v>
      </c>
      <c r="K301" s="23">
        <v>6</v>
      </c>
      <c r="L301" s="60" t="str">
        <f>VLOOKUP(K301,Ruimtegroepen[],2,FALSE)</f>
        <v>Gangen/hallen</v>
      </c>
      <c r="M301" s="23" t="s">
        <v>112</v>
      </c>
      <c r="N301" s="23" t="s">
        <v>1090</v>
      </c>
      <c r="O301" s="86">
        <v>33.9</v>
      </c>
      <c r="P301" s="86"/>
      <c r="Q301" s="95" t="str">
        <f>LEFT(VLOOKUP(Ruimtestaat[[#This Row],[Ruimte code]],Ruimtegroepen[#All],4,1),2)</f>
        <v xml:space="preserve">V </v>
      </c>
      <c r="R301" s="95"/>
      <c r="S301" s="87">
        <v>40</v>
      </c>
      <c r="T301" s="87" t="s">
        <v>2</v>
      </c>
      <c r="U301" s="88">
        <f>IF(S301&gt;0,IF(RIGHT(Ruimtestaat[[#This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01" s="88">
        <f>IF(U301&gt;0,VLOOKUP($K301,Ruimtegroepen[],3,FALSE)*VLOOKUP($M301,Vloersoorten[],3,FALSE)*VLOOKUP($T301,Frequenties[],3,FALSE)*VLOOKUP($A301,Locaties[],3,FALSE),0)</f>
        <v>0</v>
      </c>
      <c r="W301" s="89">
        <f>Ruimtestaat[[#This Row],[Uitvoeringen werkdagen]]*Ruimtestaat[[#This Row],[Oppervlak (netto)]]</f>
        <v>6780</v>
      </c>
      <c r="X301" s="90">
        <f>IF(V301&gt;0,Ruimtestaat[[#This Row],[Prest. (m2 /jaar) werkdagen]]/Ruimtestaat[[#This Row],[Norm (m2/uur) werkdagen]],0)</f>
        <v>0</v>
      </c>
      <c r="Y301" s="91">
        <f>Ruimtestaat[[#This Row],[uren / jaar werkdagen]]*Tariefsopbouw!$E$35</f>
        <v>0</v>
      </c>
      <c r="Z301" s="88"/>
      <c r="AA301" s="92">
        <f>IF(Ruimtestaat[[#This Row],[Frequentie weekend]]&gt;0,VALUE(LEFT(Z301,1))*S301,0)</f>
        <v>0</v>
      </c>
      <c r="AB301" s="88">
        <f>IF($AA301&gt;0,VLOOKUP($K301,Ruimtegroepen[],3,FALSE)*VLOOKUP($M301,Vloersoorten[],3,FALSE)*VLOOKUP($Z301,Frequenties[],3,FALSE)*VLOOKUP(#REF!,Locaties[],3,FALSE),0)</f>
        <v>0</v>
      </c>
      <c r="AC301" s="90">
        <f>Ruimtestaat[[#This Row],[Uitvoeringen weekend]]*Ruimtestaat[[#This Row],[Oppervlak (netto)]]</f>
        <v>0</v>
      </c>
      <c r="AD301" s="93">
        <f>IF(AC301&gt;0,Ruimtestaat[[#This Row],[Prest. (m2 /jaar) weekend]]/Ruimtestaat[[#This Row],[Norm (m2/uur) weekend]],0)</f>
        <v>0</v>
      </c>
      <c r="AE301" s="94">
        <f>Ruimtestaat[[#This Row],[uren / jaar weekend]]*Tariefsopbouw!$D$40</f>
        <v>0</v>
      </c>
      <c r="AF301" s="66">
        <f>Ruimtestaat[[#This Row],[Prest. (m2 /jaar) weekend]]+Ruimtestaat[[#This Row],[Prest. (m2 /jaar) werkdagen]]</f>
        <v>6780</v>
      </c>
      <c r="AG301" s="66">
        <f>Ruimtestaat[[#This Row],[uren / jaar weekend]]+Ruimtestaat[[#This Row],[uren / jaar werkdagen]]</f>
        <v>0</v>
      </c>
      <c r="AH301" s="67">
        <f>Ruimtestaat[[#This Row],[kosten / jaar weekend]]+Ruimtestaat[[#This Row],[kosten / jaar werkdagen]]</f>
        <v>0</v>
      </c>
    </row>
    <row r="302" spans="1:34" ht="15" customHeight="1">
      <c r="A302" s="112">
        <v>2</v>
      </c>
      <c r="B302" s="23" t="str">
        <f>VLOOKUP(Ruimtestaat[[#This Row],[Code]],Locaties[#All],2,FALSE)</f>
        <v>RSG Slingerbos</v>
      </c>
      <c r="C302" s="23" t="str">
        <f>VLOOKUP(Ruimtestaat[[#This Row],[Code]],Locaties[#All],4,FALSE)</f>
        <v>Eisenhowerlaan 59</v>
      </c>
      <c r="D302" s="23" t="str">
        <f>VLOOKUP(Ruimtestaat[[#This Row],[Code]],Locaties[#All],5,FALSE)</f>
        <v>3844 AS</v>
      </c>
      <c r="E302" s="23" t="str">
        <f>VLOOKUP(Ruimtestaat[[#This Row],[Code]],Locaties[#All],6,FALSE)</f>
        <v>Harderwijk</v>
      </c>
      <c r="F302" s="23"/>
      <c r="G302" s="60" t="s">
        <v>977</v>
      </c>
      <c r="H302" s="23" t="s">
        <v>837</v>
      </c>
      <c r="I302" s="23" t="s">
        <v>797</v>
      </c>
      <c r="J302" s="3" t="s">
        <v>1025</v>
      </c>
      <c r="K302" s="23">
        <v>6</v>
      </c>
      <c r="L302" s="60" t="str">
        <f>VLOOKUP(K302,Ruimtegroepen[],2,FALSE)</f>
        <v>Gangen/hallen</v>
      </c>
      <c r="M302" s="23" t="s">
        <v>112</v>
      </c>
      <c r="N302" s="23" t="s">
        <v>1090</v>
      </c>
      <c r="O302" s="86">
        <v>54.8</v>
      </c>
      <c r="P302" s="86"/>
      <c r="Q302" s="95" t="str">
        <f>LEFT(VLOOKUP(Ruimtestaat[[#This Row],[Ruimte code]],Ruimtegroepen[#All],4,1),2)</f>
        <v xml:space="preserve">V </v>
      </c>
      <c r="R302" s="95"/>
      <c r="S302" s="87">
        <v>40</v>
      </c>
      <c r="T302" s="87" t="s">
        <v>2</v>
      </c>
      <c r="U302" s="88">
        <f>IF(S302&gt;0,IF(RIGHT(Ruimtestaat[[#This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02" s="88">
        <f>IF(U302&gt;0,VLOOKUP($K302,Ruimtegroepen[],3,FALSE)*VLOOKUP($M302,Vloersoorten[],3,FALSE)*VLOOKUP($T302,Frequenties[],3,FALSE)*VLOOKUP($A302,Locaties[],3,FALSE),0)</f>
        <v>0</v>
      </c>
      <c r="W302" s="89">
        <f>Ruimtestaat[[#This Row],[Uitvoeringen werkdagen]]*Ruimtestaat[[#This Row],[Oppervlak (netto)]]</f>
        <v>10960</v>
      </c>
      <c r="X302" s="90">
        <f>IF(V302&gt;0,Ruimtestaat[[#This Row],[Prest. (m2 /jaar) werkdagen]]/Ruimtestaat[[#This Row],[Norm (m2/uur) werkdagen]],0)</f>
        <v>0</v>
      </c>
      <c r="Y302" s="91">
        <f>Ruimtestaat[[#This Row],[uren / jaar werkdagen]]*Tariefsopbouw!$E$35</f>
        <v>0</v>
      </c>
      <c r="Z302" s="88"/>
      <c r="AA302" s="92">
        <f>IF(Ruimtestaat[[#This Row],[Frequentie weekend]]&gt;0,VALUE(LEFT(Z302,1))*S302,0)</f>
        <v>0</v>
      </c>
      <c r="AB302" s="88">
        <f>IF($AA302&gt;0,VLOOKUP($K302,Ruimtegroepen[],3,FALSE)*VLOOKUP($M302,Vloersoorten[],3,FALSE)*VLOOKUP($Z302,Frequenties[],3,FALSE)*VLOOKUP(#REF!,Locaties[],3,FALSE),0)</f>
        <v>0</v>
      </c>
      <c r="AC302" s="90">
        <f>Ruimtestaat[[#This Row],[Uitvoeringen weekend]]*Ruimtestaat[[#This Row],[Oppervlak (netto)]]</f>
        <v>0</v>
      </c>
      <c r="AD302" s="93">
        <f>IF(AC302&gt;0,Ruimtestaat[[#This Row],[Prest. (m2 /jaar) weekend]]/Ruimtestaat[[#This Row],[Norm (m2/uur) weekend]],0)</f>
        <v>0</v>
      </c>
      <c r="AE302" s="94">
        <f>Ruimtestaat[[#This Row],[uren / jaar weekend]]*Tariefsopbouw!$D$40</f>
        <v>0</v>
      </c>
      <c r="AF302" s="66">
        <f>Ruimtestaat[[#This Row],[Prest. (m2 /jaar) weekend]]+Ruimtestaat[[#This Row],[Prest. (m2 /jaar) werkdagen]]</f>
        <v>10960</v>
      </c>
      <c r="AG302" s="66">
        <f>Ruimtestaat[[#This Row],[uren / jaar weekend]]+Ruimtestaat[[#This Row],[uren / jaar werkdagen]]</f>
        <v>0</v>
      </c>
      <c r="AH302" s="67">
        <f>Ruimtestaat[[#This Row],[kosten / jaar weekend]]+Ruimtestaat[[#This Row],[kosten / jaar werkdagen]]</f>
        <v>0</v>
      </c>
    </row>
    <row r="303" spans="1:34" ht="15" customHeight="1">
      <c r="A303" s="112">
        <v>2</v>
      </c>
      <c r="B303" s="23" t="str">
        <f>VLOOKUP(Ruimtestaat[[#This Row],[Code]],Locaties[#All],2,FALSE)</f>
        <v>RSG Slingerbos</v>
      </c>
      <c r="C303" s="23" t="str">
        <f>VLOOKUP(Ruimtestaat[[#This Row],[Code]],Locaties[#All],4,FALSE)</f>
        <v>Eisenhowerlaan 59</v>
      </c>
      <c r="D303" s="23" t="str">
        <f>VLOOKUP(Ruimtestaat[[#This Row],[Code]],Locaties[#All],5,FALSE)</f>
        <v>3844 AS</v>
      </c>
      <c r="E303" s="23" t="str">
        <f>VLOOKUP(Ruimtestaat[[#This Row],[Code]],Locaties[#All],6,FALSE)</f>
        <v>Harderwijk</v>
      </c>
      <c r="F303" s="23"/>
      <c r="G303" s="60" t="s">
        <v>978</v>
      </c>
      <c r="H303" s="23" t="s">
        <v>837</v>
      </c>
      <c r="I303" s="23" t="s">
        <v>798</v>
      </c>
      <c r="J303" s="3" t="s">
        <v>1041</v>
      </c>
      <c r="K303" s="23">
        <v>2</v>
      </c>
      <c r="L303" s="60" t="str">
        <f>VLOOKUP(K303,Ruimtegroepen[],2,FALSE)</f>
        <v>Kantoren</v>
      </c>
      <c r="M303" s="23" t="s">
        <v>1094</v>
      </c>
      <c r="N303" s="23" t="s">
        <v>1095</v>
      </c>
      <c r="O303" s="86">
        <v>12.3</v>
      </c>
      <c r="P303" s="86"/>
      <c r="Q303" s="95" t="str">
        <f>LEFT(VLOOKUP(Ruimtestaat[[#This Row],[Ruimte code]],Ruimtegroepen[#All],4,1),2)</f>
        <v xml:space="preserve">B </v>
      </c>
      <c r="R303" s="95"/>
      <c r="S303" s="87">
        <v>40</v>
      </c>
      <c r="T303" s="87" t="s">
        <v>17</v>
      </c>
      <c r="U303" s="88">
        <f>IF(S303&gt;0,IF(RIGHT(Ruimtestaat[[#This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303" s="88">
        <f>IF(U303&gt;0,VLOOKUP($K303,Ruimtegroepen[],3,FALSE)*VLOOKUP($M303,Vloersoorten[],3,FALSE)*VLOOKUP($T303,Frequenties[],3,FALSE)*VLOOKUP($A303,Locaties[],3,FALSE),0)</f>
        <v>0</v>
      </c>
      <c r="W303" s="89">
        <f>Ruimtestaat[[#This Row],[Uitvoeringen werkdagen]]*Ruimtestaat[[#This Row],[Oppervlak (netto)]]</f>
        <v>984</v>
      </c>
      <c r="X303" s="90">
        <f>IF(V303&gt;0,Ruimtestaat[[#This Row],[Prest. (m2 /jaar) werkdagen]]/Ruimtestaat[[#This Row],[Norm (m2/uur) werkdagen]],0)</f>
        <v>0</v>
      </c>
      <c r="Y303" s="91">
        <f>Ruimtestaat[[#This Row],[uren / jaar werkdagen]]*Tariefsopbouw!$E$35</f>
        <v>0</v>
      </c>
      <c r="Z303" s="88"/>
      <c r="AA303" s="92">
        <f>IF(Ruimtestaat[[#This Row],[Frequentie weekend]]&gt;0,VALUE(LEFT(Z303,1))*S303,0)</f>
        <v>0</v>
      </c>
      <c r="AB303" s="88">
        <f>IF($AA303&gt;0,VLOOKUP($K303,Ruimtegroepen[],3,FALSE)*VLOOKUP($M303,Vloersoorten[],3,FALSE)*VLOOKUP($Z303,Frequenties[],3,FALSE)*VLOOKUP(#REF!,Locaties[],3,FALSE),0)</f>
        <v>0</v>
      </c>
      <c r="AC303" s="90">
        <f>Ruimtestaat[[#This Row],[Uitvoeringen weekend]]*Ruimtestaat[[#This Row],[Oppervlak (netto)]]</f>
        <v>0</v>
      </c>
      <c r="AD303" s="93">
        <f>IF(AC303&gt;0,Ruimtestaat[[#This Row],[Prest. (m2 /jaar) weekend]]/Ruimtestaat[[#This Row],[Norm (m2/uur) weekend]],0)</f>
        <v>0</v>
      </c>
      <c r="AE303" s="94">
        <f>Ruimtestaat[[#This Row],[uren / jaar weekend]]*Tariefsopbouw!$D$40</f>
        <v>0</v>
      </c>
      <c r="AF303" s="66">
        <f>Ruimtestaat[[#This Row],[Prest. (m2 /jaar) weekend]]+Ruimtestaat[[#This Row],[Prest. (m2 /jaar) werkdagen]]</f>
        <v>984</v>
      </c>
      <c r="AG303" s="66">
        <f>Ruimtestaat[[#This Row],[uren / jaar weekend]]+Ruimtestaat[[#This Row],[uren / jaar werkdagen]]</f>
        <v>0</v>
      </c>
      <c r="AH303" s="67">
        <f>Ruimtestaat[[#This Row],[kosten / jaar weekend]]+Ruimtestaat[[#This Row],[kosten / jaar werkdagen]]</f>
        <v>0</v>
      </c>
    </row>
    <row r="304" spans="1:34" ht="15" customHeight="1">
      <c r="A304" s="112">
        <v>2</v>
      </c>
      <c r="B304" s="23" t="str">
        <f>VLOOKUP(Ruimtestaat[[#This Row],[Code]],Locaties[#All],2,FALSE)</f>
        <v>RSG Slingerbos</v>
      </c>
      <c r="C304" s="23" t="str">
        <f>VLOOKUP(Ruimtestaat[[#This Row],[Code]],Locaties[#All],4,FALSE)</f>
        <v>Eisenhowerlaan 59</v>
      </c>
      <c r="D304" s="23" t="str">
        <f>VLOOKUP(Ruimtestaat[[#This Row],[Code]],Locaties[#All],5,FALSE)</f>
        <v>3844 AS</v>
      </c>
      <c r="E304" s="23" t="str">
        <f>VLOOKUP(Ruimtestaat[[#This Row],[Code]],Locaties[#All],6,FALSE)</f>
        <v>Harderwijk</v>
      </c>
      <c r="F304" s="23"/>
      <c r="G304" s="60" t="s">
        <v>979</v>
      </c>
      <c r="H304" s="23" t="s">
        <v>837</v>
      </c>
      <c r="I304" s="23" t="s">
        <v>799</v>
      </c>
      <c r="J304" s="3" t="s">
        <v>1041</v>
      </c>
      <c r="K304" s="23">
        <v>2</v>
      </c>
      <c r="L304" s="60" t="str">
        <f>VLOOKUP(K304,Ruimtegroepen[],2,FALSE)</f>
        <v>Kantoren</v>
      </c>
      <c r="M304" s="23" t="s">
        <v>1094</v>
      </c>
      <c r="N304" s="23" t="s">
        <v>1095</v>
      </c>
      <c r="O304" s="86">
        <v>17.8</v>
      </c>
      <c r="P304" s="86"/>
      <c r="Q304" s="95" t="str">
        <f>LEFT(VLOOKUP(Ruimtestaat[[#This Row],[Ruimte code]],Ruimtegroepen[#All],4,1),2)</f>
        <v xml:space="preserve">B </v>
      </c>
      <c r="R304" s="95"/>
      <c r="S304" s="87">
        <v>40</v>
      </c>
      <c r="T304" s="87" t="s">
        <v>17</v>
      </c>
      <c r="U304" s="88">
        <f>IF(S304&gt;0,IF(RIGHT(Ruimtestaat[[#This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304" s="88">
        <f>IF(U304&gt;0,VLOOKUP($K304,Ruimtegroepen[],3,FALSE)*VLOOKUP($M304,Vloersoorten[],3,FALSE)*VLOOKUP($T304,Frequenties[],3,FALSE)*VLOOKUP($A304,Locaties[],3,FALSE),0)</f>
        <v>0</v>
      </c>
      <c r="W304" s="89">
        <f>Ruimtestaat[[#This Row],[Uitvoeringen werkdagen]]*Ruimtestaat[[#This Row],[Oppervlak (netto)]]</f>
        <v>1424</v>
      </c>
      <c r="X304" s="90">
        <f>IF(V304&gt;0,Ruimtestaat[[#This Row],[Prest. (m2 /jaar) werkdagen]]/Ruimtestaat[[#This Row],[Norm (m2/uur) werkdagen]],0)</f>
        <v>0</v>
      </c>
      <c r="Y304" s="91">
        <f>Ruimtestaat[[#This Row],[uren / jaar werkdagen]]*Tariefsopbouw!$E$35</f>
        <v>0</v>
      </c>
      <c r="Z304" s="88"/>
      <c r="AA304" s="92">
        <f>IF(Ruimtestaat[[#This Row],[Frequentie weekend]]&gt;0,VALUE(LEFT(Z304,1))*S304,0)</f>
        <v>0</v>
      </c>
      <c r="AB304" s="88">
        <f>IF($AA304&gt;0,VLOOKUP($K304,Ruimtegroepen[],3,FALSE)*VLOOKUP($M304,Vloersoorten[],3,FALSE)*VLOOKUP($Z304,Frequenties[],3,FALSE)*VLOOKUP(#REF!,Locaties[],3,FALSE),0)</f>
        <v>0</v>
      </c>
      <c r="AC304" s="90">
        <f>Ruimtestaat[[#This Row],[Uitvoeringen weekend]]*Ruimtestaat[[#This Row],[Oppervlak (netto)]]</f>
        <v>0</v>
      </c>
      <c r="AD304" s="93">
        <f>IF(AC304&gt;0,Ruimtestaat[[#This Row],[Prest. (m2 /jaar) weekend]]/Ruimtestaat[[#This Row],[Norm (m2/uur) weekend]],0)</f>
        <v>0</v>
      </c>
      <c r="AE304" s="94">
        <f>Ruimtestaat[[#This Row],[uren / jaar weekend]]*Tariefsopbouw!$D$40</f>
        <v>0</v>
      </c>
      <c r="AF304" s="66">
        <f>Ruimtestaat[[#This Row],[Prest. (m2 /jaar) weekend]]+Ruimtestaat[[#This Row],[Prest. (m2 /jaar) werkdagen]]</f>
        <v>1424</v>
      </c>
      <c r="AG304" s="66">
        <f>Ruimtestaat[[#This Row],[uren / jaar weekend]]+Ruimtestaat[[#This Row],[uren / jaar werkdagen]]</f>
        <v>0</v>
      </c>
      <c r="AH304" s="67">
        <f>Ruimtestaat[[#This Row],[kosten / jaar weekend]]+Ruimtestaat[[#This Row],[kosten / jaar werkdagen]]</f>
        <v>0</v>
      </c>
    </row>
    <row r="305" spans="1:34" ht="15" customHeight="1">
      <c r="A305" s="112">
        <v>2</v>
      </c>
      <c r="B305" s="23" t="str">
        <f>VLOOKUP(Ruimtestaat[[#This Row],[Code]],Locaties[#All],2,FALSE)</f>
        <v>RSG Slingerbos</v>
      </c>
      <c r="C305" s="23" t="str">
        <f>VLOOKUP(Ruimtestaat[[#This Row],[Code]],Locaties[#All],4,FALSE)</f>
        <v>Eisenhowerlaan 59</v>
      </c>
      <c r="D305" s="23" t="str">
        <f>VLOOKUP(Ruimtestaat[[#This Row],[Code]],Locaties[#All],5,FALSE)</f>
        <v>3844 AS</v>
      </c>
      <c r="E305" s="23" t="str">
        <f>VLOOKUP(Ruimtestaat[[#This Row],[Code]],Locaties[#All],6,FALSE)</f>
        <v>Harderwijk</v>
      </c>
      <c r="F305" s="23"/>
      <c r="G305" s="60" t="s">
        <v>980</v>
      </c>
      <c r="H305" s="23" t="s">
        <v>837</v>
      </c>
      <c r="I305" s="23" t="s">
        <v>800</v>
      </c>
      <c r="J305" s="3" t="s">
        <v>1041</v>
      </c>
      <c r="K305" s="23">
        <v>2</v>
      </c>
      <c r="L305" s="60" t="str">
        <f>VLOOKUP(K305,Ruimtegroepen[],2,FALSE)</f>
        <v>Kantoren</v>
      </c>
      <c r="M305" s="23" t="s">
        <v>1094</v>
      </c>
      <c r="N305" s="23" t="s">
        <v>1095</v>
      </c>
      <c r="O305" s="86">
        <v>17.3</v>
      </c>
      <c r="P305" s="86"/>
      <c r="Q305" s="95" t="str">
        <f>LEFT(VLOOKUP(Ruimtestaat[[#This Row],[Ruimte code]],Ruimtegroepen[#All],4,1),2)</f>
        <v xml:space="preserve">B </v>
      </c>
      <c r="R305" s="95"/>
      <c r="S305" s="87">
        <v>40</v>
      </c>
      <c r="T305" s="87" t="s">
        <v>17</v>
      </c>
      <c r="U305" s="88">
        <f>IF(S305&gt;0,IF(RIGHT(Ruimtestaat[[#This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305" s="88">
        <f>IF(U305&gt;0,VLOOKUP($K305,Ruimtegroepen[],3,FALSE)*VLOOKUP($M305,Vloersoorten[],3,FALSE)*VLOOKUP($T305,Frequenties[],3,FALSE)*VLOOKUP($A305,Locaties[],3,FALSE),0)</f>
        <v>0</v>
      </c>
      <c r="W305" s="89">
        <f>Ruimtestaat[[#This Row],[Uitvoeringen werkdagen]]*Ruimtestaat[[#This Row],[Oppervlak (netto)]]</f>
        <v>1384</v>
      </c>
      <c r="X305" s="90">
        <f>IF(V305&gt;0,Ruimtestaat[[#This Row],[Prest. (m2 /jaar) werkdagen]]/Ruimtestaat[[#This Row],[Norm (m2/uur) werkdagen]],0)</f>
        <v>0</v>
      </c>
      <c r="Y305" s="91">
        <f>Ruimtestaat[[#This Row],[uren / jaar werkdagen]]*Tariefsopbouw!$E$35</f>
        <v>0</v>
      </c>
      <c r="Z305" s="88"/>
      <c r="AA305" s="92">
        <f>IF(Ruimtestaat[[#This Row],[Frequentie weekend]]&gt;0,VALUE(LEFT(Z305,1))*S305,0)</f>
        <v>0</v>
      </c>
      <c r="AB305" s="88">
        <f>IF($AA305&gt;0,VLOOKUP($K305,Ruimtegroepen[],3,FALSE)*VLOOKUP($M305,Vloersoorten[],3,FALSE)*VLOOKUP($Z305,Frequenties[],3,FALSE)*VLOOKUP(#REF!,Locaties[],3,FALSE),0)</f>
        <v>0</v>
      </c>
      <c r="AC305" s="90">
        <f>Ruimtestaat[[#This Row],[Uitvoeringen weekend]]*Ruimtestaat[[#This Row],[Oppervlak (netto)]]</f>
        <v>0</v>
      </c>
      <c r="AD305" s="93">
        <f>IF(AC305&gt;0,Ruimtestaat[[#This Row],[Prest. (m2 /jaar) weekend]]/Ruimtestaat[[#This Row],[Norm (m2/uur) weekend]],0)</f>
        <v>0</v>
      </c>
      <c r="AE305" s="94">
        <f>Ruimtestaat[[#This Row],[uren / jaar weekend]]*Tariefsopbouw!$D$40</f>
        <v>0</v>
      </c>
      <c r="AF305" s="66">
        <f>Ruimtestaat[[#This Row],[Prest. (m2 /jaar) weekend]]+Ruimtestaat[[#This Row],[Prest. (m2 /jaar) werkdagen]]</f>
        <v>1384</v>
      </c>
      <c r="AG305" s="66">
        <f>Ruimtestaat[[#This Row],[uren / jaar weekend]]+Ruimtestaat[[#This Row],[uren / jaar werkdagen]]</f>
        <v>0</v>
      </c>
      <c r="AH305" s="67">
        <f>Ruimtestaat[[#This Row],[kosten / jaar weekend]]+Ruimtestaat[[#This Row],[kosten / jaar werkdagen]]</f>
        <v>0</v>
      </c>
    </row>
    <row r="306" spans="1:34" ht="15" customHeight="1">
      <c r="A306" s="112">
        <v>2</v>
      </c>
      <c r="B306" s="23" t="str">
        <f>VLOOKUP(Ruimtestaat[[#This Row],[Code]],Locaties[#All],2,FALSE)</f>
        <v>RSG Slingerbos</v>
      </c>
      <c r="C306" s="23" t="str">
        <f>VLOOKUP(Ruimtestaat[[#This Row],[Code]],Locaties[#All],4,FALSE)</f>
        <v>Eisenhowerlaan 59</v>
      </c>
      <c r="D306" s="23" t="str">
        <f>VLOOKUP(Ruimtestaat[[#This Row],[Code]],Locaties[#All],5,FALSE)</f>
        <v>3844 AS</v>
      </c>
      <c r="E306" s="23" t="str">
        <f>VLOOKUP(Ruimtestaat[[#This Row],[Code]],Locaties[#All],6,FALSE)</f>
        <v>Harderwijk</v>
      </c>
      <c r="F306" s="23"/>
      <c r="G306" s="60" t="s">
        <v>981</v>
      </c>
      <c r="H306" s="23" t="s">
        <v>837</v>
      </c>
      <c r="I306" s="23" t="s">
        <v>801</v>
      </c>
      <c r="J306" s="3" t="s">
        <v>1025</v>
      </c>
      <c r="K306" s="23">
        <v>6</v>
      </c>
      <c r="L306" s="60" t="str">
        <f>VLOOKUP(K306,Ruimtegroepen[],2,FALSE)</f>
        <v>Gangen/hallen</v>
      </c>
      <c r="M306" s="23" t="s">
        <v>112</v>
      </c>
      <c r="N306" s="23" t="s">
        <v>1090</v>
      </c>
      <c r="O306" s="86">
        <v>74.8</v>
      </c>
      <c r="P306" s="86"/>
      <c r="Q306" s="95" t="str">
        <f>LEFT(VLOOKUP(Ruimtestaat[[#This Row],[Ruimte code]],Ruimtegroepen[#All],4,1),2)</f>
        <v xml:space="preserve">V </v>
      </c>
      <c r="R306" s="95"/>
      <c r="S306" s="87">
        <v>40</v>
      </c>
      <c r="T306" s="87" t="s">
        <v>2</v>
      </c>
      <c r="U306" s="88">
        <f>IF(S306&gt;0,IF(RIGHT(Ruimtestaat[[#This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06" s="88">
        <f>IF(U306&gt;0,VLOOKUP($K306,Ruimtegroepen[],3,FALSE)*VLOOKUP($M306,Vloersoorten[],3,FALSE)*VLOOKUP($T306,Frequenties[],3,FALSE)*VLOOKUP($A306,Locaties[],3,FALSE),0)</f>
        <v>0</v>
      </c>
      <c r="W306" s="89">
        <f>Ruimtestaat[[#This Row],[Uitvoeringen werkdagen]]*Ruimtestaat[[#This Row],[Oppervlak (netto)]]</f>
        <v>14960</v>
      </c>
      <c r="X306" s="90">
        <f>IF(V306&gt;0,Ruimtestaat[[#This Row],[Prest. (m2 /jaar) werkdagen]]/Ruimtestaat[[#This Row],[Norm (m2/uur) werkdagen]],0)</f>
        <v>0</v>
      </c>
      <c r="Y306" s="91">
        <f>Ruimtestaat[[#This Row],[uren / jaar werkdagen]]*Tariefsopbouw!$E$35</f>
        <v>0</v>
      </c>
      <c r="Z306" s="88"/>
      <c r="AA306" s="92">
        <f>IF(Ruimtestaat[[#This Row],[Frequentie weekend]]&gt;0,VALUE(LEFT(Z306,1))*S306,0)</f>
        <v>0</v>
      </c>
      <c r="AB306" s="88">
        <f>IF($AA306&gt;0,VLOOKUP($K306,Ruimtegroepen[],3,FALSE)*VLOOKUP($M306,Vloersoorten[],3,FALSE)*VLOOKUP($Z306,Frequenties[],3,FALSE)*VLOOKUP(#REF!,Locaties[],3,FALSE),0)</f>
        <v>0</v>
      </c>
      <c r="AC306" s="90">
        <f>Ruimtestaat[[#This Row],[Uitvoeringen weekend]]*Ruimtestaat[[#This Row],[Oppervlak (netto)]]</f>
        <v>0</v>
      </c>
      <c r="AD306" s="93">
        <f>IF(AC306&gt;0,Ruimtestaat[[#This Row],[Prest. (m2 /jaar) weekend]]/Ruimtestaat[[#This Row],[Norm (m2/uur) weekend]],0)</f>
        <v>0</v>
      </c>
      <c r="AE306" s="94">
        <f>Ruimtestaat[[#This Row],[uren / jaar weekend]]*Tariefsopbouw!$D$40</f>
        <v>0</v>
      </c>
      <c r="AF306" s="66">
        <f>Ruimtestaat[[#This Row],[Prest. (m2 /jaar) weekend]]+Ruimtestaat[[#This Row],[Prest. (m2 /jaar) werkdagen]]</f>
        <v>14960</v>
      </c>
      <c r="AG306" s="66">
        <f>Ruimtestaat[[#This Row],[uren / jaar weekend]]+Ruimtestaat[[#This Row],[uren / jaar werkdagen]]</f>
        <v>0</v>
      </c>
      <c r="AH306" s="67">
        <f>Ruimtestaat[[#This Row],[kosten / jaar weekend]]+Ruimtestaat[[#This Row],[kosten / jaar werkdagen]]</f>
        <v>0</v>
      </c>
    </row>
    <row r="307" spans="1:34" ht="15" customHeight="1">
      <c r="A307" s="112">
        <v>2</v>
      </c>
      <c r="B307" s="23" t="str">
        <f>VLOOKUP(Ruimtestaat[[#This Row],[Code]],Locaties[#All],2,FALSE)</f>
        <v>RSG Slingerbos</v>
      </c>
      <c r="C307" s="23" t="str">
        <f>VLOOKUP(Ruimtestaat[[#This Row],[Code]],Locaties[#All],4,FALSE)</f>
        <v>Eisenhowerlaan 59</v>
      </c>
      <c r="D307" s="23" t="str">
        <f>VLOOKUP(Ruimtestaat[[#This Row],[Code]],Locaties[#All],5,FALSE)</f>
        <v>3844 AS</v>
      </c>
      <c r="E307" s="23" t="str">
        <f>VLOOKUP(Ruimtestaat[[#This Row],[Code]],Locaties[#All],6,FALSE)</f>
        <v>Harderwijk</v>
      </c>
      <c r="F307" s="23"/>
      <c r="G307" s="60" t="s">
        <v>982</v>
      </c>
      <c r="H307" s="23" t="s">
        <v>837</v>
      </c>
      <c r="I307" s="23" t="s">
        <v>802</v>
      </c>
      <c r="J307" s="3" t="s">
        <v>1025</v>
      </c>
      <c r="K307" s="23">
        <v>6</v>
      </c>
      <c r="L307" s="60" t="str">
        <f>VLOOKUP(K307,Ruimtegroepen[],2,FALSE)</f>
        <v>Gangen/hallen</v>
      </c>
      <c r="M307" s="23" t="s">
        <v>112</v>
      </c>
      <c r="N307" s="23" t="s">
        <v>1090</v>
      </c>
      <c r="O307" s="86">
        <v>42.5</v>
      </c>
      <c r="P307" s="86"/>
      <c r="Q307" s="95" t="str">
        <f>LEFT(VLOOKUP(Ruimtestaat[[#This Row],[Ruimte code]],Ruimtegroepen[#All],4,1),2)</f>
        <v xml:space="preserve">V </v>
      </c>
      <c r="R307" s="95"/>
      <c r="S307" s="87">
        <v>40</v>
      </c>
      <c r="T307" s="87" t="s">
        <v>2</v>
      </c>
      <c r="U307" s="88">
        <f>IF(S307&gt;0,IF(RIGHT(Ruimtestaat[[#This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07" s="88">
        <f>IF(U307&gt;0,VLOOKUP($K307,Ruimtegroepen[],3,FALSE)*VLOOKUP($M307,Vloersoorten[],3,FALSE)*VLOOKUP($T307,Frequenties[],3,FALSE)*VLOOKUP($A307,Locaties[],3,FALSE),0)</f>
        <v>0</v>
      </c>
      <c r="W307" s="89">
        <f>Ruimtestaat[[#This Row],[Uitvoeringen werkdagen]]*Ruimtestaat[[#This Row],[Oppervlak (netto)]]</f>
        <v>8500</v>
      </c>
      <c r="X307" s="90">
        <f>IF(V307&gt;0,Ruimtestaat[[#This Row],[Prest. (m2 /jaar) werkdagen]]/Ruimtestaat[[#This Row],[Norm (m2/uur) werkdagen]],0)</f>
        <v>0</v>
      </c>
      <c r="Y307" s="91">
        <f>Ruimtestaat[[#This Row],[uren / jaar werkdagen]]*Tariefsopbouw!$E$35</f>
        <v>0</v>
      </c>
      <c r="Z307" s="88"/>
      <c r="AA307" s="92">
        <f>IF(Ruimtestaat[[#This Row],[Frequentie weekend]]&gt;0,VALUE(LEFT(Z307,1))*S307,0)</f>
        <v>0</v>
      </c>
      <c r="AB307" s="88">
        <f>IF($AA307&gt;0,VLOOKUP($K307,Ruimtegroepen[],3,FALSE)*VLOOKUP($M307,Vloersoorten[],3,FALSE)*VLOOKUP($Z307,Frequenties[],3,FALSE)*VLOOKUP(#REF!,Locaties[],3,FALSE),0)</f>
        <v>0</v>
      </c>
      <c r="AC307" s="90">
        <f>Ruimtestaat[[#This Row],[Uitvoeringen weekend]]*Ruimtestaat[[#This Row],[Oppervlak (netto)]]</f>
        <v>0</v>
      </c>
      <c r="AD307" s="93">
        <f>IF(AC307&gt;0,Ruimtestaat[[#This Row],[Prest. (m2 /jaar) weekend]]/Ruimtestaat[[#This Row],[Norm (m2/uur) weekend]],0)</f>
        <v>0</v>
      </c>
      <c r="AE307" s="94">
        <f>Ruimtestaat[[#This Row],[uren / jaar weekend]]*Tariefsopbouw!$D$40</f>
        <v>0</v>
      </c>
      <c r="AF307" s="66">
        <f>Ruimtestaat[[#This Row],[Prest. (m2 /jaar) weekend]]+Ruimtestaat[[#This Row],[Prest. (m2 /jaar) werkdagen]]</f>
        <v>8500</v>
      </c>
      <c r="AG307" s="66">
        <f>Ruimtestaat[[#This Row],[uren / jaar weekend]]+Ruimtestaat[[#This Row],[uren / jaar werkdagen]]</f>
        <v>0</v>
      </c>
      <c r="AH307" s="67">
        <f>Ruimtestaat[[#This Row],[kosten / jaar weekend]]+Ruimtestaat[[#This Row],[kosten / jaar werkdagen]]</f>
        <v>0</v>
      </c>
    </row>
    <row r="308" spans="1:34" ht="15" customHeight="1">
      <c r="A308" s="112">
        <v>2</v>
      </c>
      <c r="B308" s="23" t="str">
        <f>VLOOKUP(Ruimtestaat[[#This Row],[Code]],Locaties[#All],2,FALSE)</f>
        <v>RSG Slingerbos</v>
      </c>
      <c r="C308" s="23" t="str">
        <f>VLOOKUP(Ruimtestaat[[#This Row],[Code]],Locaties[#All],4,FALSE)</f>
        <v>Eisenhowerlaan 59</v>
      </c>
      <c r="D308" s="23" t="str">
        <f>VLOOKUP(Ruimtestaat[[#This Row],[Code]],Locaties[#All],5,FALSE)</f>
        <v>3844 AS</v>
      </c>
      <c r="E308" s="23" t="str">
        <f>VLOOKUP(Ruimtestaat[[#This Row],[Code]],Locaties[#All],6,FALSE)</f>
        <v>Harderwijk</v>
      </c>
      <c r="F308" s="23"/>
      <c r="G308" s="60" t="s">
        <v>983</v>
      </c>
      <c r="H308" s="23" t="s">
        <v>837</v>
      </c>
      <c r="I308" s="23" t="s">
        <v>803</v>
      </c>
      <c r="J308" s="3" t="s">
        <v>1029</v>
      </c>
      <c r="K308" s="23">
        <v>5</v>
      </c>
      <c r="L308" s="60" t="str">
        <f>VLOOKUP(K308,Ruimtegroepen[],2,FALSE)</f>
        <v>Sanitair</v>
      </c>
      <c r="M308" s="23" t="s">
        <v>113</v>
      </c>
      <c r="N308" s="23" t="s">
        <v>1091</v>
      </c>
      <c r="O308" s="86">
        <v>5.7</v>
      </c>
      <c r="P308" s="86"/>
      <c r="Q308" s="95" t="str">
        <f>LEFT(VLOOKUP(Ruimtestaat[[#This Row],[Ruimte code]],Ruimtegroepen[#All],4,1),2)</f>
        <v xml:space="preserve">S </v>
      </c>
      <c r="R308" s="95"/>
      <c r="S308" s="87">
        <v>40</v>
      </c>
      <c r="T308" s="87" t="s">
        <v>2</v>
      </c>
      <c r="U308" s="88">
        <f>IF(S308&gt;0,IF(RIGHT(Ruimtestaat[[#This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08" s="88">
        <f>IF(U308&gt;0,VLOOKUP($K308,Ruimtegroepen[],3,FALSE)*VLOOKUP($M308,Vloersoorten[],3,FALSE)*VLOOKUP($T308,Frequenties[],3,FALSE)*VLOOKUP($A308,Locaties[],3,FALSE),0)</f>
        <v>0</v>
      </c>
      <c r="W308" s="89">
        <f>Ruimtestaat[[#This Row],[Uitvoeringen werkdagen]]*Ruimtestaat[[#This Row],[Oppervlak (netto)]]</f>
        <v>1140</v>
      </c>
      <c r="X308" s="90">
        <f>IF(V308&gt;0,Ruimtestaat[[#This Row],[Prest. (m2 /jaar) werkdagen]]/Ruimtestaat[[#This Row],[Norm (m2/uur) werkdagen]],0)</f>
        <v>0</v>
      </c>
      <c r="Y308" s="91">
        <f>Ruimtestaat[[#This Row],[uren / jaar werkdagen]]*Tariefsopbouw!$E$35</f>
        <v>0</v>
      </c>
      <c r="Z308" s="88"/>
      <c r="AA308" s="92">
        <f>IF(Ruimtestaat[[#This Row],[Frequentie weekend]]&gt;0,VALUE(LEFT(Z308,1))*S308,0)</f>
        <v>0</v>
      </c>
      <c r="AB308" s="88">
        <f>IF($AA308&gt;0,VLOOKUP($K308,Ruimtegroepen[],3,FALSE)*VLOOKUP($M308,Vloersoorten[],3,FALSE)*VLOOKUP($Z308,Frequenties[],3,FALSE)*VLOOKUP(#REF!,Locaties[],3,FALSE),0)</f>
        <v>0</v>
      </c>
      <c r="AC308" s="90">
        <f>Ruimtestaat[[#This Row],[Uitvoeringen weekend]]*Ruimtestaat[[#This Row],[Oppervlak (netto)]]</f>
        <v>0</v>
      </c>
      <c r="AD308" s="93">
        <f>IF(AC308&gt;0,Ruimtestaat[[#This Row],[Prest. (m2 /jaar) weekend]]/Ruimtestaat[[#This Row],[Norm (m2/uur) weekend]],0)</f>
        <v>0</v>
      </c>
      <c r="AE308" s="94">
        <f>Ruimtestaat[[#This Row],[uren / jaar weekend]]*Tariefsopbouw!$D$40</f>
        <v>0</v>
      </c>
      <c r="AF308" s="66">
        <f>Ruimtestaat[[#This Row],[Prest. (m2 /jaar) weekend]]+Ruimtestaat[[#This Row],[Prest. (m2 /jaar) werkdagen]]</f>
        <v>1140</v>
      </c>
      <c r="AG308" s="66">
        <f>Ruimtestaat[[#This Row],[uren / jaar weekend]]+Ruimtestaat[[#This Row],[uren / jaar werkdagen]]</f>
        <v>0</v>
      </c>
      <c r="AH308" s="67">
        <f>Ruimtestaat[[#This Row],[kosten / jaar weekend]]+Ruimtestaat[[#This Row],[kosten / jaar werkdagen]]</f>
        <v>0</v>
      </c>
    </row>
    <row r="309" spans="1:34" ht="15" customHeight="1">
      <c r="A309" s="112">
        <v>2</v>
      </c>
      <c r="B309" s="23" t="str">
        <f>VLOOKUP(Ruimtestaat[[#This Row],[Code]],Locaties[#All],2,FALSE)</f>
        <v>RSG Slingerbos</v>
      </c>
      <c r="C309" s="23" t="str">
        <f>VLOOKUP(Ruimtestaat[[#This Row],[Code]],Locaties[#All],4,FALSE)</f>
        <v>Eisenhowerlaan 59</v>
      </c>
      <c r="D309" s="23" t="str">
        <f>VLOOKUP(Ruimtestaat[[#This Row],[Code]],Locaties[#All],5,FALSE)</f>
        <v>3844 AS</v>
      </c>
      <c r="E309" s="23" t="str">
        <f>VLOOKUP(Ruimtestaat[[#This Row],[Code]],Locaties[#All],6,FALSE)</f>
        <v>Harderwijk</v>
      </c>
      <c r="F309" s="23"/>
      <c r="G309" s="60" t="s">
        <v>984</v>
      </c>
      <c r="H309" s="23" t="s">
        <v>837</v>
      </c>
      <c r="I309" s="23" t="s">
        <v>804</v>
      </c>
      <c r="J309" s="3" t="s">
        <v>1028</v>
      </c>
      <c r="K309" s="23">
        <v>5</v>
      </c>
      <c r="L309" s="60" t="str">
        <f>VLOOKUP(K309,Ruimtegroepen[],2,FALSE)</f>
        <v>Sanitair</v>
      </c>
      <c r="M309" s="23" t="s">
        <v>113</v>
      </c>
      <c r="N309" s="23" t="s">
        <v>1091</v>
      </c>
      <c r="O309" s="86">
        <v>5.7</v>
      </c>
      <c r="P309" s="86"/>
      <c r="Q309" s="95" t="str">
        <f>LEFT(VLOOKUP(Ruimtestaat[[#This Row],[Ruimte code]],Ruimtegroepen[#All],4,1),2)</f>
        <v xml:space="preserve">S </v>
      </c>
      <c r="R309" s="95"/>
      <c r="S309" s="87">
        <v>40</v>
      </c>
      <c r="T309" s="87" t="s">
        <v>2</v>
      </c>
      <c r="U309" s="88">
        <f>IF(S309&gt;0,IF(RIGHT(Ruimtestaat[[#This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09" s="88">
        <f>IF(U309&gt;0,VLOOKUP($K309,Ruimtegroepen[],3,FALSE)*VLOOKUP($M309,Vloersoorten[],3,FALSE)*VLOOKUP($T309,Frequenties[],3,FALSE)*VLOOKUP($A309,Locaties[],3,FALSE),0)</f>
        <v>0</v>
      </c>
      <c r="W309" s="89">
        <f>Ruimtestaat[[#This Row],[Uitvoeringen werkdagen]]*Ruimtestaat[[#This Row],[Oppervlak (netto)]]</f>
        <v>1140</v>
      </c>
      <c r="X309" s="90">
        <f>IF(V309&gt;0,Ruimtestaat[[#This Row],[Prest. (m2 /jaar) werkdagen]]/Ruimtestaat[[#This Row],[Norm (m2/uur) werkdagen]],0)</f>
        <v>0</v>
      </c>
      <c r="Y309" s="91">
        <f>Ruimtestaat[[#This Row],[uren / jaar werkdagen]]*Tariefsopbouw!$E$35</f>
        <v>0</v>
      </c>
      <c r="Z309" s="88"/>
      <c r="AA309" s="92">
        <f>IF(Ruimtestaat[[#This Row],[Frequentie weekend]]&gt;0,VALUE(LEFT(Z309,1))*S309,0)</f>
        <v>0</v>
      </c>
      <c r="AB309" s="88">
        <f>IF($AA309&gt;0,VLOOKUP($K309,Ruimtegroepen[],3,FALSE)*VLOOKUP($M309,Vloersoorten[],3,FALSE)*VLOOKUP($Z309,Frequenties[],3,FALSE)*VLOOKUP(#REF!,Locaties[],3,FALSE),0)</f>
        <v>0</v>
      </c>
      <c r="AC309" s="90">
        <f>Ruimtestaat[[#This Row],[Uitvoeringen weekend]]*Ruimtestaat[[#This Row],[Oppervlak (netto)]]</f>
        <v>0</v>
      </c>
      <c r="AD309" s="93">
        <f>IF(AC309&gt;0,Ruimtestaat[[#This Row],[Prest. (m2 /jaar) weekend]]/Ruimtestaat[[#This Row],[Norm (m2/uur) weekend]],0)</f>
        <v>0</v>
      </c>
      <c r="AE309" s="94">
        <f>Ruimtestaat[[#This Row],[uren / jaar weekend]]*Tariefsopbouw!$D$40</f>
        <v>0</v>
      </c>
      <c r="AF309" s="66">
        <f>Ruimtestaat[[#This Row],[Prest. (m2 /jaar) weekend]]+Ruimtestaat[[#This Row],[Prest. (m2 /jaar) werkdagen]]</f>
        <v>1140</v>
      </c>
      <c r="AG309" s="66">
        <f>Ruimtestaat[[#This Row],[uren / jaar weekend]]+Ruimtestaat[[#This Row],[uren / jaar werkdagen]]</f>
        <v>0</v>
      </c>
      <c r="AH309" s="67">
        <f>Ruimtestaat[[#This Row],[kosten / jaar weekend]]+Ruimtestaat[[#This Row],[kosten / jaar werkdagen]]</f>
        <v>0</v>
      </c>
    </row>
    <row r="310" spans="1:34" ht="15" customHeight="1">
      <c r="A310" s="112">
        <v>2</v>
      </c>
      <c r="B310" s="23" t="str">
        <f>VLOOKUP(Ruimtestaat[[#This Row],[Code]],Locaties[#All],2,FALSE)</f>
        <v>RSG Slingerbos</v>
      </c>
      <c r="C310" s="23" t="str">
        <f>VLOOKUP(Ruimtestaat[[#This Row],[Code]],Locaties[#All],4,FALSE)</f>
        <v>Eisenhowerlaan 59</v>
      </c>
      <c r="D310" s="23" t="str">
        <f>VLOOKUP(Ruimtestaat[[#This Row],[Code]],Locaties[#All],5,FALSE)</f>
        <v>3844 AS</v>
      </c>
      <c r="E310" s="23" t="str">
        <f>VLOOKUP(Ruimtestaat[[#This Row],[Code]],Locaties[#All],6,FALSE)</f>
        <v>Harderwijk</v>
      </c>
      <c r="F310" s="23"/>
      <c r="G310" s="60" t="s">
        <v>985</v>
      </c>
      <c r="H310" s="23"/>
      <c r="I310" s="23" t="s">
        <v>805</v>
      </c>
      <c r="J310" s="3" t="s">
        <v>1072</v>
      </c>
      <c r="K310" s="23">
        <v>6</v>
      </c>
      <c r="L310" s="60" t="str">
        <f>VLOOKUP(K310,Ruimtegroepen[],2,FALSE)</f>
        <v>Gangen/hallen</v>
      </c>
      <c r="M310" s="23" t="s">
        <v>112</v>
      </c>
      <c r="N310" s="23" t="s">
        <v>1090</v>
      </c>
      <c r="O310" s="86">
        <v>77.8</v>
      </c>
      <c r="P310" s="86"/>
      <c r="Q310" s="95" t="str">
        <f>LEFT(VLOOKUP(Ruimtestaat[[#This Row],[Ruimte code]],Ruimtegroepen[#All],4,1),2)</f>
        <v xml:space="preserve">V </v>
      </c>
      <c r="R310" s="95"/>
      <c r="S310" s="87">
        <v>40</v>
      </c>
      <c r="T310" s="87" t="s">
        <v>2</v>
      </c>
      <c r="U310" s="88">
        <f>IF(S310&gt;0,IF(RIGHT(Ruimtestaat[[#This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10" s="88">
        <f>IF(U310&gt;0,VLOOKUP($K310,Ruimtegroepen[],3,FALSE)*VLOOKUP($M310,Vloersoorten[],3,FALSE)*VLOOKUP($T310,Frequenties[],3,FALSE)*VLOOKUP($A310,Locaties[],3,FALSE),0)</f>
        <v>0</v>
      </c>
      <c r="W310" s="89">
        <f>Ruimtestaat[[#This Row],[Uitvoeringen werkdagen]]*Ruimtestaat[[#This Row],[Oppervlak (netto)]]</f>
        <v>15560</v>
      </c>
      <c r="X310" s="90">
        <f>IF(V310&gt;0,Ruimtestaat[[#This Row],[Prest. (m2 /jaar) werkdagen]]/Ruimtestaat[[#This Row],[Norm (m2/uur) werkdagen]],0)</f>
        <v>0</v>
      </c>
      <c r="Y310" s="91">
        <f>Ruimtestaat[[#This Row],[uren / jaar werkdagen]]*Tariefsopbouw!$E$35</f>
        <v>0</v>
      </c>
      <c r="Z310" s="88"/>
      <c r="AA310" s="92">
        <f>IF(Ruimtestaat[[#This Row],[Frequentie weekend]]&gt;0,VALUE(LEFT(Z310,1))*S310,0)</f>
        <v>0</v>
      </c>
      <c r="AB310" s="88">
        <f>IF($AA310&gt;0,VLOOKUP($K310,Ruimtegroepen[],3,FALSE)*VLOOKUP($M310,Vloersoorten[],3,FALSE)*VLOOKUP($Z310,Frequenties[],3,FALSE)*VLOOKUP(#REF!,Locaties[],3,FALSE),0)</f>
        <v>0</v>
      </c>
      <c r="AC310" s="90">
        <f>Ruimtestaat[[#This Row],[Uitvoeringen weekend]]*Ruimtestaat[[#This Row],[Oppervlak (netto)]]</f>
        <v>0</v>
      </c>
      <c r="AD310" s="93">
        <f>IF(AC310&gt;0,Ruimtestaat[[#This Row],[Prest. (m2 /jaar) weekend]]/Ruimtestaat[[#This Row],[Norm (m2/uur) weekend]],0)</f>
        <v>0</v>
      </c>
      <c r="AE310" s="94">
        <f>Ruimtestaat[[#This Row],[uren / jaar weekend]]*Tariefsopbouw!$D$40</f>
        <v>0</v>
      </c>
      <c r="AF310" s="66">
        <f>Ruimtestaat[[#This Row],[Prest. (m2 /jaar) weekend]]+Ruimtestaat[[#This Row],[Prest. (m2 /jaar) werkdagen]]</f>
        <v>15560</v>
      </c>
      <c r="AG310" s="66">
        <f>Ruimtestaat[[#This Row],[uren / jaar weekend]]+Ruimtestaat[[#This Row],[uren / jaar werkdagen]]</f>
        <v>0</v>
      </c>
      <c r="AH310" s="67">
        <f>Ruimtestaat[[#This Row],[kosten / jaar weekend]]+Ruimtestaat[[#This Row],[kosten / jaar werkdagen]]</f>
        <v>0</v>
      </c>
    </row>
    <row r="311" spans="1:34" ht="15" customHeight="1">
      <c r="A311" s="112">
        <v>2</v>
      </c>
      <c r="B311" s="23" t="str">
        <f>VLOOKUP(Ruimtestaat[[#This Row],[Code]],Locaties[#All],2,FALSE)</f>
        <v>RSG Slingerbos</v>
      </c>
      <c r="C311" s="23" t="str">
        <f>VLOOKUP(Ruimtestaat[[#This Row],[Code]],Locaties[#All],4,FALSE)</f>
        <v>Eisenhowerlaan 59</v>
      </c>
      <c r="D311" s="23" t="str">
        <f>VLOOKUP(Ruimtestaat[[#This Row],[Code]],Locaties[#All],5,FALSE)</f>
        <v>3844 AS</v>
      </c>
      <c r="E311" s="23" t="str">
        <f>VLOOKUP(Ruimtestaat[[#This Row],[Code]],Locaties[#All],6,FALSE)</f>
        <v>Harderwijk</v>
      </c>
      <c r="F311" s="23"/>
      <c r="G311" s="60" t="s">
        <v>986</v>
      </c>
      <c r="H311" s="23" t="s">
        <v>837</v>
      </c>
      <c r="I311" s="23">
        <v>100</v>
      </c>
      <c r="J311" s="3" t="s">
        <v>1073</v>
      </c>
      <c r="K311" s="23">
        <v>8</v>
      </c>
      <c r="L311" s="60" t="str">
        <f>VLOOKUP(K311,Ruimtegroepen[],2,FALSE)</f>
        <v>Mediatheek / OLC</v>
      </c>
      <c r="M311" s="23" t="s">
        <v>112</v>
      </c>
      <c r="N311" s="23" t="s">
        <v>1090</v>
      </c>
      <c r="O311" s="86">
        <v>235.5</v>
      </c>
      <c r="P311" s="86"/>
      <c r="Q311" s="95" t="str">
        <f>LEFT(VLOOKUP(Ruimtestaat[[#This Row],[Ruimte code]],Ruimtegroepen[#All],4,1),2)</f>
        <v xml:space="preserve">L </v>
      </c>
      <c r="R311" s="95"/>
      <c r="S311" s="87">
        <v>40</v>
      </c>
      <c r="T311" s="87" t="s">
        <v>2</v>
      </c>
      <c r="U311" s="88">
        <f>IF(S311&gt;0,IF(RIGHT(Ruimtestaat[[#This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11" s="88">
        <f>IF(U311&gt;0,VLOOKUP($K311,Ruimtegroepen[],3,FALSE)*VLOOKUP($M311,Vloersoorten[],3,FALSE)*VLOOKUP($T311,Frequenties[],3,FALSE)*VLOOKUP($A311,Locaties[],3,FALSE),0)</f>
        <v>0</v>
      </c>
      <c r="W311" s="89">
        <f>Ruimtestaat[[#This Row],[Uitvoeringen werkdagen]]*Ruimtestaat[[#This Row],[Oppervlak (netto)]]</f>
        <v>47100</v>
      </c>
      <c r="X311" s="90">
        <f>IF(V311&gt;0,Ruimtestaat[[#This Row],[Prest. (m2 /jaar) werkdagen]]/Ruimtestaat[[#This Row],[Norm (m2/uur) werkdagen]],0)</f>
        <v>0</v>
      </c>
      <c r="Y311" s="91">
        <f>Ruimtestaat[[#This Row],[uren / jaar werkdagen]]*Tariefsopbouw!$E$35</f>
        <v>0</v>
      </c>
      <c r="Z311" s="88"/>
      <c r="AA311" s="92">
        <f>IF(Ruimtestaat[[#This Row],[Frequentie weekend]]&gt;0,VALUE(LEFT(Z311,1))*S311,0)</f>
        <v>0</v>
      </c>
      <c r="AB311" s="88">
        <f>IF($AA311&gt;0,VLOOKUP($K311,Ruimtegroepen[],3,FALSE)*VLOOKUP($M311,Vloersoorten[],3,FALSE)*VLOOKUP($Z311,Frequenties[],3,FALSE)*VLOOKUP(#REF!,Locaties[],3,FALSE),0)</f>
        <v>0</v>
      </c>
      <c r="AC311" s="90">
        <f>Ruimtestaat[[#This Row],[Uitvoeringen weekend]]*Ruimtestaat[[#This Row],[Oppervlak (netto)]]</f>
        <v>0</v>
      </c>
      <c r="AD311" s="93">
        <f>IF(AC311&gt;0,Ruimtestaat[[#This Row],[Prest. (m2 /jaar) weekend]]/Ruimtestaat[[#This Row],[Norm (m2/uur) weekend]],0)</f>
        <v>0</v>
      </c>
      <c r="AE311" s="94">
        <f>Ruimtestaat[[#This Row],[uren / jaar weekend]]*Tariefsopbouw!$D$40</f>
        <v>0</v>
      </c>
      <c r="AF311" s="66">
        <f>Ruimtestaat[[#This Row],[Prest. (m2 /jaar) weekend]]+Ruimtestaat[[#This Row],[Prest. (m2 /jaar) werkdagen]]</f>
        <v>47100</v>
      </c>
      <c r="AG311" s="66">
        <f>Ruimtestaat[[#This Row],[uren / jaar weekend]]+Ruimtestaat[[#This Row],[uren / jaar werkdagen]]</f>
        <v>0</v>
      </c>
      <c r="AH311" s="67">
        <f>Ruimtestaat[[#This Row],[kosten / jaar weekend]]+Ruimtestaat[[#This Row],[kosten / jaar werkdagen]]</f>
        <v>0</v>
      </c>
    </row>
    <row r="312" spans="1:34" ht="15" customHeight="1">
      <c r="A312" s="112">
        <v>2</v>
      </c>
      <c r="B312" s="23" t="str">
        <f>VLOOKUP(Ruimtestaat[[#This Row],[Code]],Locaties[#All],2,FALSE)</f>
        <v>RSG Slingerbos</v>
      </c>
      <c r="C312" s="23" t="str">
        <f>VLOOKUP(Ruimtestaat[[#This Row],[Code]],Locaties[#All],4,FALSE)</f>
        <v>Eisenhowerlaan 59</v>
      </c>
      <c r="D312" s="23" t="str">
        <f>VLOOKUP(Ruimtestaat[[#This Row],[Code]],Locaties[#All],5,FALSE)</f>
        <v>3844 AS</v>
      </c>
      <c r="E312" s="23" t="str">
        <f>VLOOKUP(Ruimtestaat[[#This Row],[Code]],Locaties[#All],6,FALSE)</f>
        <v>Harderwijk</v>
      </c>
      <c r="F312" s="23"/>
      <c r="G312" s="60" t="s">
        <v>987</v>
      </c>
      <c r="H312" s="23" t="s">
        <v>837</v>
      </c>
      <c r="I312" s="23" t="s">
        <v>806</v>
      </c>
      <c r="J312" s="3" t="s">
        <v>1041</v>
      </c>
      <c r="K312" s="23">
        <v>2</v>
      </c>
      <c r="L312" s="60" t="str">
        <f>VLOOKUP(K312,Ruimtegroepen[],2,FALSE)</f>
        <v>Kantoren</v>
      </c>
      <c r="M312" s="23" t="s">
        <v>1094</v>
      </c>
      <c r="N312" s="23" t="s">
        <v>1095</v>
      </c>
      <c r="O312" s="86">
        <v>13.8</v>
      </c>
      <c r="P312" s="86"/>
      <c r="Q312" s="95" t="str">
        <f>LEFT(VLOOKUP(Ruimtestaat[[#This Row],[Ruimte code]],Ruimtegroepen[#All],4,1),2)</f>
        <v xml:space="preserve">B </v>
      </c>
      <c r="R312" s="95"/>
      <c r="S312" s="87">
        <v>40</v>
      </c>
      <c r="T312" s="87" t="s">
        <v>17</v>
      </c>
      <c r="U312" s="88">
        <f>IF(S312&gt;0,IF(RIGHT(Ruimtestaat[[#This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312" s="88">
        <f>IF(U312&gt;0,VLOOKUP($K312,Ruimtegroepen[],3,FALSE)*VLOOKUP($M312,Vloersoorten[],3,FALSE)*VLOOKUP($T312,Frequenties[],3,FALSE)*VLOOKUP($A312,Locaties[],3,FALSE),0)</f>
        <v>0</v>
      </c>
      <c r="W312" s="89">
        <f>Ruimtestaat[[#This Row],[Uitvoeringen werkdagen]]*Ruimtestaat[[#This Row],[Oppervlak (netto)]]</f>
        <v>1104</v>
      </c>
      <c r="X312" s="90">
        <f>IF(V312&gt;0,Ruimtestaat[[#This Row],[Prest. (m2 /jaar) werkdagen]]/Ruimtestaat[[#This Row],[Norm (m2/uur) werkdagen]],0)</f>
        <v>0</v>
      </c>
      <c r="Y312" s="91">
        <f>Ruimtestaat[[#This Row],[uren / jaar werkdagen]]*Tariefsopbouw!$E$35</f>
        <v>0</v>
      </c>
      <c r="Z312" s="88"/>
      <c r="AA312" s="92">
        <f>IF(Ruimtestaat[[#This Row],[Frequentie weekend]]&gt;0,VALUE(LEFT(Z312,1))*S312,0)</f>
        <v>0</v>
      </c>
      <c r="AB312" s="88">
        <f>IF($AA312&gt;0,VLOOKUP($K312,Ruimtegroepen[],3,FALSE)*VLOOKUP($M312,Vloersoorten[],3,FALSE)*VLOOKUP($Z312,Frequenties[],3,FALSE)*VLOOKUP(#REF!,Locaties[],3,FALSE),0)</f>
        <v>0</v>
      </c>
      <c r="AC312" s="90">
        <f>Ruimtestaat[[#This Row],[Uitvoeringen weekend]]*Ruimtestaat[[#This Row],[Oppervlak (netto)]]</f>
        <v>0</v>
      </c>
      <c r="AD312" s="93">
        <f>IF(AC312&gt;0,Ruimtestaat[[#This Row],[Prest. (m2 /jaar) weekend]]/Ruimtestaat[[#This Row],[Norm (m2/uur) weekend]],0)</f>
        <v>0</v>
      </c>
      <c r="AE312" s="94">
        <f>Ruimtestaat[[#This Row],[uren / jaar weekend]]*Tariefsopbouw!$D$40</f>
        <v>0</v>
      </c>
      <c r="AF312" s="66">
        <f>Ruimtestaat[[#This Row],[Prest. (m2 /jaar) weekend]]+Ruimtestaat[[#This Row],[Prest. (m2 /jaar) werkdagen]]</f>
        <v>1104</v>
      </c>
      <c r="AG312" s="66">
        <f>Ruimtestaat[[#This Row],[uren / jaar weekend]]+Ruimtestaat[[#This Row],[uren / jaar werkdagen]]</f>
        <v>0</v>
      </c>
      <c r="AH312" s="67">
        <f>Ruimtestaat[[#This Row],[kosten / jaar weekend]]+Ruimtestaat[[#This Row],[kosten / jaar werkdagen]]</f>
        <v>0</v>
      </c>
    </row>
    <row r="313" spans="1:34" ht="15" customHeight="1">
      <c r="A313" s="112">
        <v>2</v>
      </c>
      <c r="B313" s="23" t="str">
        <f>VLOOKUP(Ruimtestaat[[#This Row],[Code]],Locaties[#All],2,FALSE)</f>
        <v>RSG Slingerbos</v>
      </c>
      <c r="C313" s="23" t="str">
        <f>VLOOKUP(Ruimtestaat[[#This Row],[Code]],Locaties[#All],4,FALSE)</f>
        <v>Eisenhowerlaan 59</v>
      </c>
      <c r="D313" s="23" t="str">
        <f>VLOOKUP(Ruimtestaat[[#This Row],[Code]],Locaties[#All],5,FALSE)</f>
        <v>3844 AS</v>
      </c>
      <c r="E313" s="23" t="str">
        <f>VLOOKUP(Ruimtestaat[[#This Row],[Code]],Locaties[#All],6,FALSE)</f>
        <v>Harderwijk</v>
      </c>
      <c r="F313" s="23"/>
      <c r="G313" s="60" t="s">
        <v>988</v>
      </c>
      <c r="H313" s="23" t="s">
        <v>837</v>
      </c>
      <c r="I313" s="23" t="s">
        <v>807</v>
      </c>
      <c r="J313" s="3" t="s">
        <v>1017</v>
      </c>
      <c r="K313" s="23">
        <v>23</v>
      </c>
      <c r="L313" s="60" t="str">
        <f>VLOOKUP(K313,Ruimtegroepen[],2,FALSE)</f>
        <v>Niet in onderhoud</v>
      </c>
      <c r="M313" s="23" t="s">
        <v>112</v>
      </c>
      <c r="N313" s="23" t="s">
        <v>1090</v>
      </c>
      <c r="O313" s="86"/>
      <c r="P313" s="86">
        <v>6.3</v>
      </c>
      <c r="Q313" s="95" t="str">
        <f>LEFT(VLOOKUP(Ruimtestaat[[#This Row],[Ruimte code]],Ruimtegroepen[#All],4,1),2)</f>
        <v/>
      </c>
      <c r="R313" s="95"/>
      <c r="S313" s="87"/>
      <c r="T313" s="87"/>
      <c r="U313" s="88">
        <f>IF(S313&gt;0,IF(RIGHT(Ruimtestaat[[#This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13" s="88">
        <f>IF(U313&gt;0,VLOOKUP($K313,Ruimtegroepen[],3,FALSE)*VLOOKUP($M313,Vloersoorten[],3,FALSE)*VLOOKUP($T313,Frequenties[],3,FALSE)*VLOOKUP($A313,Locaties[],3,FALSE),0)</f>
        <v>0</v>
      </c>
      <c r="W313" s="89">
        <f>Ruimtestaat[[#This Row],[Uitvoeringen werkdagen]]*Ruimtestaat[[#This Row],[Oppervlak (netto)]]</f>
        <v>0</v>
      </c>
      <c r="X313" s="90">
        <f>IF(V313&gt;0,Ruimtestaat[[#This Row],[Prest. (m2 /jaar) werkdagen]]/Ruimtestaat[[#This Row],[Norm (m2/uur) werkdagen]],0)</f>
        <v>0</v>
      </c>
      <c r="Y313" s="91">
        <f>Ruimtestaat[[#This Row],[uren / jaar werkdagen]]*Tariefsopbouw!$E$35</f>
        <v>0</v>
      </c>
      <c r="Z313" s="88"/>
      <c r="AA313" s="92">
        <f>IF(Ruimtestaat[[#This Row],[Frequentie weekend]]&gt;0,VALUE(LEFT(Z313,1))*S313,0)</f>
        <v>0</v>
      </c>
      <c r="AB313" s="88">
        <f>IF($AA313&gt;0,VLOOKUP($K313,Ruimtegroepen[],3,FALSE)*VLOOKUP($M313,Vloersoorten[],3,FALSE)*VLOOKUP($Z313,Frequenties[],3,FALSE)*VLOOKUP(#REF!,Locaties[],3,FALSE),0)</f>
        <v>0</v>
      </c>
      <c r="AC313" s="90">
        <f>Ruimtestaat[[#This Row],[Uitvoeringen weekend]]*Ruimtestaat[[#This Row],[Oppervlak (netto)]]</f>
        <v>0</v>
      </c>
      <c r="AD313" s="93">
        <f>IF(AC313&gt;0,Ruimtestaat[[#This Row],[Prest. (m2 /jaar) weekend]]/Ruimtestaat[[#This Row],[Norm (m2/uur) weekend]],0)</f>
        <v>0</v>
      </c>
      <c r="AE313" s="94">
        <f>Ruimtestaat[[#This Row],[uren / jaar weekend]]*Tariefsopbouw!$D$40</f>
        <v>0</v>
      </c>
      <c r="AF313" s="66">
        <f>Ruimtestaat[[#This Row],[Prest. (m2 /jaar) weekend]]+Ruimtestaat[[#This Row],[Prest. (m2 /jaar) werkdagen]]</f>
        <v>0</v>
      </c>
      <c r="AG313" s="66">
        <f>Ruimtestaat[[#This Row],[uren / jaar weekend]]+Ruimtestaat[[#This Row],[uren / jaar werkdagen]]</f>
        <v>0</v>
      </c>
      <c r="AH313" s="67">
        <f>Ruimtestaat[[#This Row],[kosten / jaar weekend]]+Ruimtestaat[[#This Row],[kosten / jaar werkdagen]]</f>
        <v>0</v>
      </c>
    </row>
    <row r="314" spans="1:34" ht="15" customHeight="1">
      <c r="A314" s="112">
        <v>2</v>
      </c>
      <c r="B314" s="23" t="str">
        <f>VLOOKUP(Ruimtestaat[[#This Row],[Code]],Locaties[#All],2,FALSE)</f>
        <v>RSG Slingerbos</v>
      </c>
      <c r="C314" s="23" t="str">
        <f>VLOOKUP(Ruimtestaat[[#This Row],[Code]],Locaties[#All],4,FALSE)</f>
        <v>Eisenhowerlaan 59</v>
      </c>
      <c r="D314" s="23" t="str">
        <f>VLOOKUP(Ruimtestaat[[#This Row],[Code]],Locaties[#All],5,FALSE)</f>
        <v>3844 AS</v>
      </c>
      <c r="E314" s="23" t="str">
        <f>VLOOKUP(Ruimtestaat[[#This Row],[Code]],Locaties[#All],6,FALSE)</f>
        <v>Harderwijk</v>
      </c>
      <c r="F314" s="23"/>
      <c r="G314" s="60" t="s">
        <v>989</v>
      </c>
      <c r="H314" s="23" t="s">
        <v>837</v>
      </c>
      <c r="I314" s="23" t="s">
        <v>808</v>
      </c>
      <c r="J314" s="3" t="s">
        <v>1017</v>
      </c>
      <c r="K314" s="23">
        <v>23</v>
      </c>
      <c r="L314" s="60" t="str">
        <f>VLOOKUP(K314,Ruimtegroepen[],2,FALSE)</f>
        <v>Niet in onderhoud</v>
      </c>
      <c r="M314" s="23" t="s">
        <v>112</v>
      </c>
      <c r="N314" s="23" t="s">
        <v>1090</v>
      </c>
      <c r="O314" s="86"/>
      <c r="P314" s="86">
        <v>5.5</v>
      </c>
      <c r="Q314" s="95" t="str">
        <f>LEFT(VLOOKUP(Ruimtestaat[[#This Row],[Ruimte code]],Ruimtegroepen[#All],4,1),2)</f>
        <v/>
      </c>
      <c r="R314" s="95"/>
      <c r="S314" s="87"/>
      <c r="T314" s="87"/>
      <c r="U314" s="88">
        <f>IF(S314&gt;0,IF(RIGHT(Ruimtestaat[[#This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14" s="88">
        <f>IF(U314&gt;0,VLOOKUP($K314,Ruimtegroepen[],3,FALSE)*VLOOKUP($M314,Vloersoorten[],3,FALSE)*VLOOKUP($T314,Frequenties[],3,FALSE)*VLOOKUP($A314,Locaties[],3,FALSE),0)</f>
        <v>0</v>
      </c>
      <c r="W314" s="89">
        <f>Ruimtestaat[[#This Row],[Uitvoeringen werkdagen]]*Ruimtestaat[[#This Row],[Oppervlak (netto)]]</f>
        <v>0</v>
      </c>
      <c r="X314" s="90">
        <f>IF(V314&gt;0,Ruimtestaat[[#This Row],[Prest. (m2 /jaar) werkdagen]]/Ruimtestaat[[#This Row],[Norm (m2/uur) werkdagen]],0)</f>
        <v>0</v>
      </c>
      <c r="Y314" s="91">
        <f>Ruimtestaat[[#This Row],[uren / jaar werkdagen]]*Tariefsopbouw!$E$35</f>
        <v>0</v>
      </c>
      <c r="Z314" s="88"/>
      <c r="AA314" s="92">
        <f>IF(Ruimtestaat[[#This Row],[Frequentie weekend]]&gt;0,VALUE(LEFT(Z314,1))*S314,0)</f>
        <v>0</v>
      </c>
      <c r="AB314" s="88">
        <f>IF($AA314&gt;0,VLOOKUP($K314,Ruimtegroepen[],3,FALSE)*VLOOKUP($M314,Vloersoorten[],3,FALSE)*VLOOKUP($Z314,Frequenties[],3,FALSE)*VLOOKUP(#REF!,Locaties[],3,FALSE),0)</f>
        <v>0</v>
      </c>
      <c r="AC314" s="90">
        <f>Ruimtestaat[[#This Row],[Uitvoeringen weekend]]*Ruimtestaat[[#This Row],[Oppervlak (netto)]]</f>
        <v>0</v>
      </c>
      <c r="AD314" s="93">
        <f>IF(AC314&gt;0,Ruimtestaat[[#This Row],[Prest. (m2 /jaar) weekend]]/Ruimtestaat[[#This Row],[Norm (m2/uur) weekend]],0)</f>
        <v>0</v>
      </c>
      <c r="AE314" s="94">
        <f>Ruimtestaat[[#This Row],[uren / jaar weekend]]*Tariefsopbouw!$D$40</f>
        <v>0</v>
      </c>
      <c r="AF314" s="66">
        <f>Ruimtestaat[[#This Row],[Prest. (m2 /jaar) weekend]]+Ruimtestaat[[#This Row],[Prest. (m2 /jaar) werkdagen]]</f>
        <v>0</v>
      </c>
      <c r="AG314" s="66">
        <f>Ruimtestaat[[#This Row],[uren / jaar weekend]]+Ruimtestaat[[#This Row],[uren / jaar werkdagen]]</f>
        <v>0</v>
      </c>
      <c r="AH314" s="67">
        <f>Ruimtestaat[[#This Row],[kosten / jaar weekend]]+Ruimtestaat[[#This Row],[kosten / jaar werkdagen]]</f>
        <v>0</v>
      </c>
    </row>
    <row r="315" spans="1:34" ht="15" customHeight="1">
      <c r="A315" s="112">
        <v>2</v>
      </c>
      <c r="B315" s="23" t="str">
        <f>VLOOKUP(Ruimtestaat[[#This Row],[Code]],Locaties[#All],2,FALSE)</f>
        <v>RSG Slingerbos</v>
      </c>
      <c r="C315" s="23" t="str">
        <f>VLOOKUP(Ruimtestaat[[#This Row],[Code]],Locaties[#All],4,FALSE)</f>
        <v>Eisenhowerlaan 59</v>
      </c>
      <c r="D315" s="23" t="str">
        <f>VLOOKUP(Ruimtestaat[[#This Row],[Code]],Locaties[#All],5,FALSE)</f>
        <v>3844 AS</v>
      </c>
      <c r="E315" s="23" t="str">
        <f>VLOOKUP(Ruimtestaat[[#This Row],[Code]],Locaties[#All],6,FALSE)</f>
        <v>Harderwijk</v>
      </c>
      <c r="F315" s="23"/>
      <c r="G315" s="60" t="s">
        <v>576</v>
      </c>
      <c r="H315" s="23" t="s">
        <v>837</v>
      </c>
      <c r="I315" s="23" t="s">
        <v>809</v>
      </c>
      <c r="J315" s="3" t="s">
        <v>1041</v>
      </c>
      <c r="K315" s="23">
        <v>2</v>
      </c>
      <c r="L315" s="60" t="str">
        <f>VLOOKUP(K315,Ruimtegroepen[],2,FALSE)</f>
        <v>Kantoren</v>
      </c>
      <c r="M315" s="23" t="s">
        <v>112</v>
      </c>
      <c r="N315" s="23" t="s">
        <v>1090</v>
      </c>
      <c r="O315" s="86">
        <v>28.5</v>
      </c>
      <c r="P315" s="86"/>
      <c r="Q315" s="95" t="str">
        <f>LEFT(VLOOKUP(Ruimtestaat[[#This Row],[Ruimte code]],Ruimtegroepen[#All],4,1),2)</f>
        <v xml:space="preserve">B </v>
      </c>
      <c r="R315" s="95"/>
      <c r="S315" s="87">
        <v>40</v>
      </c>
      <c r="T315" s="87" t="s">
        <v>17</v>
      </c>
      <c r="U315" s="88">
        <f>IF(S315&gt;0,IF(RIGHT(Ruimtestaat[[#This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315" s="88">
        <f>IF(U315&gt;0,VLOOKUP($K315,Ruimtegroepen[],3,FALSE)*VLOOKUP($M315,Vloersoorten[],3,FALSE)*VLOOKUP($T315,Frequenties[],3,FALSE)*VLOOKUP($A315,Locaties[],3,FALSE),0)</f>
        <v>0</v>
      </c>
      <c r="W315" s="89">
        <f>Ruimtestaat[[#This Row],[Uitvoeringen werkdagen]]*Ruimtestaat[[#This Row],[Oppervlak (netto)]]</f>
        <v>2280</v>
      </c>
      <c r="X315" s="90">
        <f>IF(V315&gt;0,Ruimtestaat[[#This Row],[Prest. (m2 /jaar) werkdagen]]/Ruimtestaat[[#This Row],[Norm (m2/uur) werkdagen]],0)</f>
        <v>0</v>
      </c>
      <c r="Y315" s="91">
        <f>Ruimtestaat[[#This Row],[uren / jaar werkdagen]]*Tariefsopbouw!$E$35</f>
        <v>0</v>
      </c>
      <c r="Z315" s="88"/>
      <c r="AA315" s="92">
        <f>IF(Ruimtestaat[[#This Row],[Frequentie weekend]]&gt;0,VALUE(LEFT(Z315,1))*S315,0)</f>
        <v>0</v>
      </c>
      <c r="AB315" s="88">
        <f>IF($AA315&gt;0,VLOOKUP($K315,Ruimtegroepen[],3,FALSE)*VLOOKUP($M315,Vloersoorten[],3,FALSE)*VLOOKUP($Z315,Frequenties[],3,FALSE)*VLOOKUP(#REF!,Locaties[],3,FALSE),0)</f>
        <v>0</v>
      </c>
      <c r="AC315" s="90">
        <f>Ruimtestaat[[#This Row],[Uitvoeringen weekend]]*Ruimtestaat[[#This Row],[Oppervlak (netto)]]</f>
        <v>0</v>
      </c>
      <c r="AD315" s="93">
        <f>IF(AC315&gt;0,Ruimtestaat[[#This Row],[Prest. (m2 /jaar) weekend]]/Ruimtestaat[[#This Row],[Norm (m2/uur) weekend]],0)</f>
        <v>0</v>
      </c>
      <c r="AE315" s="94">
        <f>Ruimtestaat[[#This Row],[uren / jaar weekend]]*Tariefsopbouw!$D$40</f>
        <v>0</v>
      </c>
      <c r="AF315" s="66">
        <f>Ruimtestaat[[#This Row],[Prest. (m2 /jaar) weekend]]+Ruimtestaat[[#This Row],[Prest. (m2 /jaar) werkdagen]]</f>
        <v>2280</v>
      </c>
      <c r="AG315" s="66">
        <f>Ruimtestaat[[#This Row],[uren / jaar weekend]]+Ruimtestaat[[#This Row],[uren / jaar werkdagen]]</f>
        <v>0</v>
      </c>
      <c r="AH315" s="67">
        <f>Ruimtestaat[[#This Row],[kosten / jaar weekend]]+Ruimtestaat[[#This Row],[kosten / jaar werkdagen]]</f>
        <v>0</v>
      </c>
    </row>
    <row r="316" spans="1:34" ht="15" customHeight="1">
      <c r="A316" s="112">
        <v>2</v>
      </c>
      <c r="B316" s="23" t="str">
        <f>VLOOKUP(Ruimtestaat[[#This Row],[Code]],Locaties[#All],2,FALSE)</f>
        <v>RSG Slingerbos</v>
      </c>
      <c r="C316" s="23" t="str">
        <f>VLOOKUP(Ruimtestaat[[#This Row],[Code]],Locaties[#All],4,FALSE)</f>
        <v>Eisenhowerlaan 59</v>
      </c>
      <c r="D316" s="23" t="str">
        <f>VLOOKUP(Ruimtestaat[[#This Row],[Code]],Locaties[#All],5,FALSE)</f>
        <v>3844 AS</v>
      </c>
      <c r="E316" s="23" t="str">
        <f>VLOOKUP(Ruimtestaat[[#This Row],[Code]],Locaties[#All],6,FALSE)</f>
        <v>Harderwijk</v>
      </c>
      <c r="F316" s="23"/>
      <c r="G316" s="60" t="s">
        <v>990</v>
      </c>
      <c r="H316" s="23" t="s">
        <v>837</v>
      </c>
      <c r="I316" s="23" t="s">
        <v>810</v>
      </c>
      <c r="J316" s="3" t="s">
        <v>1074</v>
      </c>
      <c r="K316" s="23">
        <v>12</v>
      </c>
      <c r="L316" s="60" t="str">
        <f>VLOOKUP(K316,Ruimtegroepen[],2,FALSE)</f>
        <v>Kantine</v>
      </c>
      <c r="M316" s="23" t="s">
        <v>112</v>
      </c>
      <c r="N316" s="23" t="s">
        <v>1090</v>
      </c>
      <c r="O316" s="86">
        <v>146</v>
      </c>
      <c r="P316" s="86"/>
      <c r="Q316" s="95" t="str">
        <f>LEFT(VLOOKUP(Ruimtestaat[[#This Row],[Ruimte code]],Ruimtegroepen[#All],4,1),2)</f>
        <v xml:space="preserve">V </v>
      </c>
      <c r="R316" s="95"/>
      <c r="S316" s="87">
        <v>40</v>
      </c>
      <c r="T316" s="87" t="s">
        <v>2</v>
      </c>
      <c r="U316" s="88">
        <f>IF(S316&gt;0,IF(RIGHT(Ruimtestaat[[#This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16" s="88">
        <f>IF(U316&gt;0,VLOOKUP($K316,Ruimtegroepen[],3,FALSE)*VLOOKUP($M316,Vloersoorten[],3,FALSE)*VLOOKUP($T316,Frequenties[],3,FALSE)*VLOOKUP($A316,Locaties[],3,FALSE),0)</f>
        <v>0</v>
      </c>
      <c r="W316" s="89">
        <f>Ruimtestaat[[#This Row],[Uitvoeringen werkdagen]]*Ruimtestaat[[#This Row],[Oppervlak (netto)]]</f>
        <v>29200</v>
      </c>
      <c r="X316" s="90">
        <f>IF(V316&gt;0,Ruimtestaat[[#This Row],[Prest. (m2 /jaar) werkdagen]]/Ruimtestaat[[#This Row],[Norm (m2/uur) werkdagen]],0)</f>
        <v>0</v>
      </c>
      <c r="Y316" s="91">
        <f>Ruimtestaat[[#This Row],[uren / jaar werkdagen]]*Tariefsopbouw!$E$35</f>
        <v>0</v>
      </c>
      <c r="Z316" s="88"/>
      <c r="AA316" s="92">
        <f>IF(Ruimtestaat[[#This Row],[Frequentie weekend]]&gt;0,VALUE(LEFT(Z316,1))*S316,0)</f>
        <v>0</v>
      </c>
      <c r="AB316" s="88">
        <f>IF($AA316&gt;0,VLOOKUP($K316,Ruimtegroepen[],3,FALSE)*VLOOKUP($M316,Vloersoorten[],3,FALSE)*VLOOKUP($Z316,Frequenties[],3,FALSE)*VLOOKUP(#REF!,Locaties[],3,FALSE),0)</f>
        <v>0</v>
      </c>
      <c r="AC316" s="90">
        <f>Ruimtestaat[[#This Row],[Uitvoeringen weekend]]*Ruimtestaat[[#This Row],[Oppervlak (netto)]]</f>
        <v>0</v>
      </c>
      <c r="AD316" s="93">
        <f>IF(AC316&gt;0,Ruimtestaat[[#This Row],[Prest. (m2 /jaar) weekend]]/Ruimtestaat[[#This Row],[Norm (m2/uur) weekend]],0)</f>
        <v>0</v>
      </c>
      <c r="AE316" s="94">
        <f>Ruimtestaat[[#This Row],[uren / jaar weekend]]*Tariefsopbouw!$D$40</f>
        <v>0</v>
      </c>
      <c r="AF316" s="66">
        <f>Ruimtestaat[[#This Row],[Prest. (m2 /jaar) weekend]]+Ruimtestaat[[#This Row],[Prest. (m2 /jaar) werkdagen]]</f>
        <v>29200</v>
      </c>
      <c r="AG316" s="66">
        <f>Ruimtestaat[[#This Row],[uren / jaar weekend]]+Ruimtestaat[[#This Row],[uren / jaar werkdagen]]</f>
        <v>0</v>
      </c>
      <c r="AH316" s="67">
        <f>Ruimtestaat[[#This Row],[kosten / jaar weekend]]+Ruimtestaat[[#This Row],[kosten / jaar werkdagen]]</f>
        <v>0</v>
      </c>
    </row>
    <row r="317" spans="1:34" ht="15" customHeight="1">
      <c r="A317" s="112">
        <v>2</v>
      </c>
      <c r="B317" s="23" t="str">
        <f>VLOOKUP(Ruimtestaat[[#This Row],[Code]],Locaties[#All],2,FALSE)</f>
        <v>RSG Slingerbos</v>
      </c>
      <c r="C317" s="23" t="str">
        <f>VLOOKUP(Ruimtestaat[[#This Row],[Code]],Locaties[#All],4,FALSE)</f>
        <v>Eisenhowerlaan 59</v>
      </c>
      <c r="D317" s="23" t="str">
        <f>VLOOKUP(Ruimtestaat[[#This Row],[Code]],Locaties[#All],5,FALSE)</f>
        <v>3844 AS</v>
      </c>
      <c r="E317" s="23" t="str">
        <f>VLOOKUP(Ruimtestaat[[#This Row],[Code]],Locaties[#All],6,FALSE)</f>
        <v>Harderwijk</v>
      </c>
      <c r="F317" s="23"/>
      <c r="G317" s="60" t="s">
        <v>991</v>
      </c>
      <c r="H317" s="23" t="s">
        <v>837</v>
      </c>
      <c r="I317" s="23" t="s">
        <v>811</v>
      </c>
      <c r="J317" s="3" t="s">
        <v>684</v>
      </c>
      <c r="K317" s="23">
        <v>9</v>
      </c>
      <c r="L317" s="60" t="str">
        <f>VLOOKUP(K317,Ruimtegroepen[],2,FALSE)</f>
        <v>Garderobe</v>
      </c>
      <c r="M317" s="23" t="s">
        <v>112</v>
      </c>
      <c r="N317" s="23" t="s">
        <v>1090</v>
      </c>
      <c r="O317" s="86">
        <v>15.3</v>
      </c>
      <c r="P317" s="86"/>
      <c r="Q317" s="95" t="str">
        <f>LEFT(VLOOKUP(Ruimtestaat[[#This Row],[Ruimte code]],Ruimtegroepen[#All],4,1),2)</f>
        <v xml:space="preserve">V </v>
      </c>
      <c r="R317" s="95"/>
      <c r="S317" s="87">
        <v>40</v>
      </c>
      <c r="T317" s="87" t="s">
        <v>2</v>
      </c>
      <c r="U317" s="88">
        <f>IF(S317&gt;0,IF(RIGHT(Ruimtestaat[[#This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17" s="88">
        <f>IF(U317&gt;0,VLOOKUP($K317,Ruimtegroepen[],3,FALSE)*VLOOKUP($M317,Vloersoorten[],3,FALSE)*VLOOKUP($T317,Frequenties[],3,FALSE)*VLOOKUP($A317,Locaties[],3,FALSE),0)</f>
        <v>0</v>
      </c>
      <c r="W317" s="89">
        <f>Ruimtestaat[[#This Row],[Uitvoeringen werkdagen]]*Ruimtestaat[[#This Row],[Oppervlak (netto)]]</f>
        <v>3060</v>
      </c>
      <c r="X317" s="90">
        <f>IF(V317&gt;0,Ruimtestaat[[#This Row],[Prest. (m2 /jaar) werkdagen]]/Ruimtestaat[[#This Row],[Norm (m2/uur) werkdagen]],0)</f>
        <v>0</v>
      </c>
      <c r="Y317" s="91">
        <f>Ruimtestaat[[#This Row],[uren / jaar werkdagen]]*Tariefsopbouw!$E$35</f>
        <v>0</v>
      </c>
      <c r="Z317" s="88"/>
      <c r="AA317" s="92">
        <f>IF(Ruimtestaat[[#This Row],[Frequentie weekend]]&gt;0,VALUE(LEFT(Z317,1))*S317,0)</f>
        <v>0</v>
      </c>
      <c r="AB317" s="88">
        <f>IF($AA317&gt;0,VLOOKUP($K317,Ruimtegroepen[],3,FALSE)*VLOOKUP($M317,Vloersoorten[],3,FALSE)*VLOOKUP($Z317,Frequenties[],3,FALSE)*VLOOKUP(#REF!,Locaties[],3,FALSE),0)</f>
        <v>0</v>
      </c>
      <c r="AC317" s="90">
        <f>Ruimtestaat[[#This Row],[Uitvoeringen weekend]]*Ruimtestaat[[#This Row],[Oppervlak (netto)]]</f>
        <v>0</v>
      </c>
      <c r="AD317" s="93">
        <f>IF(AC317&gt;0,Ruimtestaat[[#This Row],[Prest. (m2 /jaar) weekend]]/Ruimtestaat[[#This Row],[Norm (m2/uur) weekend]],0)</f>
        <v>0</v>
      </c>
      <c r="AE317" s="94">
        <f>Ruimtestaat[[#This Row],[uren / jaar weekend]]*Tariefsopbouw!$D$40</f>
        <v>0</v>
      </c>
      <c r="AF317" s="66">
        <f>Ruimtestaat[[#This Row],[Prest. (m2 /jaar) weekend]]+Ruimtestaat[[#This Row],[Prest. (m2 /jaar) werkdagen]]</f>
        <v>3060</v>
      </c>
      <c r="AG317" s="66">
        <f>Ruimtestaat[[#This Row],[uren / jaar weekend]]+Ruimtestaat[[#This Row],[uren / jaar werkdagen]]</f>
        <v>0</v>
      </c>
      <c r="AH317" s="67">
        <f>Ruimtestaat[[#This Row],[kosten / jaar weekend]]+Ruimtestaat[[#This Row],[kosten / jaar werkdagen]]</f>
        <v>0</v>
      </c>
    </row>
    <row r="318" spans="1:34" ht="15" customHeight="1">
      <c r="A318" s="112">
        <v>2</v>
      </c>
      <c r="B318" s="23" t="str">
        <f>VLOOKUP(Ruimtestaat[[#This Row],[Code]],Locaties[#All],2,FALSE)</f>
        <v>RSG Slingerbos</v>
      </c>
      <c r="C318" s="23" t="str">
        <f>VLOOKUP(Ruimtestaat[[#This Row],[Code]],Locaties[#All],4,FALSE)</f>
        <v>Eisenhowerlaan 59</v>
      </c>
      <c r="D318" s="23" t="str">
        <f>VLOOKUP(Ruimtestaat[[#This Row],[Code]],Locaties[#All],5,FALSE)</f>
        <v>3844 AS</v>
      </c>
      <c r="E318" s="23" t="str">
        <f>VLOOKUP(Ruimtestaat[[#This Row],[Code]],Locaties[#All],6,FALSE)</f>
        <v>Harderwijk</v>
      </c>
      <c r="F318" s="23"/>
      <c r="G318" s="60" t="s">
        <v>992</v>
      </c>
      <c r="H318" s="23" t="s">
        <v>837</v>
      </c>
      <c r="I318" s="23" t="s">
        <v>812</v>
      </c>
      <c r="J318" s="3" t="s">
        <v>1028</v>
      </c>
      <c r="K318" s="23">
        <v>5</v>
      </c>
      <c r="L318" s="60" t="str">
        <f>VLOOKUP(K318,Ruimtegroepen[],2,FALSE)</f>
        <v>Sanitair</v>
      </c>
      <c r="M318" s="23" t="s">
        <v>113</v>
      </c>
      <c r="N318" s="23" t="s">
        <v>1091</v>
      </c>
      <c r="O318" s="86">
        <v>6</v>
      </c>
      <c r="P318" s="86"/>
      <c r="Q318" s="95" t="str">
        <f>LEFT(VLOOKUP(Ruimtestaat[[#This Row],[Ruimte code]],Ruimtegroepen[#All],4,1),2)</f>
        <v xml:space="preserve">S </v>
      </c>
      <c r="R318" s="95"/>
      <c r="S318" s="87">
        <v>40</v>
      </c>
      <c r="T318" s="87" t="s">
        <v>2</v>
      </c>
      <c r="U318" s="88">
        <f>IF(S318&gt;0,IF(RIGHT(Ruimtestaat[[#This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18" s="88">
        <f>IF(U318&gt;0,VLOOKUP($K318,Ruimtegroepen[],3,FALSE)*VLOOKUP($M318,Vloersoorten[],3,FALSE)*VLOOKUP($T318,Frequenties[],3,FALSE)*VLOOKUP($A318,Locaties[],3,FALSE),0)</f>
        <v>0</v>
      </c>
      <c r="W318" s="89">
        <f>Ruimtestaat[[#This Row],[Uitvoeringen werkdagen]]*Ruimtestaat[[#This Row],[Oppervlak (netto)]]</f>
        <v>1200</v>
      </c>
      <c r="X318" s="90">
        <f>IF(V318&gt;0,Ruimtestaat[[#This Row],[Prest. (m2 /jaar) werkdagen]]/Ruimtestaat[[#This Row],[Norm (m2/uur) werkdagen]],0)</f>
        <v>0</v>
      </c>
      <c r="Y318" s="91">
        <f>Ruimtestaat[[#This Row],[uren / jaar werkdagen]]*Tariefsopbouw!$E$35</f>
        <v>0</v>
      </c>
      <c r="Z318" s="88"/>
      <c r="AA318" s="92">
        <f>IF(Ruimtestaat[[#This Row],[Frequentie weekend]]&gt;0,VALUE(LEFT(Z318,1))*S318,0)</f>
        <v>0</v>
      </c>
      <c r="AB318" s="88">
        <f>IF($AA318&gt;0,VLOOKUP($K318,Ruimtegroepen[],3,FALSE)*VLOOKUP($M318,Vloersoorten[],3,FALSE)*VLOOKUP($Z318,Frequenties[],3,FALSE)*VLOOKUP(#REF!,Locaties[],3,FALSE),0)</f>
        <v>0</v>
      </c>
      <c r="AC318" s="90">
        <f>Ruimtestaat[[#This Row],[Uitvoeringen weekend]]*Ruimtestaat[[#This Row],[Oppervlak (netto)]]</f>
        <v>0</v>
      </c>
      <c r="AD318" s="93">
        <f>IF(AC318&gt;0,Ruimtestaat[[#This Row],[Prest. (m2 /jaar) weekend]]/Ruimtestaat[[#This Row],[Norm (m2/uur) weekend]],0)</f>
        <v>0</v>
      </c>
      <c r="AE318" s="94">
        <f>Ruimtestaat[[#This Row],[uren / jaar weekend]]*Tariefsopbouw!$D$40</f>
        <v>0</v>
      </c>
      <c r="AF318" s="66">
        <f>Ruimtestaat[[#This Row],[Prest. (m2 /jaar) weekend]]+Ruimtestaat[[#This Row],[Prest. (m2 /jaar) werkdagen]]</f>
        <v>1200</v>
      </c>
      <c r="AG318" s="66">
        <f>Ruimtestaat[[#This Row],[uren / jaar weekend]]+Ruimtestaat[[#This Row],[uren / jaar werkdagen]]</f>
        <v>0</v>
      </c>
      <c r="AH318" s="67">
        <f>Ruimtestaat[[#This Row],[kosten / jaar weekend]]+Ruimtestaat[[#This Row],[kosten / jaar werkdagen]]</f>
        <v>0</v>
      </c>
    </row>
    <row r="319" spans="1:34" ht="15" customHeight="1">
      <c r="A319" s="112">
        <v>2</v>
      </c>
      <c r="B319" s="23" t="str">
        <f>VLOOKUP(Ruimtestaat[[#This Row],[Code]],Locaties[#All],2,FALSE)</f>
        <v>RSG Slingerbos</v>
      </c>
      <c r="C319" s="23" t="str">
        <f>VLOOKUP(Ruimtestaat[[#This Row],[Code]],Locaties[#All],4,FALSE)</f>
        <v>Eisenhowerlaan 59</v>
      </c>
      <c r="D319" s="23" t="str">
        <f>VLOOKUP(Ruimtestaat[[#This Row],[Code]],Locaties[#All],5,FALSE)</f>
        <v>3844 AS</v>
      </c>
      <c r="E319" s="23" t="str">
        <f>VLOOKUP(Ruimtestaat[[#This Row],[Code]],Locaties[#All],6,FALSE)</f>
        <v>Harderwijk</v>
      </c>
      <c r="F319" s="23"/>
      <c r="G319" s="60" t="s">
        <v>993</v>
      </c>
      <c r="H319" s="23" t="s">
        <v>837</v>
      </c>
      <c r="I319" s="23" t="s">
        <v>813</v>
      </c>
      <c r="J319" s="3" t="s">
        <v>1029</v>
      </c>
      <c r="K319" s="23">
        <v>5</v>
      </c>
      <c r="L319" s="60" t="str">
        <f>VLOOKUP(K319,Ruimtegroepen[],2,FALSE)</f>
        <v>Sanitair</v>
      </c>
      <c r="M319" s="23" t="s">
        <v>113</v>
      </c>
      <c r="N319" s="23" t="s">
        <v>1091</v>
      </c>
      <c r="O319" s="86">
        <v>6</v>
      </c>
      <c r="P319" s="86"/>
      <c r="Q319" s="95" t="str">
        <f>LEFT(VLOOKUP(Ruimtestaat[[#This Row],[Ruimte code]],Ruimtegroepen[#All],4,1),2)</f>
        <v xml:space="preserve">S </v>
      </c>
      <c r="R319" s="95"/>
      <c r="S319" s="87">
        <v>40</v>
      </c>
      <c r="T319" s="87" t="s">
        <v>2</v>
      </c>
      <c r="U319" s="88">
        <f>IF(S319&gt;0,IF(RIGHT(Ruimtestaat[[#This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19" s="88">
        <f>IF(U319&gt;0,VLOOKUP($K319,Ruimtegroepen[],3,FALSE)*VLOOKUP($M319,Vloersoorten[],3,FALSE)*VLOOKUP($T319,Frequenties[],3,FALSE)*VLOOKUP($A319,Locaties[],3,FALSE),0)</f>
        <v>0</v>
      </c>
      <c r="W319" s="89">
        <f>Ruimtestaat[[#This Row],[Uitvoeringen werkdagen]]*Ruimtestaat[[#This Row],[Oppervlak (netto)]]</f>
        <v>1200</v>
      </c>
      <c r="X319" s="90">
        <f>IF(V319&gt;0,Ruimtestaat[[#This Row],[Prest. (m2 /jaar) werkdagen]]/Ruimtestaat[[#This Row],[Norm (m2/uur) werkdagen]],0)</f>
        <v>0</v>
      </c>
      <c r="Y319" s="91">
        <f>Ruimtestaat[[#This Row],[uren / jaar werkdagen]]*Tariefsopbouw!$E$35</f>
        <v>0</v>
      </c>
      <c r="Z319" s="88"/>
      <c r="AA319" s="92">
        <f>IF(Ruimtestaat[[#This Row],[Frequentie weekend]]&gt;0,VALUE(LEFT(Z319,1))*S319,0)</f>
        <v>0</v>
      </c>
      <c r="AB319" s="88">
        <f>IF($AA319&gt;0,VLOOKUP($K319,Ruimtegroepen[],3,FALSE)*VLOOKUP($M319,Vloersoorten[],3,FALSE)*VLOOKUP($Z319,Frequenties[],3,FALSE)*VLOOKUP(#REF!,Locaties[],3,FALSE),0)</f>
        <v>0</v>
      </c>
      <c r="AC319" s="90">
        <f>Ruimtestaat[[#This Row],[Uitvoeringen weekend]]*Ruimtestaat[[#This Row],[Oppervlak (netto)]]</f>
        <v>0</v>
      </c>
      <c r="AD319" s="93">
        <f>IF(AC319&gt;0,Ruimtestaat[[#This Row],[Prest. (m2 /jaar) weekend]]/Ruimtestaat[[#This Row],[Norm (m2/uur) weekend]],0)</f>
        <v>0</v>
      </c>
      <c r="AE319" s="94">
        <f>Ruimtestaat[[#This Row],[uren / jaar weekend]]*Tariefsopbouw!$D$40</f>
        <v>0</v>
      </c>
      <c r="AF319" s="66">
        <f>Ruimtestaat[[#This Row],[Prest. (m2 /jaar) weekend]]+Ruimtestaat[[#This Row],[Prest. (m2 /jaar) werkdagen]]</f>
        <v>1200</v>
      </c>
      <c r="AG319" s="66">
        <f>Ruimtestaat[[#This Row],[uren / jaar weekend]]+Ruimtestaat[[#This Row],[uren / jaar werkdagen]]</f>
        <v>0</v>
      </c>
      <c r="AH319" s="67">
        <f>Ruimtestaat[[#This Row],[kosten / jaar weekend]]+Ruimtestaat[[#This Row],[kosten / jaar werkdagen]]</f>
        <v>0</v>
      </c>
    </row>
    <row r="320" spans="1:34" ht="15" customHeight="1">
      <c r="A320" s="112">
        <v>2</v>
      </c>
      <c r="B320" s="23" t="str">
        <f>VLOOKUP(Ruimtestaat[[#This Row],[Code]],Locaties[#All],2,FALSE)</f>
        <v>RSG Slingerbos</v>
      </c>
      <c r="C320" s="23" t="str">
        <f>VLOOKUP(Ruimtestaat[[#This Row],[Code]],Locaties[#All],4,FALSE)</f>
        <v>Eisenhowerlaan 59</v>
      </c>
      <c r="D320" s="23" t="str">
        <f>VLOOKUP(Ruimtestaat[[#This Row],[Code]],Locaties[#All],5,FALSE)</f>
        <v>3844 AS</v>
      </c>
      <c r="E320" s="23" t="str">
        <f>VLOOKUP(Ruimtestaat[[#This Row],[Code]],Locaties[#All],6,FALSE)</f>
        <v>Harderwijk</v>
      </c>
      <c r="F320" s="23"/>
      <c r="G320" s="60" t="s">
        <v>994</v>
      </c>
      <c r="H320" s="23" t="s">
        <v>837</v>
      </c>
      <c r="I320" s="23">
        <v>131</v>
      </c>
      <c r="J320" s="3" t="s">
        <v>1075</v>
      </c>
      <c r="K320" s="23">
        <v>16</v>
      </c>
      <c r="L320" s="60" t="str">
        <f>VLOOKUP(K320,Ruimtegroepen[],2,FALSE)</f>
        <v>Leslokalen theorie</v>
      </c>
      <c r="M320" s="23" t="s">
        <v>1094</v>
      </c>
      <c r="N320" s="23" t="s">
        <v>1095</v>
      </c>
      <c r="O320" s="86">
        <v>19.600000000000001</v>
      </c>
      <c r="P320" s="86"/>
      <c r="Q320" s="95" t="str">
        <f>LEFT(VLOOKUP(Ruimtestaat[[#This Row],[Ruimte code]],Ruimtegroepen[#All],4,1),2)</f>
        <v xml:space="preserve">L </v>
      </c>
      <c r="R320" s="95"/>
      <c r="S320" s="87">
        <v>40</v>
      </c>
      <c r="T320" s="87" t="s">
        <v>2</v>
      </c>
      <c r="U320" s="88">
        <f>IF(S320&gt;0,IF(RIGHT(Ruimtestaat[[#This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20" s="88">
        <f>IF(U320&gt;0,VLOOKUP($K320,Ruimtegroepen[],3,FALSE)*VLOOKUP($M320,Vloersoorten[],3,FALSE)*VLOOKUP($T320,Frequenties[],3,FALSE)*VLOOKUP($A320,Locaties[],3,FALSE),0)</f>
        <v>0</v>
      </c>
      <c r="W320" s="89">
        <f>Ruimtestaat[[#This Row],[Uitvoeringen werkdagen]]*Ruimtestaat[[#This Row],[Oppervlak (netto)]]</f>
        <v>3920.0000000000005</v>
      </c>
      <c r="X320" s="90">
        <f>IF(V320&gt;0,Ruimtestaat[[#This Row],[Prest. (m2 /jaar) werkdagen]]/Ruimtestaat[[#This Row],[Norm (m2/uur) werkdagen]],0)</f>
        <v>0</v>
      </c>
      <c r="Y320" s="91">
        <f>Ruimtestaat[[#This Row],[uren / jaar werkdagen]]*Tariefsopbouw!$E$35</f>
        <v>0</v>
      </c>
      <c r="Z320" s="88"/>
      <c r="AA320" s="92">
        <f>IF(Ruimtestaat[[#This Row],[Frequentie weekend]]&gt;0,VALUE(LEFT(Z320,1))*S320,0)</f>
        <v>0</v>
      </c>
      <c r="AB320" s="88">
        <f>IF($AA320&gt;0,VLOOKUP($K320,Ruimtegroepen[],3,FALSE)*VLOOKUP($M320,Vloersoorten[],3,FALSE)*VLOOKUP($Z320,Frequenties[],3,FALSE)*VLOOKUP(#REF!,Locaties[],3,FALSE),0)</f>
        <v>0</v>
      </c>
      <c r="AC320" s="90">
        <f>Ruimtestaat[[#This Row],[Uitvoeringen weekend]]*Ruimtestaat[[#This Row],[Oppervlak (netto)]]</f>
        <v>0</v>
      </c>
      <c r="AD320" s="93">
        <f>IF(AC320&gt;0,Ruimtestaat[[#This Row],[Prest. (m2 /jaar) weekend]]/Ruimtestaat[[#This Row],[Norm (m2/uur) weekend]],0)</f>
        <v>0</v>
      </c>
      <c r="AE320" s="94">
        <f>Ruimtestaat[[#This Row],[uren / jaar weekend]]*Tariefsopbouw!$D$40</f>
        <v>0</v>
      </c>
      <c r="AF320" s="66">
        <f>Ruimtestaat[[#This Row],[Prest. (m2 /jaar) weekend]]+Ruimtestaat[[#This Row],[Prest. (m2 /jaar) werkdagen]]</f>
        <v>3920.0000000000005</v>
      </c>
      <c r="AG320" s="66">
        <f>Ruimtestaat[[#This Row],[uren / jaar weekend]]+Ruimtestaat[[#This Row],[uren / jaar werkdagen]]</f>
        <v>0</v>
      </c>
      <c r="AH320" s="67">
        <f>Ruimtestaat[[#This Row],[kosten / jaar weekend]]+Ruimtestaat[[#This Row],[kosten / jaar werkdagen]]</f>
        <v>0</v>
      </c>
    </row>
    <row r="321" spans="1:34" ht="15" customHeight="1">
      <c r="A321" s="112">
        <v>2</v>
      </c>
      <c r="B321" s="23" t="str">
        <f>VLOOKUP(Ruimtestaat[[#This Row],[Code]],Locaties[#All],2,FALSE)</f>
        <v>RSG Slingerbos</v>
      </c>
      <c r="C321" s="23" t="str">
        <f>VLOOKUP(Ruimtestaat[[#This Row],[Code]],Locaties[#All],4,FALSE)</f>
        <v>Eisenhowerlaan 59</v>
      </c>
      <c r="D321" s="23" t="str">
        <f>VLOOKUP(Ruimtestaat[[#This Row],[Code]],Locaties[#All],5,FALSE)</f>
        <v>3844 AS</v>
      </c>
      <c r="E321" s="23" t="str">
        <f>VLOOKUP(Ruimtestaat[[#This Row],[Code]],Locaties[#All],6,FALSE)</f>
        <v>Harderwijk</v>
      </c>
      <c r="F321" s="23"/>
      <c r="G321" s="60" t="s">
        <v>995</v>
      </c>
      <c r="H321" s="23" t="s">
        <v>837</v>
      </c>
      <c r="I321" s="23" t="s">
        <v>814</v>
      </c>
      <c r="J321" s="3" t="s">
        <v>1025</v>
      </c>
      <c r="K321" s="23">
        <v>6</v>
      </c>
      <c r="L321" s="60" t="str">
        <f>VLOOKUP(K321,Ruimtegroepen[],2,FALSE)</f>
        <v>Gangen/hallen</v>
      </c>
      <c r="M321" s="23" t="s">
        <v>112</v>
      </c>
      <c r="N321" s="23" t="s">
        <v>1090</v>
      </c>
      <c r="O321" s="86">
        <v>27.3</v>
      </c>
      <c r="P321" s="86"/>
      <c r="Q321" s="95" t="str">
        <f>LEFT(VLOOKUP(Ruimtestaat[[#This Row],[Ruimte code]],Ruimtegroepen[#All],4,1),2)</f>
        <v xml:space="preserve">V </v>
      </c>
      <c r="R321" s="95"/>
      <c r="S321" s="87">
        <v>40</v>
      </c>
      <c r="T321" s="87" t="s">
        <v>2</v>
      </c>
      <c r="U321" s="88">
        <f>IF(S321&gt;0,IF(RIGHT(Ruimtestaat[[#This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21" s="88">
        <f>IF(U321&gt;0,VLOOKUP($K321,Ruimtegroepen[],3,FALSE)*VLOOKUP($M321,Vloersoorten[],3,FALSE)*VLOOKUP($T321,Frequenties[],3,FALSE)*VLOOKUP($A321,Locaties[],3,FALSE),0)</f>
        <v>0</v>
      </c>
      <c r="W321" s="89">
        <f>Ruimtestaat[[#This Row],[Uitvoeringen werkdagen]]*Ruimtestaat[[#This Row],[Oppervlak (netto)]]</f>
        <v>5460</v>
      </c>
      <c r="X321" s="90">
        <f>IF(V321&gt;0,Ruimtestaat[[#This Row],[Prest. (m2 /jaar) werkdagen]]/Ruimtestaat[[#This Row],[Norm (m2/uur) werkdagen]],0)</f>
        <v>0</v>
      </c>
      <c r="Y321" s="91">
        <f>Ruimtestaat[[#This Row],[uren / jaar werkdagen]]*Tariefsopbouw!$E$35</f>
        <v>0</v>
      </c>
      <c r="Z321" s="88"/>
      <c r="AA321" s="92">
        <f>IF(Ruimtestaat[[#This Row],[Frequentie weekend]]&gt;0,VALUE(LEFT(Z321,1))*S321,0)</f>
        <v>0</v>
      </c>
      <c r="AB321" s="88">
        <f>IF($AA321&gt;0,VLOOKUP($K321,Ruimtegroepen[],3,FALSE)*VLOOKUP($M321,Vloersoorten[],3,FALSE)*VLOOKUP($Z321,Frequenties[],3,FALSE)*VLOOKUP(#REF!,Locaties[],3,FALSE),0)</f>
        <v>0</v>
      </c>
      <c r="AC321" s="90">
        <f>Ruimtestaat[[#This Row],[Uitvoeringen weekend]]*Ruimtestaat[[#This Row],[Oppervlak (netto)]]</f>
        <v>0</v>
      </c>
      <c r="AD321" s="93">
        <f>IF(AC321&gt;0,Ruimtestaat[[#This Row],[Prest. (m2 /jaar) weekend]]/Ruimtestaat[[#This Row],[Norm (m2/uur) weekend]],0)</f>
        <v>0</v>
      </c>
      <c r="AE321" s="94">
        <f>Ruimtestaat[[#This Row],[uren / jaar weekend]]*Tariefsopbouw!$D$40</f>
        <v>0</v>
      </c>
      <c r="AF321" s="66">
        <f>Ruimtestaat[[#This Row],[Prest. (m2 /jaar) weekend]]+Ruimtestaat[[#This Row],[Prest. (m2 /jaar) werkdagen]]</f>
        <v>5460</v>
      </c>
      <c r="AG321" s="66">
        <f>Ruimtestaat[[#This Row],[uren / jaar weekend]]+Ruimtestaat[[#This Row],[uren / jaar werkdagen]]</f>
        <v>0</v>
      </c>
      <c r="AH321" s="67">
        <f>Ruimtestaat[[#This Row],[kosten / jaar weekend]]+Ruimtestaat[[#This Row],[kosten / jaar werkdagen]]</f>
        <v>0</v>
      </c>
    </row>
    <row r="322" spans="1:34" ht="15" customHeight="1">
      <c r="A322" s="112">
        <v>2</v>
      </c>
      <c r="B322" s="23" t="str">
        <f>VLOOKUP(Ruimtestaat[[#This Row],[Code]],Locaties[#All],2,FALSE)</f>
        <v>RSG Slingerbos</v>
      </c>
      <c r="C322" s="23" t="str">
        <f>VLOOKUP(Ruimtestaat[[#This Row],[Code]],Locaties[#All],4,FALSE)</f>
        <v>Eisenhowerlaan 59</v>
      </c>
      <c r="D322" s="23" t="str">
        <f>VLOOKUP(Ruimtestaat[[#This Row],[Code]],Locaties[#All],5,FALSE)</f>
        <v>3844 AS</v>
      </c>
      <c r="E322" s="23" t="str">
        <f>VLOOKUP(Ruimtestaat[[#This Row],[Code]],Locaties[#All],6,FALSE)</f>
        <v>Harderwijk</v>
      </c>
      <c r="F322" s="23"/>
      <c r="G322" s="60" t="s">
        <v>996</v>
      </c>
      <c r="H322" s="23" t="s">
        <v>837</v>
      </c>
      <c r="I322" s="23">
        <v>129</v>
      </c>
      <c r="J322" s="3" t="s">
        <v>1043</v>
      </c>
      <c r="K322" s="23">
        <v>16</v>
      </c>
      <c r="L322" s="60" t="str">
        <f>VLOOKUP(K322,Ruimtegroepen[],2,FALSE)</f>
        <v>Leslokalen theorie</v>
      </c>
      <c r="M322" s="23" t="s">
        <v>112</v>
      </c>
      <c r="N322" s="23" t="s">
        <v>1090</v>
      </c>
      <c r="O322" s="86">
        <v>56.5</v>
      </c>
      <c r="P322" s="86"/>
      <c r="Q322" s="95" t="str">
        <f>LEFT(VLOOKUP(Ruimtestaat[[#This Row],[Ruimte code]],Ruimtegroepen[#All],4,1),2)</f>
        <v xml:space="preserve">L </v>
      </c>
      <c r="R322" s="95"/>
      <c r="S322" s="87">
        <v>40</v>
      </c>
      <c r="T322" s="87" t="s">
        <v>2</v>
      </c>
      <c r="U322" s="88">
        <f>IF(S322&gt;0,IF(RIGHT(Ruimtestaat[[#This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22" s="88">
        <f>IF(U322&gt;0,VLOOKUP($K322,Ruimtegroepen[],3,FALSE)*VLOOKUP($M322,Vloersoorten[],3,FALSE)*VLOOKUP($T322,Frequenties[],3,FALSE)*VLOOKUP($A322,Locaties[],3,FALSE),0)</f>
        <v>0</v>
      </c>
      <c r="W322" s="89">
        <f>Ruimtestaat[[#This Row],[Uitvoeringen werkdagen]]*Ruimtestaat[[#This Row],[Oppervlak (netto)]]</f>
        <v>11300</v>
      </c>
      <c r="X322" s="90">
        <f>IF(V322&gt;0,Ruimtestaat[[#This Row],[Prest. (m2 /jaar) werkdagen]]/Ruimtestaat[[#This Row],[Norm (m2/uur) werkdagen]],0)</f>
        <v>0</v>
      </c>
      <c r="Y322" s="91">
        <f>Ruimtestaat[[#This Row],[uren / jaar werkdagen]]*Tariefsopbouw!$E$35</f>
        <v>0</v>
      </c>
      <c r="Z322" s="88"/>
      <c r="AA322" s="92">
        <f>IF(Ruimtestaat[[#This Row],[Frequentie weekend]]&gt;0,VALUE(LEFT(Z322,1))*S322,0)</f>
        <v>0</v>
      </c>
      <c r="AB322" s="88">
        <f>IF($AA322&gt;0,VLOOKUP($K322,Ruimtegroepen[],3,FALSE)*VLOOKUP($M322,Vloersoorten[],3,FALSE)*VLOOKUP($Z322,Frequenties[],3,FALSE)*VLOOKUP(#REF!,Locaties[],3,FALSE),0)</f>
        <v>0</v>
      </c>
      <c r="AC322" s="90">
        <f>Ruimtestaat[[#This Row],[Uitvoeringen weekend]]*Ruimtestaat[[#This Row],[Oppervlak (netto)]]</f>
        <v>0</v>
      </c>
      <c r="AD322" s="93">
        <f>IF(AC322&gt;0,Ruimtestaat[[#This Row],[Prest. (m2 /jaar) weekend]]/Ruimtestaat[[#This Row],[Norm (m2/uur) weekend]],0)</f>
        <v>0</v>
      </c>
      <c r="AE322" s="94">
        <f>Ruimtestaat[[#This Row],[uren / jaar weekend]]*Tariefsopbouw!$D$40</f>
        <v>0</v>
      </c>
      <c r="AF322" s="66">
        <f>Ruimtestaat[[#This Row],[Prest. (m2 /jaar) weekend]]+Ruimtestaat[[#This Row],[Prest. (m2 /jaar) werkdagen]]</f>
        <v>11300</v>
      </c>
      <c r="AG322" s="66">
        <f>Ruimtestaat[[#This Row],[uren / jaar weekend]]+Ruimtestaat[[#This Row],[uren / jaar werkdagen]]</f>
        <v>0</v>
      </c>
      <c r="AH322" s="67">
        <f>Ruimtestaat[[#This Row],[kosten / jaar weekend]]+Ruimtestaat[[#This Row],[kosten / jaar werkdagen]]</f>
        <v>0</v>
      </c>
    </row>
    <row r="323" spans="1:34" ht="15" customHeight="1">
      <c r="A323" s="112">
        <v>2</v>
      </c>
      <c r="B323" s="23" t="str">
        <f>VLOOKUP(Ruimtestaat[[#This Row],[Code]],Locaties[#All],2,FALSE)</f>
        <v>RSG Slingerbos</v>
      </c>
      <c r="C323" s="23" t="str">
        <f>VLOOKUP(Ruimtestaat[[#This Row],[Code]],Locaties[#All],4,FALSE)</f>
        <v>Eisenhowerlaan 59</v>
      </c>
      <c r="D323" s="23" t="str">
        <f>VLOOKUP(Ruimtestaat[[#This Row],[Code]],Locaties[#All],5,FALSE)</f>
        <v>3844 AS</v>
      </c>
      <c r="E323" s="23" t="str">
        <f>VLOOKUP(Ruimtestaat[[#This Row],[Code]],Locaties[#All],6,FALSE)</f>
        <v>Harderwijk</v>
      </c>
      <c r="F323" s="23"/>
      <c r="G323" s="60" t="s">
        <v>997</v>
      </c>
      <c r="H323" s="23" t="s">
        <v>837</v>
      </c>
      <c r="I323" s="23">
        <v>128</v>
      </c>
      <c r="J323" s="3" t="s">
        <v>1043</v>
      </c>
      <c r="K323" s="23">
        <v>16</v>
      </c>
      <c r="L323" s="60" t="str">
        <f>VLOOKUP(K323,Ruimtegroepen[],2,FALSE)</f>
        <v>Leslokalen theorie</v>
      </c>
      <c r="M323" s="23" t="s">
        <v>112</v>
      </c>
      <c r="N323" s="23" t="s">
        <v>1090</v>
      </c>
      <c r="O323" s="86">
        <v>56.9</v>
      </c>
      <c r="P323" s="86"/>
      <c r="Q323" s="95" t="str">
        <f>LEFT(VLOOKUP(Ruimtestaat[[#This Row],[Ruimte code]],Ruimtegroepen[#All],4,1),2)</f>
        <v xml:space="preserve">L </v>
      </c>
      <c r="R323" s="95"/>
      <c r="S323" s="87">
        <v>40</v>
      </c>
      <c r="T323" s="87" t="s">
        <v>2</v>
      </c>
      <c r="U323" s="88">
        <f>IF(S323&gt;0,IF(RIGHT(Ruimtestaat[[#This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23" s="88">
        <f>IF(U323&gt;0,VLOOKUP($K323,Ruimtegroepen[],3,FALSE)*VLOOKUP($M323,Vloersoorten[],3,FALSE)*VLOOKUP($T323,Frequenties[],3,FALSE)*VLOOKUP($A323,Locaties[],3,FALSE),0)</f>
        <v>0</v>
      </c>
      <c r="W323" s="89">
        <f>Ruimtestaat[[#This Row],[Uitvoeringen werkdagen]]*Ruimtestaat[[#This Row],[Oppervlak (netto)]]</f>
        <v>11380</v>
      </c>
      <c r="X323" s="90">
        <f>IF(V323&gt;0,Ruimtestaat[[#This Row],[Prest. (m2 /jaar) werkdagen]]/Ruimtestaat[[#This Row],[Norm (m2/uur) werkdagen]],0)</f>
        <v>0</v>
      </c>
      <c r="Y323" s="91">
        <f>Ruimtestaat[[#This Row],[uren / jaar werkdagen]]*Tariefsopbouw!$E$35</f>
        <v>0</v>
      </c>
      <c r="Z323" s="88"/>
      <c r="AA323" s="92">
        <f>IF(Ruimtestaat[[#This Row],[Frequentie weekend]]&gt;0,VALUE(LEFT(Z323,1))*S323,0)</f>
        <v>0</v>
      </c>
      <c r="AB323" s="88">
        <f>IF($AA323&gt;0,VLOOKUP($K323,Ruimtegroepen[],3,FALSE)*VLOOKUP($M323,Vloersoorten[],3,FALSE)*VLOOKUP($Z323,Frequenties[],3,FALSE)*VLOOKUP(#REF!,Locaties[],3,FALSE),0)</f>
        <v>0</v>
      </c>
      <c r="AC323" s="90">
        <f>Ruimtestaat[[#This Row],[Uitvoeringen weekend]]*Ruimtestaat[[#This Row],[Oppervlak (netto)]]</f>
        <v>0</v>
      </c>
      <c r="AD323" s="93">
        <f>IF(AC323&gt;0,Ruimtestaat[[#This Row],[Prest. (m2 /jaar) weekend]]/Ruimtestaat[[#This Row],[Norm (m2/uur) weekend]],0)</f>
        <v>0</v>
      </c>
      <c r="AE323" s="94">
        <f>Ruimtestaat[[#This Row],[uren / jaar weekend]]*Tariefsopbouw!$D$40</f>
        <v>0</v>
      </c>
      <c r="AF323" s="66">
        <f>Ruimtestaat[[#This Row],[Prest. (m2 /jaar) weekend]]+Ruimtestaat[[#This Row],[Prest. (m2 /jaar) werkdagen]]</f>
        <v>11380</v>
      </c>
      <c r="AG323" s="66">
        <f>Ruimtestaat[[#This Row],[uren / jaar weekend]]+Ruimtestaat[[#This Row],[uren / jaar werkdagen]]</f>
        <v>0</v>
      </c>
      <c r="AH323" s="67">
        <f>Ruimtestaat[[#This Row],[kosten / jaar weekend]]+Ruimtestaat[[#This Row],[kosten / jaar werkdagen]]</f>
        <v>0</v>
      </c>
    </row>
    <row r="324" spans="1:34" ht="15" customHeight="1">
      <c r="A324" s="112">
        <v>2</v>
      </c>
      <c r="B324" s="23" t="str">
        <f>VLOOKUP(Ruimtestaat[[#This Row],[Code]],Locaties[#All],2,FALSE)</f>
        <v>RSG Slingerbos</v>
      </c>
      <c r="C324" s="23" t="str">
        <f>VLOOKUP(Ruimtestaat[[#This Row],[Code]],Locaties[#All],4,FALSE)</f>
        <v>Eisenhowerlaan 59</v>
      </c>
      <c r="D324" s="23" t="str">
        <f>VLOOKUP(Ruimtestaat[[#This Row],[Code]],Locaties[#All],5,FALSE)</f>
        <v>3844 AS</v>
      </c>
      <c r="E324" s="23" t="str">
        <f>VLOOKUP(Ruimtestaat[[#This Row],[Code]],Locaties[#All],6,FALSE)</f>
        <v>Harderwijk</v>
      </c>
      <c r="F324" s="23"/>
      <c r="G324" s="60" t="s">
        <v>998</v>
      </c>
      <c r="H324" s="23" t="s">
        <v>837</v>
      </c>
      <c r="I324" s="23">
        <v>127</v>
      </c>
      <c r="J324" s="3" t="s">
        <v>1043</v>
      </c>
      <c r="K324" s="23">
        <v>16</v>
      </c>
      <c r="L324" s="60" t="str">
        <f>VLOOKUP(K324,Ruimtegroepen[],2,FALSE)</f>
        <v>Leslokalen theorie</v>
      </c>
      <c r="M324" s="23" t="s">
        <v>112</v>
      </c>
      <c r="N324" s="23" t="s">
        <v>1090</v>
      </c>
      <c r="O324" s="86">
        <v>56.9</v>
      </c>
      <c r="P324" s="86"/>
      <c r="Q324" s="95" t="str">
        <f>LEFT(VLOOKUP(Ruimtestaat[[#This Row],[Ruimte code]],Ruimtegroepen[#All],4,1),2)</f>
        <v xml:space="preserve">L </v>
      </c>
      <c r="R324" s="95"/>
      <c r="S324" s="87">
        <v>40</v>
      </c>
      <c r="T324" s="87" t="s">
        <v>2</v>
      </c>
      <c r="U324" s="88">
        <f>IF(S324&gt;0,IF(RIGHT(Ruimtestaat[[#This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24" s="88">
        <f>IF(U324&gt;0,VLOOKUP($K324,Ruimtegroepen[],3,FALSE)*VLOOKUP($M324,Vloersoorten[],3,FALSE)*VLOOKUP($T324,Frequenties[],3,FALSE)*VLOOKUP($A324,Locaties[],3,FALSE),0)</f>
        <v>0</v>
      </c>
      <c r="W324" s="89">
        <f>Ruimtestaat[[#This Row],[Uitvoeringen werkdagen]]*Ruimtestaat[[#This Row],[Oppervlak (netto)]]</f>
        <v>11380</v>
      </c>
      <c r="X324" s="90">
        <f>IF(V324&gt;0,Ruimtestaat[[#This Row],[Prest. (m2 /jaar) werkdagen]]/Ruimtestaat[[#This Row],[Norm (m2/uur) werkdagen]],0)</f>
        <v>0</v>
      </c>
      <c r="Y324" s="91">
        <f>Ruimtestaat[[#This Row],[uren / jaar werkdagen]]*Tariefsopbouw!$E$35</f>
        <v>0</v>
      </c>
      <c r="Z324" s="88"/>
      <c r="AA324" s="92">
        <f>IF(Ruimtestaat[[#This Row],[Frequentie weekend]]&gt;0,VALUE(LEFT(Z324,1))*S324,0)</f>
        <v>0</v>
      </c>
      <c r="AB324" s="88">
        <f>IF($AA324&gt;0,VLOOKUP($K324,Ruimtegroepen[],3,FALSE)*VLOOKUP($M324,Vloersoorten[],3,FALSE)*VLOOKUP($Z324,Frequenties[],3,FALSE)*VLOOKUP(#REF!,Locaties[],3,FALSE),0)</f>
        <v>0</v>
      </c>
      <c r="AC324" s="90">
        <f>Ruimtestaat[[#This Row],[Uitvoeringen weekend]]*Ruimtestaat[[#This Row],[Oppervlak (netto)]]</f>
        <v>0</v>
      </c>
      <c r="AD324" s="93">
        <f>IF(AC324&gt;0,Ruimtestaat[[#This Row],[Prest. (m2 /jaar) weekend]]/Ruimtestaat[[#This Row],[Norm (m2/uur) weekend]],0)</f>
        <v>0</v>
      </c>
      <c r="AE324" s="94">
        <f>Ruimtestaat[[#This Row],[uren / jaar weekend]]*Tariefsopbouw!$D$40</f>
        <v>0</v>
      </c>
      <c r="AF324" s="66">
        <f>Ruimtestaat[[#This Row],[Prest. (m2 /jaar) weekend]]+Ruimtestaat[[#This Row],[Prest. (m2 /jaar) werkdagen]]</f>
        <v>11380</v>
      </c>
      <c r="AG324" s="66">
        <f>Ruimtestaat[[#This Row],[uren / jaar weekend]]+Ruimtestaat[[#This Row],[uren / jaar werkdagen]]</f>
        <v>0</v>
      </c>
      <c r="AH324" s="67">
        <f>Ruimtestaat[[#This Row],[kosten / jaar weekend]]+Ruimtestaat[[#This Row],[kosten / jaar werkdagen]]</f>
        <v>0</v>
      </c>
    </row>
    <row r="325" spans="1:34" ht="15" customHeight="1">
      <c r="A325" s="112">
        <v>2</v>
      </c>
      <c r="B325" s="23" t="str">
        <f>VLOOKUP(Ruimtestaat[[#This Row],[Code]],Locaties[#All],2,FALSE)</f>
        <v>RSG Slingerbos</v>
      </c>
      <c r="C325" s="23" t="str">
        <f>VLOOKUP(Ruimtestaat[[#This Row],[Code]],Locaties[#All],4,FALSE)</f>
        <v>Eisenhowerlaan 59</v>
      </c>
      <c r="D325" s="23" t="str">
        <f>VLOOKUP(Ruimtestaat[[#This Row],[Code]],Locaties[#All],5,FALSE)</f>
        <v>3844 AS</v>
      </c>
      <c r="E325" s="23" t="str">
        <f>VLOOKUP(Ruimtestaat[[#This Row],[Code]],Locaties[#All],6,FALSE)</f>
        <v>Harderwijk</v>
      </c>
      <c r="F325" s="23"/>
      <c r="G325" s="60" t="s">
        <v>999</v>
      </c>
      <c r="H325" s="23" t="s">
        <v>837</v>
      </c>
      <c r="I325" s="23">
        <v>126</v>
      </c>
      <c r="J325" s="3" t="s">
        <v>1043</v>
      </c>
      <c r="K325" s="23">
        <v>16</v>
      </c>
      <c r="L325" s="60" t="str">
        <f>VLOOKUP(K325,Ruimtegroepen[],2,FALSE)</f>
        <v>Leslokalen theorie</v>
      </c>
      <c r="M325" s="23" t="s">
        <v>112</v>
      </c>
      <c r="N325" s="23" t="s">
        <v>1090</v>
      </c>
      <c r="O325" s="86">
        <v>56.5</v>
      </c>
      <c r="P325" s="86"/>
      <c r="Q325" s="95" t="str">
        <f>LEFT(VLOOKUP(Ruimtestaat[[#This Row],[Ruimte code]],Ruimtegroepen[#All],4,1),2)</f>
        <v xml:space="preserve">L </v>
      </c>
      <c r="R325" s="95"/>
      <c r="S325" s="87">
        <v>40</v>
      </c>
      <c r="T325" s="87" t="s">
        <v>2</v>
      </c>
      <c r="U325" s="88">
        <f>IF(S325&gt;0,IF(RIGHT(Ruimtestaat[[#This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25" s="88">
        <f>IF(U325&gt;0,VLOOKUP($K325,Ruimtegroepen[],3,FALSE)*VLOOKUP($M325,Vloersoorten[],3,FALSE)*VLOOKUP($T325,Frequenties[],3,FALSE)*VLOOKUP($A325,Locaties[],3,FALSE),0)</f>
        <v>0</v>
      </c>
      <c r="W325" s="89">
        <f>Ruimtestaat[[#This Row],[Uitvoeringen werkdagen]]*Ruimtestaat[[#This Row],[Oppervlak (netto)]]</f>
        <v>11300</v>
      </c>
      <c r="X325" s="90">
        <f>IF(V325&gt;0,Ruimtestaat[[#This Row],[Prest. (m2 /jaar) werkdagen]]/Ruimtestaat[[#This Row],[Norm (m2/uur) werkdagen]],0)</f>
        <v>0</v>
      </c>
      <c r="Y325" s="91">
        <f>Ruimtestaat[[#This Row],[uren / jaar werkdagen]]*Tariefsopbouw!$E$35</f>
        <v>0</v>
      </c>
      <c r="Z325" s="88"/>
      <c r="AA325" s="92">
        <f>IF(Ruimtestaat[[#This Row],[Frequentie weekend]]&gt;0,VALUE(LEFT(Z325,1))*S325,0)</f>
        <v>0</v>
      </c>
      <c r="AB325" s="88">
        <f>IF($AA325&gt;0,VLOOKUP($K325,Ruimtegroepen[],3,FALSE)*VLOOKUP($M325,Vloersoorten[],3,FALSE)*VLOOKUP($Z325,Frequenties[],3,FALSE)*VLOOKUP(#REF!,Locaties[],3,FALSE),0)</f>
        <v>0</v>
      </c>
      <c r="AC325" s="90">
        <f>Ruimtestaat[[#This Row],[Uitvoeringen weekend]]*Ruimtestaat[[#This Row],[Oppervlak (netto)]]</f>
        <v>0</v>
      </c>
      <c r="AD325" s="93">
        <f>IF(AC325&gt;0,Ruimtestaat[[#This Row],[Prest. (m2 /jaar) weekend]]/Ruimtestaat[[#This Row],[Norm (m2/uur) weekend]],0)</f>
        <v>0</v>
      </c>
      <c r="AE325" s="94">
        <f>Ruimtestaat[[#This Row],[uren / jaar weekend]]*Tariefsopbouw!$D$40</f>
        <v>0</v>
      </c>
      <c r="AF325" s="66">
        <f>Ruimtestaat[[#This Row],[Prest. (m2 /jaar) weekend]]+Ruimtestaat[[#This Row],[Prest. (m2 /jaar) werkdagen]]</f>
        <v>11300</v>
      </c>
      <c r="AG325" s="66">
        <f>Ruimtestaat[[#This Row],[uren / jaar weekend]]+Ruimtestaat[[#This Row],[uren / jaar werkdagen]]</f>
        <v>0</v>
      </c>
      <c r="AH325" s="67">
        <f>Ruimtestaat[[#This Row],[kosten / jaar weekend]]+Ruimtestaat[[#This Row],[kosten / jaar werkdagen]]</f>
        <v>0</v>
      </c>
    </row>
    <row r="326" spans="1:34" ht="15" customHeight="1">
      <c r="A326" s="112">
        <v>2</v>
      </c>
      <c r="B326" s="23" t="str">
        <f>VLOOKUP(Ruimtestaat[[#This Row],[Code]],Locaties[#All],2,FALSE)</f>
        <v>RSG Slingerbos</v>
      </c>
      <c r="C326" s="23" t="str">
        <f>VLOOKUP(Ruimtestaat[[#This Row],[Code]],Locaties[#All],4,FALSE)</f>
        <v>Eisenhowerlaan 59</v>
      </c>
      <c r="D326" s="23" t="str">
        <f>VLOOKUP(Ruimtestaat[[#This Row],[Code]],Locaties[#All],5,FALSE)</f>
        <v>3844 AS</v>
      </c>
      <c r="E326" s="23" t="str">
        <f>VLOOKUP(Ruimtestaat[[#This Row],[Code]],Locaties[#All],6,FALSE)</f>
        <v>Harderwijk</v>
      </c>
      <c r="F326" s="23"/>
      <c r="G326" s="60" t="s">
        <v>1000</v>
      </c>
      <c r="H326" s="23" t="s">
        <v>837</v>
      </c>
      <c r="I326" s="23">
        <v>125</v>
      </c>
      <c r="J326" s="3" t="s">
        <v>1043</v>
      </c>
      <c r="K326" s="23">
        <v>16</v>
      </c>
      <c r="L326" s="60" t="str">
        <f>VLOOKUP(K326,Ruimtegroepen[],2,FALSE)</f>
        <v>Leslokalen theorie</v>
      </c>
      <c r="M326" s="23" t="s">
        <v>112</v>
      </c>
      <c r="N326" s="23" t="s">
        <v>1090</v>
      </c>
      <c r="O326" s="86">
        <v>60.6</v>
      </c>
      <c r="P326" s="86"/>
      <c r="Q326" s="95" t="str">
        <f>LEFT(VLOOKUP(Ruimtestaat[[#This Row],[Ruimte code]],Ruimtegroepen[#All],4,1),2)</f>
        <v xml:space="preserve">L </v>
      </c>
      <c r="R326" s="95"/>
      <c r="S326" s="87">
        <v>40</v>
      </c>
      <c r="T326" s="87" t="s">
        <v>2</v>
      </c>
      <c r="U326" s="88">
        <f>IF(S326&gt;0,IF(RIGHT(Ruimtestaat[[#This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26" s="88">
        <f>IF(U326&gt;0,VLOOKUP($K326,Ruimtegroepen[],3,FALSE)*VLOOKUP($M326,Vloersoorten[],3,FALSE)*VLOOKUP($T326,Frequenties[],3,FALSE)*VLOOKUP($A326,Locaties[],3,FALSE),0)</f>
        <v>0</v>
      </c>
      <c r="W326" s="89">
        <f>Ruimtestaat[[#This Row],[Uitvoeringen werkdagen]]*Ruimtestaat[[#This Row],[Oppervlak (netto)]]</f>
        <v>12120</v>
      </c>
      <c r="X326" s="90">
        <f>IF(V326&gt;0,Ruimtestaat[[#This Row],[Prest. (m2 /jaar) werkdagen]]/Ruimtestaat[[#This Row],[Norm (m2/uur) werkdagen]],0)</f>
        <v>0</v>
      </c>
      <c r="Y326" s="91">
        <f>Ruimtestaat[[#This Row],[uren / jaar werkdagen]]*Tariefsopbouw!$E$35</f>
        <v>0</v>
      </c>
      <c r="Z326" s="88"/>
      <c r="AA326" s="92">
        <f>IF(Ruimtestaat[[#This Row],[Frequentie weekend]]&gt;0,VALUE(LEFT(Z326,1))*S326,0)</f>
        <v>0</v>
      </c>
      <c r="AB326" s="88">
        <f>IF($AA326&gt;0,VLOOKUP($K326,Ruimtegroepen[],3,FALSE)*VLOOKUP($M326,Vloersoorten[],3,FALSE)*VLOOKUP($Z326,Frequenties[],3,FALSE)*VLOOKUP(#REF!,Locaties[],3,FALSE),0)</f>
        <v>0</v>
      </c>
      <c r="AC326" s="90">
        <f>Ruimtestaat[[#This Row],[Uitvoeringen weekend]]*Ruimtestaat[[#This Row],[Oppervlak (netto)]]</f>
        <v>0</v>
      </c>
      <c r="AD326" s="93">
        <f>IF(AC326&gt;0,Ruimtestaat[[#This Row],[Prest. (m2 /jaar) weekend]]/Ruimtestaat[[#This Row],[Norm (m2/uur) weekend]],0)</f>
        <v>0</v>
      </c>
      <c r="AE326" s="94">
        <f>Ruimtestaat[[#This Row],[uren / jaar weekend]]*Tariefsopbouw!$D$40</f>
        <v>0</v>
      </c>
      <c r="AF326" s="66">
        <f>Ruimtestaat[[#This Row],[Prest. (m2 /jaar) weekend]]+Ruimtestaat[[#This Row],[Prest. (m2 /jaar) werkdagen]]</f>
        <v>12120</v>
      </c>
      <c r="AG326" s="66">
        <f>Ruimtestaat[[#This Row],[uren / jaar weekend]]+Ruimtestaat[[#This Row],[uren / jaar werkdagen]]</f>
        <v>0</v>
      </c>
      <c r="AH326" s="67">
        <f>Ruimtestaat[[#This Row],[kosten / jaar weekend]]+Ruimtestaat[[#This Row],[kosten / jaar werkdagen]]</f>
        <v>0</v>
      </c>
    </row>
    <row r="327" spans="1:34" ht="15" customHeight="1">
      <c r="A327" s="112">
        <v>2</v>
      </c>
      <c r="B327" s="23" t="str">
        <f>VLOOKUP(Ruimtestaat[[#This Row],[Code]],Locaties[#All],2,FALSE)</f>
        <v>RSG Slingerbos</v>
      </c>
      <c r="C327" s="23" t="str">
        <f>VLOOKUP(Ruimtestaat[[#This Row],[Code]],Locaties[#All],4,FALSE)</f>
        <v>Eisenhowerlaan 59</v>
      </c>
      <c r="D327" s="23" t="str">
        <f>VLOOKUP(Ruimtestaat[[#This Row],[Code]],Locaties[#All],5,FALSE)</f>
        <v>3844 AS</v>
      </c>
      <c r="E327" s="23" t="str">
        <f>VLOOKUP(Ruimtestaat[[#This Row],[Code]],Locaties[#All],6,FALSE)</f>
        <v>Harderwijk</v>
      </c>
      <c r="F327" s="23"/>
      <c r="G327" s="60" t="s">
        <v>1001</v>
      </c>
      <c r="H327" s="23" t="s">
        <v>837</v>
      </c>
      <c r="I327" s="23">
        <v>123</v>
      </c>
      <c r="J327" s="3" t="s">
        <v>1043</v>
      </c>
      <c r="K327" s="23">
        <v>16</v>
      </c>
      <c r="L327" s="60" t="str">
        <f>VLOOKUP(K327,Ruimtegroepen[],2,FALSE)</f>
        <v>Leslokalen theorie</v>
      </c>
      <c r="M327" s="23" t="s">
        <v>112</v>
      </c>
      <c r="N327" s="23" t="s">
        <v>1090</v>
      </c>
      <c r="O327" s="86">
        <v>62.7</v>
      </c>
      <c r="P327" s="86"/>
      <c r="Q327" s="95" t="str">
        <f>LEFT(VLOOKUP(Ruimtestaat[[#This Row],[Ruimte code]],Ruimtegroepen[#All],4,1),2)</f>
        <v xml:space="preserve">L </v>
      </c>
      <c r="R327" s="95"/>
      <c r="S327" s="87">
        <v>40</v>
      </c>
      <c r="T327" s="87" t="s">
        <v>2</v>
      </c>
      <c r="U327" s="88">
        <f>IF(S327&gt;0,IF(RIGHT(Ruimtestaat[[#This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27" s="88">
        <f>IF(U327&gt;0,VLOOKUP($K327,Ruimtegroepen[],3,FALSE)*VLOOKUP($M327,Vloersoorten[],3,FALSE)*VLOOKUP($T327,Frequenties[],3,FALSE)*VLOOKUP($A327,Locaties[],3,FALSE),0)</f>
        <v>0</v>
      </c>
      <c r="W327" s="89">
        <f>Ruimtestaat[[#This Row],[Uitvoeringen werkdagen]]*Ruimtestaat[[#This Row],[Oppervlak (netto)]]</f>
        <v>12540</v>
      </c>
      <c r="X327" s="90">
        <f>IF(V327&gt;0,Ruimtestaat[[#This Row],[Prest. (m2 /jaar) werkdagen]]/Ruimtestaat[[#This Row],[Norm (m2/uur) werkdagen]],0)</f>
        <v>0</v>
      </c>
      <c r="Y327" s="91">
        <f>Ruimtestaat[[#This Row],[uren / jaar werkdagen]]*Tariefsopbouw!$E$35</f>
        <v>0</v>
      </c>
      <c r="Z327" s="88"/>
      <c r="AA327" s="92">
        <f>IF(Ruimtestaat[[#This Row],[Frequentie weekend]]&gt;0,VALUE(LEFT(Z327,1))*S327,0)</f>
        <v>0</v>
      </c>
      <c r="AB327" s="88">
        <f>IF($AA327&gt;0,VLOOKUP($K327,Ruimtegroepen[],3,FALSE)*VLOOKUP($M327,Vloersoorten[],3,FALSE)*VLOOKUP($Z327,Frequenties[],3,FALSE)*VLOOKUP(#REF!,Locaties[],3,FALSE),0)</f>
        <v>0</v>
      </c>
      <c r="AC327" s="90">
        <f>Ruimtestaat[[#This Row],[Uitvoeringen weekend]]*Ruimtestaat[[#This Row],[Oppervlak (netto)]]</f>
        <v>0</v>
      </c>
      <c r="AD327" s="93">
        <f>IF(AC327&gt;0,Ruimtestaat[[#This Row],[Prest. (m2 /jaar) weekend]]/Ruimtestaat[[#This Row],[Norm (m2/uur) weekend]],0)</f>
        <v>0</v>
      </c>
      <c r="AE327" s="94">
        <f>Ruimtestaat[[#This Row],[uren / jaar weekend]]*Tariefsopbouw!$D$40</f>
        <v>0</v>
      </c>
      <c r="AF327" s="66">
        <f>Ruimtestaat[[#This Row],[Prest. (m2 /jaar) weekend]]+Ruimtestaat[[#This Row],[Prest. (m2 /jaar) werkdagen]]</f>
        <v>12540</v>
      </c>
      <c r="AG327" s="66">
        <f>Ruimtestaat[[#This Row],[uren / jaar weekend]]+Ruimtestaat[[#This Row],[uren / jaar werkdagen]]</f>
        <v>0</v>
      </c>
      <c r="AH327" s="67">
        <f>Ruimtestaat[[#This Row],[kosten / jaar weekend]]+Ruimtestaat[[#This Row],[kosten / jaar werkdagen]]</f>
        <v>0</v>
      </c>
    </row>
    <row r="328" spans="1:34" ht="15" customHeight="1">
      <c r="A328" s="112">
        <v>2</v>
      </c>
      <c r="B328" s="23" t="str">
        <f>VLOOKUP(Ruimtestaat[[#This Row],[Code]],Locaties[#All],2,FALSE)</f>
        <v>RSG Slingerbos</v>
      </c>
      <c r="C328" s="23" t="str">
        <f>VLOOKUP(Ruimtestaat[[#This Row],[Code]],Locaties[#All],4,FALSE)</f>
        <v>Eisenhowerlaan 59</v>
      </c>
      <c r="D328" s="23" t="str">
        <f>VLOOKUP(Ruimtestaat[[#This Row],[Code]],Locaties[#All],5,FALSE)</f>
        <v>3844 AS</v>
      </c>
      <c r="E328" s="23" t="str">
        <f>VLOOKUP(Ruimtestaat[[#This Row],[Code]],Locaties[#All],6,FALSE)</f>
        <v>Harderwijk</v>
      </c>
      <c r="F328" s="23"/>
      <c r="G328" s="60" t="s">
        <v>1002</v>
      </c>
      <c r="H328" s="23" t="s">
        <v>837</v>
      </c>
      <c r="I328" s="23">
        <v>124</v>
      </c>
      <c r="J328" s="3" t="s">
        <v>1043</v>
      </c>
      <c r="K328" s="23">
        <v>16</v>
      </c>
      <c r="L328" s="60" t="str">
        <f>VLOOKUP(K328,Ruimtegroepen[],2,FALSE)</f>
        <v>Leslokalen theorie</v>
      </c>
      <c r="M328" s="23" t="s">
        <v>112</v>
      </c>
      <c r="N328" s="23" t="s">
        <v>1090</v>
      </c>
      <c r="O328" s="86">
        <v>70.599999999999994</v>
      </c>
      <c r="P328" s="86"/>
      <c r="Q328" s="95" t="str">
        <f>LEFT(VLOOKUP(Ruimtestaat[[#This Row],[Ruimte code]],Ruimtegroepen[#All],4,1),2)</f>
        <v xml:space="preserve">L </v>
      </c>
      <c r="R328" s="95"/>
      <c r="S328" s="87">
        <v>40</v>
      </c>
      <c r="T328" s="87" t="s">
        <v>2</v>
      </c>
      <c r="U328" s="88">
        <f>IF(S328&gt;0,IF(RIGHT(Ruimtestaat[[#This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28" s="88">
        <f>IF(U328&gt;0,VLOOKUP($K328,Ruimtegroepen[],3,FALSE)*VLOOKUP($M328,Vloersoorten[],3,FALSE)*VLOOKUP($T328,Frequenties[],3,FALSE)*VLOOKUP($A328,Locaties[],3,FALSE),0)</f>
        <v>0</v>
      </c>
      <c r="W328" s="89">
        <f>Ruimtestaat[[#This Row],[Uitvoeringen werkdagen]]*Ruimtestaat[[#This Row],[Oppervlak (netto)]]</f>
        <v>14119.999999999998</v>
      </c>
      <c r="X328" s="90">
        <f>IF(V328&gt;0,Ruimtestaat[[#This Row],[Prest. (m2 /jaar) werkdagen]]/Ruimtestaat[[#This Row],[Norm (m2/uur) werkdagen]],0)</f>
        <v>0</v>
      </c>
      <c r="Y328" s="91">
        <f>Ruimtestaat[[#This Row],[uren / jaar werkdagen]]*Tariefsopbouw!$E$35</f>
        <v>0</v>
      </c>
      <c r="Z328" s="88"/>
      <c r="AA328" s="92">
        <f>IF(Ruimtestaat[[#This Row],[Frequentie weekend]]&gt;0,VALUE(LEFT(Z328,1))*S328,0)</f>
        <v>0</v>
      </c>
      <c r="AB328" s="88">
        <f>IF($AA328&gt;0,VLOOKUP($K328,Ruimtegroepen[],3,FALSE)*VLOOKUP($M328,Vloersoorten[],3,FALSE)*VLOOKUP($Z328,Frequenties[],3,FALSE)*VLOOKUP(#REF!,Locaties[],3,FALSE),0)</f>
        <v>0</v>
      </c>
      <c r="AC328" s="90">
        <f>Ruimtestaat[[#This Row],[Uitvoeringen weekend]]*Ruimtestaat[[#This Row],[Oppervlak (netto)]]</f>
        <v>0</v>
      </c>
      <c r="AD328" s="93">
        <f>IF(AC328&gt;0,Ruimtestaat[[#This Row],[Prest. (m2 /jaar) weekend]]/Ruimtestaat[[#This Row],[Norm (m2/uur) weekend]],0)</f>
        <v>0</v>
      </c>
      <c r="AE328" s="94">
        <f>Ruimtestaat[[#This Row],[uren / jaar weekend]]*Tariefsopbouw!$D$40</f>
        <v>0</v>
      </c>
      <c r="AF328" s="66">
        <f>Ruimtestaat[[#This Row],[Prest. (m2 /jaar) weekend]]+Ruimtestaat[[#This Row],[Prest. (m2 /jaar) werkdagen]]</f>
        <v>14119.999999999998</v>
      </c>
      <c r="AG328" s="66">
        <f>Ruimtestaat[[#This Row],[uren / jaar weekend]]+Ruimtestaat[[#This Row],[uren / jaar werkdagen]]</f>
        <v>0</v>
      </c>
      <c r="AH328" s="67">
        <f>Ruimtestaat[[#This Row],[kosten / jaar weekend]]+Ruimtestaat[[#This Row],[kosten / jaar werkdagen]]</f>
        <v>0</v>
      </c>
    </row>
    <row r="329" spans="1:34" ht="15" customHeight="1">
      <c r="A329" s="112">
        <v>2</v>
      </c>
      <c r="B329" s="23" t="str">
        <f>VLOOKUP(Ruimtestaat[[#This Row],[Code]],Locaties[#All],2,FALSE)</f>
        <v>RSG Slingerbos</v>
      </c>
      <c r="C329" s="23" t="str">
        <f>VLOOKUP(Ruimtestaat[[#This Row],[Code]],Locaties[#All],4,FALSE)</f>
        <v>Eisenhowerlaan 59</v>
      </c>
      <c r="D329" s="23" t="str">
        <f>VLOOKUP(Ruimtestaat[[#This Row],[Code]],Locaties[#All],5,FALSE)</f>
        <v>3844 AS</v>
      </c>
      <c r="E329" s="23" t="str">
        <f>VLOOKUP(Ruimtestaat[[#This Row],[Code]],Locaties[#All],6,FALSE)</f>
        <v>Harderwijk</v>
      </c>
      <c r="F329" s="23"/>
      <c r="G329" s="60" t="s">
        <v>1003</v>
      </c>
      <c r="H329" s="23" t="s">
        <v>837</v>
      </c>
      <c r="I329" s="23">
        <v>122</v>
      </c>
      <c r="J329" s="3" t="s">
        <v>1043</v>
      </c>
      <c r="K329" s="23">
        <v>16</v>
      </c>
      <c r="L329" s="60" t="str">
        <f>VLOOKUP(K329,Ruimtegroepen[],2,FALSE)</f>
        <v>Leslokalen theorie</v>
      </c>
      <c r="M329" s="23" t="s">
        <v>112</v>
      </c>
      <c r="N329" s="23" t="s">
        <v>1090</v>
      </c>
      <c r="O329" s="86">
        <v>73</v>
      </c>
      <c r="P329" s="86"/>
      <c r="Q329" s="95" t="str">
        <f>LEFT(VLOOKUP(Ruimtestaat[[#This Row],[Ruimte code]],Ruimtegroepen[#All],4,1),2)</f>
        <v xml:space="preserve">L </v>
      </c>
      <c r="R329" s="95"/>
      <c r="S329" s="87">
        <v>40</v>
      </c>
      <c r="T329" s="87" t="s">
        <v>2</v>
      </c>
      <c r="U329" s="88">
        <f>IF(S329&gt;0,IF(RIGHT(Ruimtestaat[[#This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29" s="88">
        <f>IF(U329&gt;0,VLOOKUP($K329,Ruimtegroepen[],3,FALSE)*VLOOKUP($M329,Vloersoorten[],3,FALSE)*VLOOKUP($T329,Frequenties[],3,FALSE)*VLOOKUP($A329,Locaties[],3,FALSE),0)</f>
        <v>0</v>
      </c>
      <c r="W329" s="89">
        <f>Ruimtestaat[[#This Row],[Uitvoeringen werkdagen]]*Ruimtestaat[[#This Row],[Oppervlak (netto)]]</f>
        <v>14600</v>
      </c>
      <c r="X329" s="90">
        <f>IF(V329&gt;0,Ruimtestaat[[#This Row],[Prest. (m2 /jaar) werkdagen]]/Ruimtestaat[[#This Row],[Norm (m2/uur) werkdagen]],0)</f>
        <v>0</v>
      </c>
      <c r="Y329" s="91">
        <f>Ruimtestaat[[#This Row],[uren / jaar werkdagen]]*Tariefsopbouw!$E$35</f>
        <v>0</v>
      </c>
      <c r="Z329" s="88"/>
      <c r="AA329" s="92">
        <f>IF(Ruimtestaat[[#This Row],[Frequentie weekend]]&gt;0,VALUE(LEFT(Z329,1))*S329,0)</f>
        <v>0</v>
      </c>
      <c r="AB329" s="88">
        <f>IF($AA329&gt;0,VLOOKUP($K329,Ruimtegroepen[],3,FALSE)*VLOOKUP($M329,Vloersoorten[],3,FALSE)*VLOOKUP($Z329,Frequenties[],3,FALSE)*VLOOKUP(#REF!,Locaties[],3,FALSE),0)</f>
        <v>0</v>
      </c>
      <c r="AC329" s="90">
        <f>Ruimtestaat[[#This Row],[Uitvoeringen weekend]]*Ruimtestaat[[#This Row],[Oppervlak (netto)]]</f>
        <v>0</v>
      </c>
      <c r="AD329" s="93">
        <f>IF(AC329&gt;0,Ruimtestaat[[#This Row],[Prest. (m2 /jaar) weekend]]/Ruimtestaat[[#This Row],[Norm (m2/uur) weekend]],0)</f>
        <v>0</v>
      </c>
      <c r="AE329" s="94">
        <f>Ruimtestaat[[#This Row],[uren / jaar weekend]]*Tariefsopbouw!$D$40</f>
        <v>0</v>
      </c>
      <c r="AF329" s="66">
        <f>Ruimtestaat[[#This Row],[Prest. (m2 /jaar) weekend]]+Ruimtestaat[[#This Row],[Prest. (m2 /jaar) werkdagen]]</f>
        <v>14600</v>
      </c>
      <c r="AG329" s="66">
        <f>Ruimtestaat[[#This Row],[uren / jaar weekend]]+Ruimtestaat[[#This Row],[uren / jaar werkdagen]]</f>
        <v>0</v>
      </c>
      <c r="AH329" s="67">
        <f>Ruimtestaat[[#This Row],[kosten / jaar weekend]]+Ruimtestaat[[#This Row],[kosten / jaar werkdagen]]</f>
        <v>0</v>
      </c>
    </row>
    <row r="330" spans="1:34" ht="15" customHeight="1">
      <c r="A330" s="112">
        <v>2</v>
      </c>
      <c r="B330" s="23" t="str">
        <f>VLOOKUP(Ruimtestaat[[#This Row],[Code]],Locaties[#All],2,FALSE)</f>
        <v>RSG Slingerbos</v>
      </c>
      <c r="C330" s="23" t="str">
        <f>VLOOKUP(Ruimtestaat[[#This Row],[Code]],Locaties[#All],4,FALSE)</f>
        <v>Eisenhowerlaan 59</v>
      </c>
      <c r="D330" s="23" t="str">
        <f>VLOOKUP(Ruimtestaat[[#This Row],[Code]],Locaties[#All],5,FALSE)</f>
        <v>3844 AS</v>
      </c>
      <c r="E330" s="23" t="str">
        <f>VLOOKUP(Ruimtestaat[[#This Row],[Code]],Locaties[#All],6,FALSE)</f>
        <v>Harderwijk</v>
      </c>
      <c r="F330" s="23"/>
      <c r="G330" s="60" t="s">
        <v>1004</v>
      </c>
      <c r="H330" s="23" t="s">
        <v>837</v>
      </c>
      <c r="I330" s="23">
        <v>119</v>
      </c>
      <c r="J330" s="3" t="s">
        <v>1043</v>
      </c>
      <c r="K330" s="23">
        <v>16</v>
      </c>
      <c r="L330" s="60" t="str">
        <f>VLOOKUP(K330,Ruimtegroepen[],2,FALSE)</f>
        <v>Leslokalen theorie</v>
      </c>
      <c r="M330" s="23" t="s">
        <v>112</v>
      </c>
      <c r="N330" s="23" t="s">
        <v>1090</v>
      </c>
      <c r="O330" s="86">
        <v>54.3</v>
      </c>
      <c r="P330" s="86"/>
      <c r="Q330" s="95" t="str">
        <f>LEFT(VLOOKUP(Ruimtestaat[[#This Row],[Ruimte code]],Ruimtegroepen[#All],4,1),2)</f>
        <v xml:space="preserve">L </v>
      </c>
      <c r="R330" s="95"/>
      <c r="S330" s="87">
        <v>40</v>
      </c>
      <c r="T330" s="87" t="s">
        <v>2</v>
      </c>
      <c r="U330" s="88">
        <f>IF(S330&gt;0,IF(RIGHT(Ruimtestaat[[#This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30" s="88">
        <f>IF(U330&gt;0,VLOOKUP($K330,Ruimtegroepen[],3,FALSE)*VLOOKUP($M330,Vloersoorten[],3,FALSE)*VLOOKUP($T330,Frequenties[],3,FALSE)*VLOOKUP($A330,Locaties[],3,FALSE),0)</f>
        <v>0</v>
      </c>
      <c r="W330" s="89">
        <f>Ruimtestaat[[#This Row],[Uitvoeringen werkdagen]]*Ruimtestaat[[#This Row],[Oppervlak (netto)]]</f>
        <v>10860</v>
      </c>
      <c r="X330" s="90">
        <f>IF(V330&gt;0,Ruimtestaat[[#This Row],[Prest. (m2 /jaar) werkdagen]]/Ruimtestaat[[#This Row],[Norm (m2/uur) werkdagen]],0)</f>
        <v>0</v>
      </c>
      <c r="Y330" s="91">
        <f>Ruimtestaat[[#This Row],[uren / jaar werkdagen]]*Tariefsopbouw!$E$35</f>
        <v>0</v>
      </c>
      <c r="Z330" s="88"/>
      <c r="AA330" s="92">
        <f>IF(Ruimtestaat[[#This Row],[Frequentie weekend]]&gt;0,VALUE(LEFT(Z330,1))*S330,0)</f>
        <v>0</v>
      </c>
      <c r="AB330" s="88">
        <f>IF($AA330&gt;0,VLOOKUP($K330,Ruimtegroepen[],3,FALSE)*VLOOKUP($M330,Vloersoorten[],3,FALSE)*VLOOKUP($Z330,Frequenties[],3,FALSE)*VLOOKUP(#REF!,Locaties[],3,FALSE),0)</f>
        <v>0</v>
      </c>
      <c r="AC330" s="90">
        <f>Ruimtestaat[[#This Row],[Uitvoeringen weekend]]*Ruimtestaat[[#This Row],[Oppervlak (netto)]]</f>
        <v>0</v>
      </c>
      <c r="AD330" s="93">
        <f>IF(AC330&gt;0,Ruimtestaat[[#This Row],[Prest. (m2 /jaar) weekend]]/Ruimtestaat[[#This Row],[Norm (m2/uur) weekend]],0)</f>
        <v>0</v>
      </c>
      <c r="AE330" s="94">
        <f>Ruimtestaat[[#This Row],[uren / jaar weekend]]*Tariefsopbouw!$D$40</f>
        <v>0</v>
      </c>
      <c r="AF330" s="66">
        <f>Ruimtestaat[[#This Row],[Prest. (m2 /jaar) weekend]]+Ruimtestaat[[#This Row],[Prest. (m2 /jaar) werkdagen]]</f>
        <v>10860</v>
      </c>
      <c r="AG330" s="66">
        <f>Ruimtestaat[[#This Row],[uren / jaar weekend]]+Ruimtestaat[[#This Row],[uren / jaar werkdagen]]</f>
        <v>0</v>
      </c>
      <c r="AH330" s="67">
        <f>Ruimtestaat[[#This Row],[kosten / jaar weekend]]+Ruimtestaat[[#This Row],[kosten / jaar werkdagen]]</f>
        <v>0</v>
      </c>
    </row>
    <row r="331" spans="1:34" ht="15" customHeight="1">
      <c r="A331" s="112">
        <v>2</v>
      </c>
      <c r="B331" s="23" t="str">
        <f>VLOOKUP(Ruimtestaat[[#This Row],[Code]],Locaties[#All],2,FALSE)</f>
        <v>RSG Slingerbos</v>
      </c>
      <c r="C331" s="23" t="str">
        <f>VLOOKUP(Ruimtestaat[[#This Row],[Code]],Locaties[#All],4,FALSE)</f>
        <v>Eisenhowerlaan 59</v>
      </c>
      <c r="D331" s="23" t="str">
        <f>VLOOKUP(Ruimtestaat[[#This Row],[Code]],Locaties[#All],5,FALSE)</f>
        <v>3844 AS</v>
      </c>
      <c r="E331" s="23" t="str">
        <f>VLOOKUP(Ruimtestaat[[#This Row],[Code]],Locaties[#All],6,FALSE)</f>
        <v>Harderwijk</v>
      </c>
      <c r="F331" s="23"/>
      <c r="G331" s="60" t="s">
        <v>1005</v>
      </c>
      <c r="H331" s="23" t="s">
        <v>837</v>
      </c>
      <c r="I331" s="23">
        <v>120</v>
      </c>
      <c r="J331" s="3" t="s">
        <v>1043</v>
      </c>
      <c r="K331" s="23">
        <v>16</v>
      </c>
      <c r="L331" s="60" t="str">
        <f>VLOOKUP(K331,Ruimtegroepen[],2,FALSE)</f>
        <v>Leslokalen theorie</v>
      </c>
      <c r="M331" s="23" t="s">
        <v>112</v>
      </c>
      <c r="N331" s="23" t="s">
        <v>1090</v>
      </c>
      <c r="O331" s="86">
        <v>54.8</v>
      </c>
      <c r="P331" s="86"/>
      <c r="Q331" s="95" t="str">
        <f>LEFT(VLOOKUP(Ruimtestaat[[#This Row],[Ruimte code]],Ruimtegroepen[#All],4,1),2)</f>
        <v xml:space="preserve">L </v>
      </c>
      <c r="R331" s="95"/>
      <c r="S331" s="87">
        <v>40</v>
      </c>
      <c r="T331" s="87" t="s">
        <v>2</v>
      </c>
      <c r="U331" s="88">
        <f>IF(S331&gt;0,IF(RIGHT(Ruimtestaat[[#This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31" s="88">
        <f>IF(U331&gt;0,VLOOKUP($K331,Ruimtegroepen[],3,FALSE)*VLOOKUP($M331,Vloersoorten[],3,FALSE)*VLOOKUP($T331,Frequenties[],3,FALSE)*VLOOKUP($A331,Locaties[],3,FALSE),0)</f>
        <v>0</v>
      </c>
      <c r="W331" s="89">
        <f>Ruimtestaat[[#This Row],[Uitvoeringen werkdagen]]*Ruimtestaat[[#This Row],[Oppervlak (netto)]]</f>
        <v>10960</v>
      </c>
      <c r="X331" s="90">
        <f>IF(V331&gt;0,Ruimtestaat[[#This Row],[Prest. (m2 /jaar) werkdagen]]/Ruimtestaat[[#This Row],[Norm (m2/uur) werkdagen]],0)</f>
        <v>0</v>
      </c>
      <c r="Y331" s="91">
        <f>Ruimtestaat[[#This Row],[uren / jaar werkdagen]]*Tariefsopbouw!$E$35</f>
        <v>0</v>
      </c>
      <c r="Z331" s="88"/>
      <c r="AA331" s="92">
        <f>IF(Ruimtestaat[[#This Row],[Frequentie weekend]]&gt;0,VALUE(LEFT(Z331,1))*S331,0)</f>
        <v>0</v>
      </c>
      <c r="AB331" s="88">
        <f>IF($AA331&gt;0,VLOOKUP($K331,Ruimtegroepen[],3,FALSE)*VLOOKUP($M331,Vloersoorten[],3,FALSE)*VLOOKUP($Z331,Frequenties[],3,FALSE)*VLOOKUP(#REF!,Locaties[],3,FALSE),0)</f>
        <v>0</v>
      </c>
      <c r="AC331" s="90">
        <f>Ruimtestaat[[#This Row],[Uitvoeringen weekend]]*Ruimtestaat[[#This Row],[Oppervlak (netto)]]</f>
        <v>0</v>
      </c>
      <c r="AD331" s="93">
        <f>IF(AC331&gt;0,Ruimtestaat[[#This Row],[Prest. (m2 /jaar) weekend]]/Ruimtestaat[[#This Row],[Norm (m2/uur) weekend]],0)</f>
        <v>0</v>
      </c>
      <c r="AE331" s="94">
        <f>Ruimtestaat[[#This Row],[uren / jaar weekend]]*Tariefsopbouw!$D$40</f>
        <v>0</v>
      </c>
      <c r="AF331" s="66">
        <f>Ruimtestaat[[#This Row],[Prest. (m2 /jaar) weekend]]+Ruimtestaat[[#This Row],[Prest. (m2 /jaar) werkdagen]]</f>
        <v>10960</v>
      </c>
      <c r="AG331" s="66">
        <f>Ruimtestaat[[#This Row],[uren / jaar weekend]]+Ruimtestaat[[#This Row],[uren / jaar werkdagen]]</f>
        <v>0</v>
      </c>
      <c r="AH331" s="67">
        <f>Ruimtestaat[[#This Row],[kosten / jaar weekend]]+Ruimtestaat[[#This Row],[kosten / jaar werkdagen]]</f>
        <v>0</v>
      </c>
    </row>
    <row r="332" spans="1:34" ht="15" customHeight="1">
      <c r="A332" s="112">
        <v>2</v>
      </c>
      <c r="B332" s="23" t="str">
        <f>VLOOKUP(Ruimtestaat[[#This Row],[Code]],Locaties[#All],2,FALSE)</f>
        <v>RSG Slingerbos</v>
      </c>
      <c r="C332" s="23" t="str">
        <f>VLOOKUP(Ruimtestaat[[#This Row],[Code]],Locaties[#All],4,FALSE)</f>
        <v>Eisenhowerlaan 59</v>
      </c>
      <c r="D332" s="23" t="str">
        <f>VLOOKUP(Ruimtestaat[[#This Row],[Code]],Locaties[#All],5,FALSE)</f>
        <v>3844 AS</v>
      </c>
      <c r="E332" s="23" t="str">
        <f>VLOOKUP(Ruimtestaat[[#This Row],[Code]],Locaties[#All],6,FALSE)</f>
        <v>Harderwijk</v>
      </c>
      <c r="F332" s="23"/>
      <c r="G332" s="60" t="s">
        <v>1006</v>
      </c>
      <c r="H332" s="23" t="s">
        <v>837</v>
      </c>
      <c r="I332" s="23">
        <v>121</v>
      </c>
      <c r="J332" s="3" t="s">
        <v>1043</v>
      </c>
      <c r="K332" s="23">
        <v>16</v>
      </c>
      <c r="L332" s="60" t="str">
        <f>VLOOKUP(K332,Ruimtegroepen[],2,FALSE)</f>
        <v>Leslokalen theorie</v>
      </c>
      <c r="M332" s="23" t="s">
        <v>112</v>
      </c>
      <c r="N332" s="23" t="s">
        <v>1090</v>
      </c>
      <c r="O332" s="86">
        <v>54.9</v>
      </c>
      <c r="P332" s="86"/>
      <c r="Q332" s="95" t="str">
        <f>LEFT(VLOOKUP(Ruimtestaat[[#This Row],[Ruimte code]],Ruimtegroepen[#All],4,1),2)</f>
        <v xml:space="preserve">L </v>
      </c>
      <c r="R332" s="95"/>
      <c r="S332" s="87">
        <v>40</v>
      </c>
      <c r="T332" s="87" t="s">
        <v>2</v>
      </c>
      <c r="U332" s="88">
        <f>IF(S332&gt;0,IF(RIGHT(Ruimtestaat[[#This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32" s="88">
        <f>IF(U332&gt;0,VLOOKUP($K332,Ruimtegroepen[],3,FALSE)*VLOOKUP($M332,Vloersoorten[],3,FALSE)*VLOOKUP($T332,Frequenties[],3,FALSE)*VLOOKUP($A332,Locaties[],3,FALSE),0)</f>
        <v>0</v>
      </c>
      <c r="W332" s="89">
        <f>Ruimtestaat[[#This Row],[Uitvoeringen werkdagen]]*Ruimtestaat[[#This Row],[Oppervlak (netto)]]</f>
        <v>10980</v>
      </c>
      <c r="X332" s="90">
        <f>IF(V332&gt;0,Ruimtestaat[[#This Row],[Prest. (m2 /jaar) werkdagen]]/Ruimtestaat[[#This Row],[Norm (m2/uur) werkdagen]],0)</f>
        <v>0</v>
      </c>
      <c r="Y332" s="91">
        <f>Ruimtestaat[[#This Row],[uren / jaar werkdagen]]*Tariefsopbouw!$E$35</f>
        <v>0</v>
      </c>
      <c r="Z332" s="88"/>
      <c r="AA332" s="92">
        <f>IF(Ruimtestaat[[#This Row],[Frequentie weekend]]&gt;0,VALUE(LEFT(Z332,1))*S332,0)</f>
        <v>0</v>
      </c>
      <c r="AB332" s="88">
        <f>IF($AA332&gt;0,VLOOKUP($K332,Ruimtegroepen[],3,FALSE)*VLOOKUP($M332,Vloersoorten[],3,FALSE)*VLOOKUP($Z332,Frequenties[],3,FALSE)*VLOOKUP(#REF!,Locaties[],3,FALSE),0)</f>
        <v>0</v>
      </c>
      <c r="AC332" s="90">
        <f>Ruimtestaat[[#This Row],[Uitvoeringen weekend]]*Ruimtestaat[[#This Row],[Oppervlak (netto)]]</f>
        <v>0</v>
      </c>
      <c r="AD332" s="93">
        <f>IF(AC332&gt;0,Ruimtestaat[[#This Row],[Prest. (m2 /jaar) weekend]]/Ruimtestaat[[#This Row],[Norm (m2/uur) weekend]],0)</f>
        <v>0</v>
      </c>
      <c r="AE332" s="94">
        <f>Ruimtestaat[[#This Row],[uren / jaar weekend]]*Tariefsopbouw!$D$40</f>
        <v>0</v>
      </c>
      <c r="AF332" s="66">
        <f>Ruimtestaat[[#This Row],[Prest. (m2 /jaar) weekend]]+Ruimtestaat[[#This Row],[Prest. (m2 /jaar) werkdagen]]</f>
        <v>10980</v>
      </c>
      <c r="AG332" s="66">
        <f>Ruimtestaat[[#This Row],[uren / jaar weekend]]+Ruimtestaat[[#This Row],[uren / jaar werkdagen]]</f>
        <v>0</v>
      </c>
      <c r="AH332" s="67">
        <f>Ruimtestaat[[#This Row],[kosten / jaar weekend]]+Ruimtestaat[[#This Row],[kosten / jaar werkdagen]]</f>
        <v>0</v>
      </c>
    </row>
    <row r="333" spans="1:34" ht="15" customHeight="1">
      <c r="A333" s="112">
        <v>2</v>
      </c>
      <c r="B333" s="23" t="str">
        <f>VLOOKUP(Ruimtestaat[[#This Row],[Code]],Locaties[#All],2,FALSE)</f>
        <v>RSG Slingerbos</v>
      </c>
      <c r="C333" s="23" t="str">
        <f>VLOOKUP(Ruimtestaat[[#This Row],[Code]],Locaties[#All],4,FALSE)</f>
        <v>Eisenhowerlaan 59</v>
      </c>
      <c r="D333" s="23" t="str">
        <f>VLOOKUP(Ruimtestaat[[#This Row],[Code]],Locaties[#All],5,FALSE)</f>
        <v>3844 AS</v>
      </c>
      <c r="E333" s="23" t="str">
        <f>VLOOKUP(Ruimtestaat[[#This Row],[Code]],Locaties[#All],6,FALSE)</f>
        <v>Harderwijk</v>
      </c>
      <c r="F333" s="23"/>
      <c r="G333" s="60" t="s">
        <v>1007</v>
      </c>
      <c r="H333" s="23" t="s">
        <v>837</v>
      </c>
      <c r="I333" s="23" t="s">
        <v>814</v>
      </c>
      <c r="J333" s="3" t="s">
        <v>1061</v>
      </c>
      <c r="K333" s="23">
        <v>8</v>
      </c>
      <c r="L333" s="60" t="str">
        <f>VLOOKUP(K333,Ruimtegroepen[],2,FALSE)</f>
        <v>Mediatheek / OLC</v>
      </c>
      <c r="M333" s="23" t="s">
        <v>112</v>
      </c>
      <c r="N333" s="23" t="s">
        <v>1090</v>
      </c>
      <c r="O333" s="86">
        <v>88</v>
      </c>
      <c r="P333" s="86"/>
      <c r="Q333" s="95" t="str">
        <f>LEFT(VLOOKUP(Ruimtestaat[[#This Row],[Ruimte code]],Ruimtegroepen[#All],4,1),2)</f>
        <v xml:space="preserve">L </v>
      </c>
      <c r="R333" s="95"/>
      <c r="S333" s="87">
        <v>40</v>
      </c>
      <c r="T333" s="87" t="s">
        <v>2</v>
      </c>
      <c r="U333" s="88">
        <f>IF(S333&gt;0,IF(RIGHT(Ruimtestaat[[#This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33" s="88">
        <f>IF(U333&gt;0,VLOOKUP($K333,Ruimtegroepen[],3,FALSE)*VLOOKUP($M333,Vloersoorten[],3,FALSE)*VLOOKUP($T333,Frequenties[],3,FALSE)*VLOOKUP($A333,Locaties[],3,FALSE),0)</f>
        <v>0</v>
      </c>
      <c r="W333" s="89">
        <f>Ruimtestaat[[#This Row],[Uitvoeringen werkdagen]]*Ruimtestaat[[#This Row],[Oppervlak (netto)]]</f>
        <v>17600</v>
      </c>
      <c r="X333" s="90">
        <f>IF(V333&gt;0,Ruimtestaat[[#This Row],[Prest. (m2 /jaar) werkdagen]]/Ruimtestaat[[#This Row],[Norm (m2/uur) werkdagen]],0)</f>
        <v>0</v>
      </c>
      <c r="Y333" s="91">
        <f>Ruimtestaat[[#This Row],[uren / jaar werkdagen]]*Tariefsopbouw!$E$35</f>
        <v>0</v>
      </c>
      <c r="Z333" s="88"/>
      <c r="AA333" s="92">
        <f>IF(Ruimtestaat[[#This Row],[Frequentie weekend]]&gt;0,VALUE(LEFT(Z333,1))*S333,0)</f>
        <v>0</v>
      </c>
      <c r="AB333" s="88">
        <f>IF($AA333&gt;0,VLOOKUP($K333,Ruimtegroepen[],3,FALSE)*VLOOKUP($M333,Vloersoorten[],3,FALSE)*VLOOKUP($Z333,Frequenties[],3,FALSE)*VLOOKUP(#REF!,Locaties[],3,FALSE),0)</f>
        <v>0</v>
      </c>
      <c r="AC333" s="90">
        <f>Ruimtestaat[[#This Row],[Uitvoeringen weekend]]*Ruimtestaat[[#This Row],[Oppervlak (netto)]]</f>
        <v>0</v>
      </c>
      <c r="AD333" s="93">
        <f>IF(AC333&gt;0,Ruimtestaat[[#This Row],[Prest. (m2 /jaar) weekend]]/Ruimtestaat[[#This Row],[Norm (m2/uur) weekend]],0)</f>
        <v>0</v>
      </c>
      <c r="AE333" s="94">
        <f>Ruimtestaat[[#This Row],[uren / jaar weekend]]*Tariefsopbouw!$D$40</f>
        <v>0</v>
      </c>
      <c r="AF333" s="66">
        <f>Ruimtestaat[[#This Row],[Prest. (m2 /jaar) weekend]]+Ruimtestaat[[#This Row],[Prest. (m2 /jaar) werkdagen]]</f>
        <v>17600</v>
      </c>
      <c r="AG333" s="66">
        <f>Ruimtestaat[[#This Row],[uren / jaar weekend]]+Ruimtestaat[[#This Row],[uren / jaar werkdagen]]</f>
        <v>0</v>
      </c>
      <c r="AH333" s="67">
        <f>Ruimtestaat[[#This Row],[kosten / jaar weekend]]+Ruimtestaat[[#This Row],[kosten / jaar werkdagen]]</f>
        <v>0</v>
      </c>
    </row>
    <row r="334" spans="1:34" ht="15" customHeight="1">
      <c r="A334" s="112">
        <v>2</v>
      </c>
      <c r="B334" s="23" t="str">
        <f>VLOOKUP(Ruimtestaat[[#This Row],[Code]],Locaties[#All],2,FALSE)</f>
        <v>RSG Slingerbos</v>
      </c>
      <c r="C334" s="23" t="str">
        <f>VLOOKUP(Ruimtestaat[[#This Row],[Code]],Locaties[#All],4,FALSE)</f>
        <v>Eisenhowerlaan 59</v>
      </c>
      <c r="D334" s="23" t="str">
        <f>VLOOKUP(Ruimtestaat[[#This Row],[Code]],Locaties[#All],5,FALSE)</f>
        <v>3844 AS</v>
      </c>
      <c r="E334" s="23" t="str">
        <f>VLOOKUP(Ruimtestaat[[#This Row],[Code]],Locaties[#All],6,FALSE)</f>
        <v>Harderwijk</v>
      </c>
      <c r="F334" s="23"/>
      <c r="G334" s="60" t="s">
        <v>1008</v>
      </c>
      <c r="H334" s="23" t="s">
        <v>837</v>
      </c>
      <c r="I334" s="23" t="s">
        <v>815</v>
      </c>
      <c r="J334" s="3" t="s">
        <v>544</v>
      </c>
      <c r="K334" s="23">
        <v>20</v>
      </c>
      <c r="L334" s="60" t="str">
        <f>VLOOKUP(K334,Ruimtegroepen[],2,FALSE)</f>
        <v>Spreekkamers</v>
      </c>
      <c r="M334" s="23" t="s">
        <v>112</v>
      </c>
      <c r="N334" s="23" t="s">
        <v>1090</v>
      </c>
      <c r="O334" s="86">
        <v>28.1</v>
      </c>
      <c r="P334" s="86"/>
      <c r="Q334" s="95" t="str">
        <f>LEFT(VLOOKUP(Ruimtestaat[[#This Row],[Ruimte code]],Ruimtegroepen[#All],4,1),2)</f>
        <v xml:space="preserve">B </v>
      </c>
      <c r="R334" s="95"/>
      <c r="S334" s="87">
        <v>40</v>
      </c>
      <c r="T334" s="87" t="s">
        <v>17</v>
      </c>
      <c r="U334" s="88">
        <f>IF(S334&gt;0,IF(RIGHT(Ruimtestaat[[#This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334" s="88">
        <f>IF(U334&gt;0,VLOOKUP($K334,Ruimtegroepen[],3,FALSE)*VLOOKUP($M334,Vloersoorten[],3,FALSE)*VLOOKUP($T334,Frequenties[],3,FALSE)*VLOOKUP($A334,Locaties[],3,FALSE),0)</f>
        <v>0</v>
      </c>
      <c r="W334" s="89">
        <f>Ruimtestaat[[#This Row],[Uitvoeringen werkdagen]]*Ruimtestaat[[#This Row],[Oppervlak (netto)]]</f>
        <v>2248</v>
      </c>
      <c r="X334" s="90">
        <f>IF(V334&gt;0,Ruimtestaat[[#This Row],[Prest. (m2 /jaar) werkdagen]]/Ruimtestaat[[#This Row],[Norm (m2/uur) werkdagen]],0)</f>
        <v>0</v>
      </c>
      <c r="Y334" s="91">
        <f>Ruimtestaat[[#This Row],[uren / jaar werkdagen]]*Tariefsopbouw!$E$35</f>
        <v>0</v>
      </c>
      <c r="Z334" s="88"/>
      <c r="AA334" s="92">
        <f>IF(Ruimtestaat[[#This Row],[Frequentie weekend]]&gt;0,VALUE(LEFT(Z334,1))*S334,0)</f>
        <v>0</v>
      </c>
      <c r="AB334" s="88">
        <f>IF($AA334&gt;0,VLOOKUP($K334,Ruimtegroepen[],3,FALSE)*VLOOKUP($M334,Vloersoorten[],3,FALSE)*VLOOKUP($Z334,Frequenties[],3,FALSE)*VLOOKUP(#REF!,Locaties[],3,FALSE),0)</f>
        <v>0</v>
      </c>
      <c r="AC334" s="90">
        <f>Ruimtestaat[[#This Row],[Uitvoeringen weekend]]*Ruimtestaat[[#This Row],[Oppervlak (netto)]]</f>
        <v>0</v>
      </c>
      <c r="AD334" s="93">
        <f>IF(AC334&gt;0,Ruimtestaat[[#This Row],[Prest. (m2 /jaar) weekend]]/Ruimtestaat[[#This Row],[Norm (m2/uur) weekend]],0)</f>
        <v>0</v>
      </c>
      <c r="AE334" s="94">
        <f>Ruimtestaat[[#This Row],[uren / jaar weekend]]*Tariefsopbouw!$D$40</f>
        <v>0</v>
      </c>
      <c r="AF334" s="66">
        <f>Ruimtestaat[[#This Row],[Prest. (m2 /jaar) weekend]]+Ruimtestaat[[#This Row],[Prest. (m2 /jaar) werkdagen]]</f>
        <v>2248</v>
      </c>
      <c r="AG334" s="66">
        <f>Ruimtestaat[[#This Row],[uren / jaar weekend]]+Ruimtestaat[[#This Row],[uren / jaar werkdagen]]</f>
        <v>0</v>
      </c>
      <c r="AH334" s="67">
        <f>Ruimtestaat[[#This Row],[kosten / jaar weekend]]+Ruimtestaat[[#This Row],[kosten / jaar werkdagen]]</f>
        <v>0</v>
      </c>
    </row>
    <row r="335" spans="1:34" ht="15" customHeight="1">
      <c r="A335" s="112">
        <v>2</v>
      </c>
      <c r="B335" s="23" t="str">
        <f>VLOOKUP(Ruimtestaat[[#This Row],[Code]],Locaties[#All],2,FALSE)</f>
        <v>RSG Slingerbos</v>
      </c>
      <c r="C335" s="23" t="str">
        <f>VLOOKUP(Ruimtestaat[[#This Row],[Code]],Locaties[#All],4,FALSE)</f>
        <v>Eisenhowerlaan 59</v>
      </c>
      <c r="D335" s="23" t="str">
        <f>VLOOKUP(Ruimtestaat[[#This Row],[Code]],Locaties[#All],5,FALSE)</f>
        <v>3844 AS</v>
      </c>
      <c r="E335" s="23" t="str">
        <f>VLOOKUP(Ruimtestaat[[#This Row],[Code]],Locaties[#All],6,FALSE)</f>
        <v>Harderwijk</v>
      </c>
      <c r="F335" s="23"/>
      <c r="G335" s="60" t="s">
        <v>1009</v>
      </c>
      <c r="H335" s="23" t="s">
        <v>837</v>
      </c>
      <c r="I335" s="23" t="s">
        <v>816</v>
      </c>
      <c r="J335" s="3" t="s">
        <v>544</v>
      </c>
      <c r="K335" s="23">
        <v>20</v>
      </c>
      <c r="L335" s="60" t="str">
        <f>VLOOKUP(K335,Ruimtegroepen[],2,FALSE)</f>
        <v>Spreekkamers</v>
      </c>
      <c r="M335" s="23" t="s">
        <v>112</v>
      </c>
      <c r="N335" s="23" t="s">
        <v>1090</v>
      </c>
      <c r="O335" s="86">
        <v>27.7</v>
      </c>
      <c r="P335" s="86"/>
      <c r="Q335" s="95" t="str">
        <f>LEFT(VLOOKUP(Ruimtestaat[[#This Row],[Ruimte code]],Ruimtegroepen[#All],4,1),2)</f>
        <v xml:space="preserve">B </v>
      </c>
      <c r="R335" s="95"/>
      <c r="S335" s="87">
        <v>40</v>
      </c>
      <c r="T335" s="87" t="s">
        <v>17</v>
      </c>
      <c r="U335" s="88">
        <f>IF(S335&gt;0,IF(RIGHT(Ruimtestaat[[#This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335" s="88">
        <f>IF(U335&gt;0,VLOOKUP($K335,Ruimtegroepen[],3,FALSE)*VLOOKUP($M335,Vloersoorten[],3,FALSE)*VLOOKUP($T335,Frequenties[],3,FALSE)*VLOOKUP($A335,Locaties[],3,FALSE),0)</f>
        <v>0</v>
      </c>
      <c r="W335" s="89">
        <f>Ruimtestaat[[#This Row],[Uitvoeringen werkdagen]]*Ruimtestaat[[#This Row],[Oppervlak (netto)]]</f>
        <v>2216</v>
      </c>
      <c r="X335" s="90">
        <f>IF(V335&gt;0,Ruimtestaat[[#This Row],[Prest. (m2 /jaar) werkdagen]]/Ruimtestaat[[#This Row],[Norm (m2/uur) werkdagen]],0)</f>
        <v>0</v>
      </c>
      <c r="Y335" s="91">
        <f>Ruimtestaat[[#This Row],[uren / jaar werkdagen]]*Tariefsopbouw!$E$35</f>
        <v>0</v>
      </c>
      <c r="Z335" s="88"/>
      <c r="AA335" s="92">
        <f>IF(Ruimtestaat[[#This Row],[Frequentie weekend]]&gt;0,VALUE(LEFT(Z335,1))*S335,0)</f>
        <v>0</v>
      </c>
      <c r="AB335" s="88">
        <f>IF($AA335&gt;0,VLOOKUP($K335,Ruimtegroepen[],3,FALSE)*VLOOKUP($M335,Vloersoorten[],3,FALSE)*VLOOKUP($Z335,Frequenties[],3,FALSE)*VLOOKUP(#REF!,Locaties[],3,FALSE),0)</f>
        <v>0</v>
      </c>
      <c r="AC335" s="90">
        <f>Ruimtestaat[[#This Row],[Uitvoeringen weekend]]*Ruimtestaat[[#This Row],[Oppervlak (netto)]]</f>
        <v>0</v>
      </c>
      <c r="AD335" s="93">
        <f>IF(AC335&gt;0,Ruimtestaat[[#This Row],[Prest. (m2 /jaar) weekend]]/Ruimtestaat[[#This Row],[Norm (m2/uur) weekend]],0)</f>
        <v>0</v>
      </c>
      <c r="AE335" s="94">
        <f>Ruimtestaat[[#This Row],[uren / jaar weekend]]*Tariefsopbouw!$D$40</f>
        <v>0</v>
      </c>
      <c r="AF335" s="66">
        <f>Ruimtestaat[[#This Row],[Prest. (m2 /jaar) weekend]]+Ruimtestaat[[#This Row],[Prest. (m2 /jaar) werkdagen]]</f>
        <v>2216</v>
      </c>
      <c r="AG335" s="66">
        <f>Ruimtestaat[[#This Row],[uren / jaar weekend]]+Ruimtestaat[[#This Row],[uren / jaar werkdagen]]</f>
        <v>0</v>
      </c>
      <c r="AH335" s="67">
        <f>Ruimtestaat[[#This Row],[kosten / jaar weekend]]+Ruimtestaat[[#This Row],[kosten / jaar werkdagen]]</f>
        <v>0</v>
      </c>
    </row>
    <row r="336" spans="1:34" ht="15" customHeight="1">
      <c r="A336" s="112">
        <v>2</v>
      </c>
      <c r="B336" s="23" t="str">
        <f>VLOOKUP(Ruimtestaat[[#This Row],[Code]],Locaties[#All],2,FALSE)</f>
        <v>RSG Slingerbos</v>
      </c>
      <c r="C336" s="23" t="str">
        <f>VLOOKUP(Ruimtestaat[[#This Row],[Code]],Locaties[#All],4,FALSE)</f>
        <v>Eisenhowerlaan 59</v>
      </c>
      <c r="D336" s="23" t="str">
        <f>VLOOKUP(Ruimtestaat[[#This Row],[Code]],Locaties[#All],5,FALSE)</f>
        <v>3844 AS</v>
      </c>
      <c r="E336" s="23" t="str">
        <f>VLOOKUP(Ruimtestaat[[#This Row],[Code]],Locaties[#All],6,FALSE)</f>
        <v>Harderwijk</v>
      </c>
      <c r="F336" s="23"/>
      <c r="G336" s="60" t="s">
        <v>1010</v>
      </c>
      <c r="H336" s="23" t="s">
        <v>837</v>
      </c>
      <c r="I336" s="23" t="s">
        <v>817</v>
      </c>
      <c r="J336" s="3" t="s">
        <v>537</v>
      </c>
      <c r="K336" s="23">
        <v>10</v>
      </c>
      <c r="L336" s="60" t="str">
        <f>VLOOKUP(K336,Ruimtegroepen[],2,FALSE)</f>
        <v>Trappenhuizen/lift</v>
      </c>
      <c r="M336" s="23" t="s">
        <v>112</v>
      </c>
      <c r="N336" s="23" t="s">
        <v>1096</v>
      </c>
      <c r="O336" s="86">
        <v>9.1999999999999993</v>
      </c>
      <c r="P336" s="86"/>
      <c r="Q336" s="95" t="str">
        <f>LEFT(VLOOKUP(Ruimtestaat[[#This Row],[Ruimte code]],Ruimtegroepen[#All],4,1),2)</f>
        <v xml:space="preserve">V </v>
      </c>
      <c r="R336" s="95"/>
      <c r="S336" s="87">
        <v>40</v>
      </c>
      <c r="T336" s="87" t="s">
        <v>2</v>
      </c>
      <c r="U336" s="88">
        <f>IF(S336&gt;0,IF(RIGHT(Ruimtestaat[[#This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36" s="88">
        <f>IF(U336&gt;0,VLOOKUP($K336,Ruimtegroepen[],3,FALSE)*VLOOKUP($M336,Vloersoorten[],3,FALSE)*VLOOKUP($T336,Frequenties[],3,FALSE)*VLOOKUP($A336,Locaties[],3,FALSE),0)</f>
        <v>0</v>
      </c>
      <c r="W336" s="89">
        <f>Ruimtestaat[[#This Row],[Uitvoeringen werkdagen]]*Ruimtestaat[[#This Row],[Oppervlak (netto)]]</f>
        <v>1839.9999999999998</v>
      </c>
      <c r="X336" s="90">
        <f>IF(V336&gt;0,Ruimtestaat[[#This Row],[Prest. (m2 /jaar) werkdagen]]/Ruimtestaat[[#This Row],[Norm (m2/uur) werkdagen]],0)</f>
        <v>0</v>
      </c>
      <c r="Y336" s="91">
        <f>Ruimtestaat[[#This Row],[uren / jaar werkdagen]]*Tariefsopbouw!$E$35</f>
        <v>0</v>
      </c>
      <c r="Z336" s="88"/>
      <c r="AA336" s="92">
        <f>IF(Ruimtestaat[[#This Row],[Frequentie weekend]]&gt;0,VALUE(LEFT(Z336,1))*S336,0)</f>
        <v>0</v>
      </c>
      <c r="AB336" s="88">
        <f>IF($AA336&gt;0,VLOOKUP($K336,Ruimtegroepen[],3,FALSE)*VLOOKUP($M336,Vloersoorten[],3,FALSE)*VLOOKUP($Z336,Frequenties[],3,FALSE)*VLOOKUP(#REF!,Locaties[],3,FALSE),0)</f>
        <v>0</v>
      </c>
      <c r="AC336" s="90">
        <f>Ruimtestaat[[#This Row],[Uitvoeringen weekend]]*Ruimtestaat[[#This Row],[Oppervlak (netto)]]</f>
        <v>0</v>
      </c>
      <c r="AD336" s="93">
        <f>IF(AC336&gt;0,Ruimtestaat[[#This Row],[Prest. (m2 /jaar) weekend]]/Ruimtestaat[[#This Row],[Norm (m2/uur) weekend]],0)</f>
        <v>0</v>
      </c>
      <c r="AE336" s="94">
        <f>Ruimtestaat[[#This Row],[uren / jaar weekend]]*Tariefsopbouw!$D$40</f>
        <v>0</v>
      </c>
      <c r="AF336" s="66">
        <f>Ruimtestaat[[#This Row],[Prest. (m2 /jaar) weekend]]+Ruimtestaat[[#This Row],[Prest. (m2 /jaar) werkdagen]]</f>
        <v>1839.9999999999998</v>
      </c>
      <c r="AG336" s="66">
        <f>Ruimtestaat[[#This Row],[uren / jaar weekend]]+Ruimtestaat[[#This Row],[uren / jaar werkdagen]]</f>
        <v>0</v>
      </c>
      <c r="AH336" s="67">
        <f>Ruimtestaat[[#This Row],[kosten / jaar weekend]]+Ruimtestaat[[#This Row],[kosten / jaar werkdagen]]</f>
        <v>0</v>
      </c>
    </row>
    <row r="337" spans="1:34" ht="15" customHeight="1">
      <c r="A337" s="112">
        <v>2</v>
      </c>
      <c r="B337" s="23" t="str">
        <f>VLOOKUP(Ruimtestaat[[#This Row],[Code]],Locaties[#All],2,FALSE)</f>
        <v>RSG Slingerbos</v>
      </c>
      <c r="C337" s="23" t="str">
        <f>VLOOKUP(Ruimtestaat[[#This Row],[Code]],Locaties[#All],4,FALSE)</f>
        <v>Eisenhowerlaan 59</v>
      </c>
      <c r="D337" s="23" t="str">
        <f>VLOOKUP(Ruimtestaat[[#This Row],[Code]],Locaties[#All],5,FALSE)</f>
        <v>3844 AS</v>
      </c>
      <c r="E337" s="23" t="str">
        <f>VLOOKUP(Ruimtestaat[[#This Row],[Code]],Locaties[#All],6,FALSE)</f>
        <v>Harderwijk</v>
      </c>
      <c r="F337" s="23"/>
      <c r="G337" s="60" t="s">
        <v>1011</v>
      </c>
      <c r="H337" s="23" t="s">
        <v>837</v>
      </c>
      <c r="I337" s="23" t="s">
        <v>766</v>
      </c>
      <c r="J337" s="3" t="s">
        <v>537</v>
      </c>
      <c r="K337" s="23">
        <v>10</v>
      </c>
      <c r="L337" s="60" t="str">
        <f>VLOOKUP(K337,Ruimtegroepen[],2,FALSE)</f>
        <v>Trappenhuizen/lift</v>
      </c>
      <c r="M337" s="23" t="s">
        <v>112</v>
      </c>
      <c r="N337" s="23" t="s">
        <v>1096</v>
      </c>
      <c r="O337" s="86">
        <v>9.1999999999999993</v>
      </c>
      <c r="P337" s="86"/>
      <c r="Q337" s="95" t="str">
        <f>LEFT(VLOOKUP(Ruimtestaat[[#This Row],[Ruimte code]],Ruimtegroepen[#All],4,1),2)</f>
        <v xml:space="preserve">V </v>
      </c>
      <c r="R337" s="95"/>
      <c r="S337" s="87">
        <v>40</v>
      </c>
      <c r="T337" s="87" t="s">
        <v>2</v>
      </c>
      <c r="U337" s="88">
        <f>IF(S337&gt;0,IF(RIGHT(Ruimtestaat[[#This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37" s="88">
        <f>IF(U337&gt;0,VLOOKUP($K337,Ruimtegroepen[],3,FALSE)*VLOOKUP($M337,Vloersoorten[],3,FALSE)*VLOOKUP($T337,Frequenties[],3,FALSE)*VLOOKUP($A337,Locaties[],3,FALSE),0)</f>
        <v>0</v>
      </c>
      <c r="W337" s="89">
        <f>Ruimtestaat[[#This Row],[Uitvoeringen werkdagen]]*Ruimtestaat[[#This Row],[Oppervlak (netto)]]</f>
        <v>1839.9999999999998</v>
      </c>
      <c r="X337" s="90">
        <f>IF(V337&gt;0,Ruimtestaat[[#This Row],[Prest. (m2 /jaar) werkdagen]]/Ruimtestaat[[#This Row],[Norm (m2/uur) werkdagen]],0)</f>
        <v>0</v>
      </c>
      <c r="Y337" s="91">
        <f>Ruimtestaat[[#This Row],[uren / jaar werkdagen]]*Tariefsopbouw!$E$35</f>
        <v>0</v>
      </c>
      <c r="Z337" s="88"/>
      <c r="AA337" s="92">
        <f>IF(Ruimtestaat[[#This Row],[Frequentie weekend]]&gt;0,VALUE(LEFT(Z337,1))*S337,0)</f>
        <v>0</v>
      </c>
      <c r="AB337" s="88">
        <f>IF($AA337&gt;0,VLOOKUP($K337,Ruimtegroepen[],3,FALSE)*VLOOKUP($M337,Vloersoorten[],3,FALSE)*VLOOKUP($Z337,Frequenties[],3,FALSE)*VLOOKUP(#REF!,Locaties[],3,FALSE),0)</f>
        <v>0</v>
      </c>
      <c r="AC337" s="90">
        <f>Ruimtestaat[[#This Row],[Uitvoeringen weekend]]*Ruimtestaat[[#This Row],[Oppervlak (netto)]]</f>
        <v>0</v>
      </c>
      <c r="AD337" s="93">
        <f>IF(AC337&gt;0,Ruimtestaat[[#This Row],[Prest. (m2 /jaar) weekend]]/Ruimtestaat[[#This Row],[Norm (m2/uur) weekend]],0)</f>
        <v>0</v>
      </c>
      <c r="AE337" s="94">
        <f>Ruimtestaat[[#This Row],[uren / jaar weekend]]*Tariefsopbouw!$D$40</f>
        <v>0</v>
      </c>
      <c r="AF337" s="66">
        <f>Ruimtestaat[[#This Row],[Prest. (m2 /jaar) weekend]]+Ruimtestaat[[#This Row],[Prest. (m2 /jaar) werkdagen]]</f>
        <v>1839.9999999999998</v>
      </c>
      <c r="AG337" s="66">
        <f>Ruimtestaat[[#This Row],[uren / jaar weekend]]+Ruimtestaat[[#This Row],[uren / jaar werkdagen]]</f>
        <v>0</v>
      </c>
      <c r="AH337" s="67">
        <f>Ruimtestaat[[#This Row],[kosten / jaar weekend]]+Ruimtestaat[[#This Row],[kosten / jaar werkdagen]]</f>
        <v>0</v>
      </c>
    </row>
    <row r="338" spans="1:34" ht="15" customHeight="1">
      <c r="A338" s="112">
        <v>2</v>
      </c>
      <c r="B338" s="23" t="str">
        <f>VLOOKUP(Ruimtestaat[[#This Row],[Code]],Locaties[#All],2,FALSE)</f>
        <v>RSG Slingerbos</v>
      </c>
      <c r="C338" s="23" t="str">
        <f>VLOOKUP(Ruimtestaat[[#This Row],[Code]],Locaties[#All],4,FALSE)</f>
        <v>Eisenhowerlaan 59</v>
      </c>
      <c r="D338" s="23" t="str">
        <f>VLOOKUP(Ruimtestaat[[#This Row],[Code]],Locaties[#All],5,FALSE)</f>
        <v>3844 AS</v>
      </c>
      <c r="E338" s="23" t="str">
        <f>VLOOKUP(Ruimtestaat[[#This Row],[Code]],Locaties[#All],6,FALSE)</f>
        <v>Harderwijk</v>
      </c>
      <c r="F338" s="23"/>
      <c r="G338" s="60" t="s">
        <v>1012</v>
      </c>
      <c r="H338" s="23" t="s">
        <v>837</v>
      </c>
      <c r="I338" s="23" t="s">
        <v>768</v>
      </c>
      <c r="J338" s="3" t="s">
        <v>537</v>
      </c>
      <c r="K338" s="23">
        <v>10</v>
      </c>
      <c r="L338" s="60" t="str">
        <f>VLOOKUP(K338,Ruimtegroepen[],2,FALSE)</f>
        <v>Trappenhuizen/lift</v>
      </c>
      <c r="M338" s="23" t="s">
        <v>112</v>
      </c>
      <c r="N338" s="23" t="s">
        <v>1096</v>
      </c>
      <c r="O338" s="86">
        <v>8.5</v>
      </c>
      <c r="P338" s="86"/>
      <c r="Q338" s="95" t="str">
        <f>LEFT(VLOOKUP(Ruimtestaat[[#This Row],[Ruimte code]],Ruimtegroepen[#All],4,1),2)</f>
        <v xml:space="preserve">V </v>
      </c>
      <c r="R338" s="95"/>
      <c r="S338" s="87">
        <v>40</v>
      </c>
      <c r="T338" s="87" t="s">
        <v>2</v>
      </c>
      <c r="U338" s="88">
        <f>IF(S338&gt;0,IF(RIGHT(Ruimtestaat[[#This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38" s="88">
        <f>IF(U338&gt;0,VLOOKUP($K338,Ruimtegroepen[],3,FALSE)*VLOOKUP($M338,Vloersoorten[],3,FALSE)*VLOOKUP($T338,Frequenties[],3,FALSE)*VLOOKUP($A338,Locaties[],3,FALSE),0)</f>
        <v>0</v>
      </c>
      <c r="W338" s="89">
        <f>Ruimtestaat[[#This Row],[Uitvoeringen werkdagen]]*Ruimtestaat[[#This Row],[Oppervlak (netto)]]</f>
        <v>1700</v>
      </c>
      <c r="X338" s="90">
        <f>IF(V338&gt;0,Ruimtestaat[[#This Row],[Prest. (m2 /jaar) werkdagen]]/Ruimtestaat[[#This Row],[Norm (m2/uur) werkdagen]],0)</f>
        <v>0</v>
      </c>
      <c r="Y338" s="91">
        <f>Ruimtestaat[[#This Row],[uren / jaar werkdagen]]*Tariefsopbouw!$E$35</f>
        <v>0</v>
      </c>
      <c r="Z338" s="88"/>
      <c r="AA338" s="92">
        <f>IF(Ruimtestaat[[#This Row],[Frequentie weekend]]&gt;0,VALUE(LEFT(Z338,1))*S338,0)</f>
        <v>0</v>
      </c>
      <c r="AB338" s="88">
        <f>IF($AA338&gt;0,VLOOKUP($K338,Ruimtegroepen[],3,FALSE)*VLOOKUP($M338,Vloersoorten[],3,FALSE)*VLOOKUP($Z338,Frequenties[],3,FALSE)*VLOOKUP(#REF!,Locaties[],3,FALSE),0)</f>
        <v>0</v>
      </c>
      <c r="AC338" s="90">
        <f>Ruimtestaat[[#This Row],[Uitvoeringen weekend]]*Ruimtestaat[[#This Row],[Oppervlak (netto)]]</f>
        <v>0</v>
      </c>
      <c r="AD338" s="93">
        <f>IF(AC338&gt;0,Ruimtestaat[[#This Row],[Prest. (m2 /jaar) weekend]]/Ruimtestaat[[#This Row],[Norm (m2/uur) weekend]],0)</f>
        <v>0</v>
      </c>
      <c r="AE338" s="94">
        <f>Ruimtestaat[[#This Row],[uren / jaar weekend]]*Tariefsopbouw!$D$40</f>
        <v>0</v>
      </c>
      <c r="AF338" s="66">
        <f>Ruimtestaat[[#This Row],[Prest. (m2 /jaar) weekend]]+Ruimtestaat[[#This Row],[Prest. (m2 /jaar) werkdagen]]</f>
        <v>1700</v>
      </c>
      <c r="AG338" s="66">
        <f>Ruimtestaat[[#This Row],[uren / jaar weekend]]+Ruimtestaat[[#This Row],[uren / jaar werkdagen]]</f>
        <v>0</v>
      </c>
      <c r="AH338" s="67">
        <f>Ruimtestaat[[#This Row],[kosten / jaar weekend]]+Ruimtestaat[[#This Row],[kosten / jaar werkdagen]]</f>
        <v>0</v>
      </c>
    </row>
    <row r="339" spans="1:34" ht="15" customHeight="1">
      <c r="A339" s="112">
        <v>2</v>
      </c>
      <c r="B339" s="23" t="str">
        <f>VLOOKUP(Ruimtestaat[[#This Row],[Code]],Locaties[#All],2,FALSE)</f>
        <v>RSG Slingerbos</v>
      </c>
      <c r="C339" s="23" t="str">
        <f>VLOOKUP(Ruimtestaat[[#This Row],[Code]],Locaties[#All],4,FALSE)</f>
        <v>Eisenhowerlaan 59</v>
      </c>
      <c r="D339" s="23" t="str">
        <f>VLOOKUP(Ruimtestaat[[#This Row],[Code]],Locaties[#All],5,FALSE)</f>
        <v>3844 AS</v>
      </c>
      <c r="E339" s="23" t="str">
        <f>VLOOKUP(Ruimtestaat[[#This Row],[Code]],Locaties[#All],6,FALSE)</f>
        <v>Harderwijk</v>
      </c>
      <c r="F339" s="23"/>
      <c r="G339" s="60" t="s">
        <v>1013</v>
      </c>
      <c r="H339" s="23" t="s">
        <v>837</v>
      </c>
      <c r="I339" s="23" t="s">
        <v>818</v>
      </c>
      <c r="J339" s="3" t="s">
        <v>537</v>
      </c>
      <c r="K339" s="23">
        <v>10</v>
      </c>
      <c r="L339" s="60" t="str">
        <f>VLOOKUP(K339,Ruimtegroepen[],2,FALSE)</f>
        <v>Trappenhuizen/lift</v>
      </c>
      <c r="M339" s="23" t="s">
        <v>112</v>
      </c>
      <c r="N339" s="23" t="s">
        <v>1096</v>
      </c>
      <c r="O339" s="86">
        <v>8.1999999999999993</v>
      </c>
      <c r="P339" s="86"/>
      <c r="Q339" s="95" t="str">
        <f>LEFT(VLOOKUP(Ruimtestaat[[#This Row],[Ruimte code]],Ruimtegroepen[#All],4,1),2)</f>
        <v xml:space="preserve">V </v>
      </c>
      <c r="R339" s="95"/>
      <c r="S339" s="87">
        <v>40</v>
      </c>
      <c r="T339" s="87" t="s">
        <v>2</v>
      </c>
      <c r="U339" s="88">
        <f>IF(S339&gt;0,IF(RIGHT(Ruimtestaat[[#This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39" s="88">
        <f>IF(U339&gt;0,VLOOKUP($K339,Ruimtegroepen[],3,FALSE)*VLOOKUP($M339,Vloersoorten[],3,FALSE)*VLOOKUP($T339,Frequenties[],3,FALSE)*VLOOKUP($A339,Locaties[],3,FALSE),0)</f>
        <v>0</v>
      </c>
      <c r="W339" s="89">
        <f>Ruimtestaat[[#This Row],[Uitvoeringen werkdagen]]*Ruimtestaat[[#This Row],[Oppervlak (netto)]]</f>
        <v>1639.9999999999998</v>
      </c>
      <c r="X339" s="90">
        <f>IF(V339&gt;0,Ruimtestaat[[#This Row],[Prest. (m2 /jaar) werkdagen]]/Ruimtestaat[[#This Row],[Norm (m2/uur) werkdagen]],0)</f>
        <v>0</v>
      </c>
      <c r="Y339" s="91">
        <f>Ruimtestaat[[#This Row],[uren / jaar werkdagen]]*Tariefsopbouw!$E$35</f>
        <v>0</v>
      </c>
      <c r="Z339" s="88"/>
      <c r="AA339" s="92">
        <f>IF(Ruimtestaat[[#This Row],[Frequentie weekend]]&gt;0,VALUE(LEFT(Z339,1))*S339,0)</f>
        <v>0</v>
      </c>
      <c r="AB339" s="88">
        <f>IF($AA339&gt;0,VLOOKUP($K339,Ruimtegroepen[],3,FALSE)*VLOOKUP($M339,Vloersoorten[],3,FALSE)*VLOOKUP($Z339,Frequenties[],3,FALSE)*VLOOKUP(#REF!,Locaties[],3,FALSE),0)</f>
        <v>0</v>
      </c>
      <c r="AC339" s="90">
        <f>Ruimtestaat[[#This Row],[Uitvoeringen weekend]]*Ruimtestaat[[#This Row],[Oppervlak (netto)]]</f>
        <v>0</v>
      </c>
      <c r="AD339" s="93">
        <f>IF(AC339&gt;0,Ruimtestaat[[#This Row],[Prest. (m2 /jaar) weekend]]/Ruimtestaat[[#This Row],[Norm (m2/uur) weekend]],0)</f>
        <v>0</v>
      </c>
      <c r="AE339" s="94">
        <f>Ruimtestaat[[#This Row],[uren / jaar weekend]]*Tariefsopbouw!$D$40</f>
        <v>0</v>
      </c>
      <c r="AF339" s="66">
        <f>Ruimtestaat[[#This Row],[Prest. (m2 /jaar) weekend]]+Ruimtestaat[[#This Row],[Prest. (m2 /jaar) werkdagen]]</f>
        <v>1639.9999999999998</v>
      </c>
      <c r="AG339" s="66">
        <f>Ruimtestaat[[#This Row],[uren / jaar weekend]]+Ruimtestaat[[#This Row],[uren / jaar werkdagen]]</f>
        <v>0</v>
      </c>
      <c r="AH339" s="67">
        <f>Ruimtestaat[[#This Row],[kosten / jaar weekend]]+Ruimtestaat[[#This Row],[kosten / jaar werkdagen]]</f>
        <v>0</v>
      </c>
    </row>
    <row r="340" spans="1:34" ht="15" customHeight="1">
      <c r="A340" s="112">
        <v>2</v>
      </c>
      <c r="B340" s="23" t="str">
        <f>VLOOKUP(Ruimtestaat[[#This Row],[Code]],Locaties[#All],2,FALSE)</f>
        <v>RSG Slingerbos</v>
      </c>
      <c r="C340" s="23" t="str">
        <f>VLOOKUP(Ruimtestaat[[#This Row],[Code]],Locaties[#All],4,FALSE)</f>
        <v>Eisenhowerlaan 59</v>
      </c>
      <c r="D340" s="23" t="str">
        <f>VLOOKUP(Ruimtestaat[[#This Row],[Code]],Locaties[#All],5,FALSE)</f>
        <v>3844 AS</v>
      </c>
      <c r="E340" s="23" t="str">
        <f>VLOOKUP(Ruimtestaat[[#This Row],[Code]],Locaties[#All],6,FALSE)</f>
        <v>Harderwijk</v>
      </c>
      <c r="F340" s="23"/>
      <c r="G340" s="60" t="s">
        <v>1014</v>
      </c>
      <c r="H340" s="23" t="s">
        <v>837</v>
      </c>
      <c r="I340" s="23" t="s">
        <v>819</v>
      </c>
      <c r="J340" s="3" t="s">
        <v>537</v>
      </c>
      <c r="K340" s="23">
        <v>10</v>
      </c>
      <c r="L340" s="60" t="str">
        <f>VLOOKUP(K340,Ruimtegroepen[],2,FALSE)</f>
        <v>Trappenhuizen/lift</v>
      </c>
      <c r="M340" s="23" t="s">
        <v>112</v>
      </c>
      <c r="N340" s="23" t="s">
        <v>1096</v>
      </c>
      <c r="O340" s="86">
        <v>10.9</v>
      </c>
      <c r="P340" s="86"/>
      <c r="Q340" s="95" t="str">
        <f>LEFT(VLOOKUP(Ruimtestaat[[#This Row],[Ruimte code]],Ruimtegroepen[#All],4,1),2)</f>
        <v xml:space="preserve">V </v>
      </c>
      <c r="R340" s="95"/>
      <c r="S340" s="87">
        <v>40</v>
      </c>
      <c r="T340" s="87" t="s">
        <v>2</v>
      </c>
      <c r="U340" s="88">
        <f>IF(S340&gt;0,IF(RIGHT(Ruimtestaat[[#This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40" s="88">
        <f>IF(U340&gt;0,VLOOKUP($K340,Ruimtegroepen[],3,FALSE)*VLOOKUP($M340,Vloersoorten[],3,FALSE)*VLOOKUP($T340,Frequenties[],3,FALSE)*VLOOKUP($A340,Locaties[],3,FALSE),0)</f>
        <v>0</v>
      </c>
      <c r="W340" s="89">
        <f>Ruimtestaat[[#This Row],[Uitvoeringen werkdagen]]*Ruimtestaat[[#This Row],[Oppervlak (netto)]]</f>
        <v>2180</v>
      </c>
      <c r="X340" s="90">
        <f>IF(V340&gt;0,Ruimtestaat[[#This Row],[Prest. (m2 /jaar) werkdagen]]/Ruimtestaat[[#This Row],[Norm (m2/uur) werkdagen]],0)</f>
        <v>0</v>
      </c>
      <c r="Y340" s="91">
        <f>Ruimtestaat[[#This Row],[uren / jaar werkdagen]]*Tariefsopbouw!$E$35</f>
        <v>0</v>
      </c>
      <c r="Z340" s="88"/>
      <c r="AA340" s="92">
        <f>IF(Ruimtestaat[[#This Row],[Frequentie weekend]]&gt;0,VALUE(LEFT(Z340,1))*S340,0)</f>
        <v>0</v>
      </c>
      <c r="AB340" s="88">
        <f>IF($AA340&gt;0,VLOOKUP($K340,Ruimtegroepen[],3,FALSE)*VLOOKUP($M340,Vloersoorten[],3,FALSE)*VLOOKUP($Z340,Frequenties[],3,FALSE)*VLOOKUP(#REF!,Locaties[],3,FALSE),0)</f>
        <v>0</v>
      </c>
      <c r="AC340" s="90">
        <f>Ruimtestaat[[#This Row],[Uitvoeringen weekend]]*Ruimtestaat[[#This Row],[Oppervlak (netto)]]</f>
        <v>0</v>
      </c>
      <c r="AD340" s="93">
        <f>IF(AC340&gt;0,Ruimtestaat[[#This Row],[Prest. (m2 /jaar) weekend]]/Ruimtestaat[[#This Row],[Norm (m2/uur) weekend]],0)</f>
        <v>0</v>
      </c>
      <c r="AE340" s="94">
        <f>Ruimtestaat[[#This Row],[uren / jaar weekend]]*Tariefsopbouw!$D$40</f>
        <v>0</v>
      </c>
      <c r="AF340" s="66">
        <f>Ruimtestaat[[#This Row],[Prest. (m2 /jaar) weekend]]+Ruimtestaat[[#This Row],[Prest. (m2 /jaar) werkdagen]]</f>
        <v>2180</v>
      </c>
      <c r="AG340" s="66">
        <f>Ruimtestaat[[#This Row],[uren / jaar weekend]]+Ruimtestaat[[#This Row],[uren / jaar werkdagen]]</f>
        <v>0</v>
      </c>
      <c r="AH340" s="67">
        <f>Ruimtestaat[[#This Row],[kosten / jaar weekend]]+Ruimtestaat[[#This Row],[kosten / jaar werkdagen]]</f>
        <v>0</v>
      </c>
    </row>
    <row r="341" spans="1:34" ht="15" customHeight="1">
      <c r="A341" s="112">
        <v>2</v>
      </c>
      <c r="B341" s="23" t="str">
        <f>VLOOKUP(Ruimtestaat[[#This Row],[Code]],Locaties[#All],2,FALSE)</f>
        <v>RSG Slingerbos</v>
      </c>
      <c r="C341" s="23" t="str">
        <f>VLOOKUP(Ruimtestaat[[#This Row],[Code]],Locaties[#All],4,FALSE)</f>
        <v>Eisenhowerlaan 59</v>
      </c>
      <c r="D341" s="23" t="str">
        <f>VLOOKUP(Ruimtestaat[[#This Row],[Code]],Locaties[#All],5,FALSE)</f>
        <v>3844 AS</v>
      </c>
      <c r="E341" s="23" t="str">
        <f>VLOOKUP(Ruimtestaat[[#This Row],[Code]],Locaties[#All],6,FALSE)</f>
        <v>Harderwijk</v>
      </c>
      <c r="F341" s="23"/>
      <c r="G341" s="60"/>
      <c r="H341" s="23" t="s">
        <v>837</v>
      </c>
      <c r="I341" s="23" t="s">
        <v>820</v>
      </c>
      <c r="J341" s="3" t="s">
        <v>1076</v>
      </c>
      <c r="K341" s="23">
        <v>5</v>
      </c>
      <c r="L341" s="60" t="str">
        <f>VLOOKUP(K341,Ruimtegroepen[],2,FALSE)</f>
        <v>Sanitair</v>
      </c>
      <c r="M341" s="23" t="s">
        <v>113</v>
      </c>
      <c r="N341" s="23" t="s">
        <v>1091</v>
      </c>
      <c r="O341" s="86">
        <v>16.2</v>
      </c>
      <c r="P341" s="86"/>
      <c r="Q341" s="95" t="str">
        <f>LEFT(VLOOKUP(Ruimtestaat[[#This Row],[Ruimte code]],Ruimtegroepen[#All],4,1),2)</f>
        <v xml:space="preserve">S </v>
      </c>
      <c r="R341" s="95"/>
      <c r="S341" s="87">
        <v>40</v>
      </c>
      <c r="T341" s="87" t="s">
        <v>2</v>
      </c>
      <c r="U341" s="88">
        <f>IF(S341&gt;0,IF(RIGHT(Ruimtestaat[[#This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41" s="88">
        <f>IF(U341&gt;0,VLOOKUP($K341,Ruimtegroepen[],3,FALSE)*VLOOKUP($M341,Vloersoorten[],3,FALSE)*VLOOKUP($T341,Frequenties[],3,FALSE)*VLOOKUP($A341,Locaties[],3,FALSE),0)</f>
        <v>0</v>
      </c>
      <c r="W341" s="89">
        <f>Ruimtestaat[[#This Row],[Uitvoeringen werkdagen]]*Ruimtestaat[[#This Row],[Oppervlak (netto)]]</f>
        <v>3240</v>
      </c>
      <c r="X341" s="90">
        <f>IF(V341&gt;0,Ruimtestaat[[#This Row],[Prest. (m2 /jaar) werkdagen]]/Ruimtestaat[[#This Row],[Norm (m2/uur) werkdagen]],0)</f>
        <v>0</v>
      </c>
      <c r="Y341" s="91">
        <f>Ruimtestaat[[#This Row],[uren / jaar werkdagen]]*Tariefsopbouw!$E$35</f>
        <v>0</v>
      </c>
      <c r="Z341" s="88"/>
      <c r="AA341" s="92">
        <f>IF(Ruimtestaat[[#This Row],[Frequentie weekend]]&gt;0,VALUE(LEFT(Z341,1))*S341,0)</f>
        <v>0</v>
      </c>
      <c r="AB341" s="88">
        <f>IF($AA341&gt;0,VLOOKUP($K341,Ruimtegroepen[],3,FALSE)*VLOOKUP($M341,Vloersoorten[],3,FALSE)*VLOOKUP($Z341,Frequenties[],3,FALSE)*VLOOKUP(#REF!,Locaties[],3,FALSE),0)</f>
        <v>0</v>
      </c>
      <c r="AC341" s="90">
        <f>Ruimtestaat[[#This Row],[Uitvoeringen weekend]]*Ruimtestaat[[#This Row],[Oppervlak (netto)]]</f>
        <v>0</v>
      </c>
      <c r="AD341" s="93">
        <f>IF(AC341&gt;0,Ruimtestaat[[#This Row],[Prest. (m2 /jaar) weekend]]/Ruimtestaat[[#This Row],[Norm (m2/uur) weekend]],0)</f>
        <v>0</v>
      </c>
      <c r="AE341" s="94">
        <f>Ruimtestaat[[#This Row],[uren / jaar weekend]]*Tariefsopbouw!$D$40</f>
        <v>0</v>
      </c>
      <c r="AF341" s="66">
        <f>Ruimtestaat[[#This Row],[Prest. (m2 /jaar) weekend]]+Ruimtestaat[[#This Row],[Prest. (m2 /jaar) werkdagen]]</f>
        <v>3240</v>
      </c>
      <c r="AG341" s="66">
        <f>Ruimtestaat[[#This Row],[uren / jaar weekend]]+Ruimtestaat[[#This Row],[uren / jaar werkdagen]]</f>
        <v>0</v>
      </c>
      <c r="AH341" s="67">
        <f>Ruimtestaat[[#This Row],[kosten / jaar weekend]]+Ruimtestaat[[#This Row],[kosten / jaar werkdagen]]</f>
        <v>0</v>
      </c>
    </row>
    <row r="342" spans="1:34" ht="15" customHeight="1">
      <c r="A342" s="112">
        <v>2</v>
      </c>
      <c r="B342" s="23" t="str">
        <f>VLOOKUP(Ruimtestaat[[#This Row],[Code]],Locaties[#All],2,FALSE)</f>
        <v>RSG Slingerbos</v>
      </c>
      <c r="C342" s="23" t="str">
        <f>VLOOKUP(Ruimtestaat[[#This Row],[Code]],Locaties[#All],4,FALSE)</f>
        <v>Eisenhowerlaan 59</v>
      </c>
      <c r="D342" s="23" t="str">
        <f>VLOOKUP(Ruimtestaat[[#This Row],[Code]],Locaties[#All],5,FALSE)</f>
        <v>3844 AS</v>
      </c>
      <c r="E342" s="23" t="str">
        <f>VLOOKUP(Ruimtestaat[[#This Row],[Code]],Locaties[#All],6,FALSE)</f>
        <v>Harderwijk</v>
      </c>
      <c r="F342" s="23"/>
      <c r="G342" s="60"/>
      <c r="H342" s="23" t="s">
        <v>837</v>
      </c>
      <c r="I342" s="23" t="s">
        <v>821</v>
      </c>
      <c r="J342" s="3" t="s">
        <v>1077</v>
      </c>
      <c r="K342" s="23">
        <v>5</v>
      </c>
      <c r="L342" s="60" t="str">
        <f>VLOOKUP(K342,Ruimtegroepen[],2,FALSE)</f>
        <v>Sanitair</v>
      </c>
      <c r="M342" s="23" t="s">
        <v>113</v>
      </c>
      <c r="N342" s="23" t="s">
        <v>1091</v>
      </c>
      <c r="O342" s="86">
        <v>16</v>
      </c>
      <c r="P342" s="86"/>
      <c r="Q342" s="95" t="str">
        <f>LEFT(VLOOKUP(Ruimtestaat[[#This Row],[Ruimte code]],Ruimtegroepen[#All],4,1),2)</f>
        <v xml:space="preserve">S </v>
      </c>
      <c r="R342" s="95"/>
      <c r="S342" s="87">
        <v>40</v>
      </c>
      <c r="T342" s="87" t="s">
        <v>2</v>
      </c>
      <c r="U342" s="88">
        <f>IF(S342&gt;0,IF(RIGHT(Ruimtestaat[[#This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42" s="88">
        <f>IF(U342&gt;0,VLOOKUP($K342,Ruimtegroepen[],3,FALSE)*VLOOKUP($M342,Vloersoorten[],3,FALSE)*VLOOKUP($T342,Frequenties[],3,FALSE)*VLOOKUP($A342,Locaties[],3,FALSE),0)</f>
        <v>0</v>
      </c>
      <c r="W342" s="89">
        <f>Ruimtestaat[[#This Row],[Uitvoeringen werkdagen]]*Ruimtestaat[[#This Row],[Oppervlak (netto)]]</f>
        <v>3200</v>
      </c>
      <c r="X342" s="90">
        <f>IF(V342&gt;0,Ruimtestaat[[#This Row],[Prest. (m2 /jaar) werkdagen]]/Ruimtestaat[[#This Row],[Norm (m2/uur) werkdagen]],0)</f>
        <v>0</v>
      </c>
      <c r="Y342" s="91">
        <f>Ruimtestaat[[#This Row],[uren / jaar werkdagen]]*Tariefsopbouw!$E$35</f>
        <v>0</v>
      </c>
      <c r="Z342" s="88"/>
      <c r="AA342" s="92">
        <f>IF(Ruimtestaat[[#This Row],[Frequentie weekend]]&gt;0,VALUE(LEFT(Z342,1))*S342,0)</f>
        <v>0</v>
      </c>
      <c r="AB342" s="88">
        <f>IF($AA342&gt;0,VLOOKUP($K342,Ruimtegroepen[],3,FALSE)*VLOOKUP($M342,Vloersoorten[],3,FALSE)*VLOOKUP($Z342,Frequenties[],3,FALSE)*VLOOKUP(#REF!,Locaties[],3,FALSE),0)</f>
        <v>0</v>
      </c>
      <c r="AC342" s="90">
        <f>Ruimtestaat[[#This Row],[Uitvoeringen weekend]]*Ruimtestaat[[#This Row],[Oppervlak (netto)]]</f>
        <v>0</v>
      </c>
      <c r="AD342" s="93">
        <f>IF(AC342&gt;0,Ruimtestaat[[#This Row],[Prest. (m2 /jaar) weekend]]/Ruimtestaat[[#This Row],[Norm (m2/uur) weekend]],0)</f>
        <v>0</v>
      </c>
      <c r="AE342" s="94">
        <f>Ruimtestaat[[#This Row],[uren / jaar weekend]]*Tariefsopbouw!$D$40</f>
        <v>0</v>
      </c>
      <c r="AF342" s="66">
        <f>Ruimtestaat[[#This Row],[Prest. (m2 /jaar) weekend]]+Ruimtestaat[[#This Row],[Prest. (m2 /jaar) werkdagen]]</f>
        <v>3200</v>
      </c>
      <c r="AG342" s="66">
        <f>Ruimtestaat[[#This Row],[uren / jaar weekend]]+Ruimtestaat[[#This Row],[uren / jaar werkdagen]]</f>
        <v>0</v>
      </c>
      <c r="AH342" s="67">
        <f>Ruimtestaat[[#This Row],[kosten / jaar weekend]]+Ruimtestaat[[#This Row],[kosten / jaar werkdagen]]</f>
        <v>0</v>
      </c>
    </row>
    <row r="343" spans="1:34" ht="15" customHeight="1">
      <c r="A343" s="112">
        <v>2</v>
      </c>
      <c r="B343" s="23" t="str">
        <f>VLOOKUP(Ruimtestaat[[#This Row],[Code]],Locaties[#All],2,FALSE)</f>
        <v>RSG Slingerbos</v>
      </c>
      <c r="C343" s="23" t="str">
        <f>VLOOKUP(Ruimtestaat[[#This Row],[Code]],Locaties[#All],4,FALSE)</f>
        <v>Eisenhowerlaan 59</v>
      </c>
      <c r="D343" s="23" t="str">
        <f>VLOOKUP(Ruimtestaat[[#This Row],[Code]],Locaties[#All],5,FALSE)</f>
        <v>3844 AS</v>
      </c>
      <c r="E343" s="23" t="str">
        <f>VLOOKUP(Ruimtestaat[[#This Row],[Code]],Locaties[#All],6,FALSE)</f>
        <v>Harderwijk</v>
      </c>
      <c r="F343" s="23"/>
      <c r="G343" s="60"/>
      <c r="H343" s="23" t="s">
        <v>837</v>
      </c>
      <c r="I343" s="23" t="s">
        <v>822</v>
      </c>
      <c r="J343" s="3" t="s">
        <v>1078</v>
      </c>
      <c r="K343" s="23">
        <v>23</v>
      </c>
      <c r="L343" s="60" t="str">
        <f>VLOOKUP(K343,Ruimtegroepen[],2,FALSE)</f>
        <v>Niet in onderhoud</v>
      </c>
      <c r="M343" s="23" t="s">
        <v>113</v>
      </c>
      <c r="N343" s="23" t="s">
        <v>1091</v>
      </c>
      <c r="O343" s="86"/>
      <c r="P343" s="86">
        <v>3.9</v>
      </c>
      <c r="Q343" s="95" t="str">
        <f>LEFT(VLOOKUP(Ruimtestaat[[#This Row],[Ruimte code]],Ruimtegroepen[#All],4,1),2)</f>
        <v/>
      </c>
      <c r="R343" s="95"/>
      <c r="S343" s="87"/>
      <c r="T343" s="87"/>
      <c r="U343" s="88">
        <f>IF(S343&gt;0,IF(RIGHT(Ruimtestaat[[#This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43" s="88">
        <f>IF(U343&gt;0,VLOOKUP($K343,Ruimtegroepen[],3,FALSE)*VLOOKUP($M343,Vloersoorten[],3,FALSE)*VLOOKUP($T343,Frequenties[],3,FALSE)*VLOOKUP($A343,Locaties[],3,FALSE),0)</f>
        <v>0</v>
      </c>
      <c r="W343" s="89">
        <f>Ruimtestaat[[#This Row],[Uitvoeringen werkdagen]]*Ruimtestaat[[#This Row],[Oppervlak (netto)]]</f>
        <v>0</v>
      </c>
      <c r="X343" s="90">
        <f>IF(V343&gt;0,Ruimtestaat[[#This Row],[Prest. (m2 /jaar) werkdagen]]/Ruimtestaat[[#This Row],[Norm (m2/uur) werkdagen]],0)</f>
        <v>0</v>
      </c>
      <c r="Y343" s="91">
        <f>Ruimtestaat[[#This Row],[uren / jaar werkdagen]]*Tariefsopbouw!$E$35</f>
        <v>0</v>
      </c>
      <c r="Z343" s="88"/>
      <c r="AA343" s="92">
        <f>IF(Ruimtestaat[[#This Row],[Frequentie weekend]]&gt;0,VALUE(LEFT(Z343,1))*S343,0)</f>
        <v>0</v>
      </c>
      <c r="AB343" s="88">
        <f>IF($AA343&gt;0,VLOOKUP($K343,Ruimtegroepen[],3,FALSE)*VLOOKUP($M343,Vloersoorten[],3,FALSE)*VLOOKUP($Z343,Frequenties[],3,FALSE)*VLOOKUP(#REF!,Locaties[],3,FALSE),0)</f>
        <v>0</v>
      </c>
      <c r="AC343" s="90">
        <f>Ruimtestaat[[#This Row],[Uitvoeringen weekend]]*Ruimtestaat[[#This Row],[Oppervlak (netto)]]</f>
        <v>0</v>
      </c>
      <c r="AD343" s="93">
        <f>IF(AC343&gt;0,Ruimtestaat[[#This Row],[Prest. (m2 /jaar) weekend]]/Ruimtestaat[[#This Row],[Norm (m2/uur) weekend]],0)</f>
        <v>0</v>
      </c>
      <c r="AE343" s="94">
        <f>Ruimtestaat[[#This Row],[uren / jaar weekend]]*Tariefsopbouw!$D$40</f>
        <v>0</v>
      </c>
      <c r="AF343" s="66">
        <f>Ruimtestaat[[#This Row],[Prest. (m2 /jaar) weekend]]+Ruimtestaat[[#This Row],[Prest. (m2 /jaar) werkdagen]]</f>
        <v>0</v>
      </c>
      <c r="AG343" s="66">
        <f>Ruimtestaat[[#This Row],[uren / jaar weekend]]+Ruimtestaat[[#This Row],[uren / jaar werkdagen]]</f>
        <v>0</v>
      </c>
      <c r="AH343" s="67">
        <f>Ruimtestaat[[#This Row],[kosten / jaar weekend]]+Ruimtestaat[[#This Row],[kosten / jaar werkdagen]]</f>
        <v>0</v>
      </c>
    </row>
    <row r="344" spans="1:34" ht="15" customHeight="1">
      <c r="A344" s="112">
        <v>2</v>
      </c>
      <c r="B344" s="23" t="str">
        <f>VLOOKUP(Ruimtestaat[[#This Row],[Code]],Locaties[#All],2,FALSE)</f>
        <v>RSG Slingerbos</v>
      </c>
      <c r="C344" s="23" t="str">
        <f>VLOOKUP(Ruimtestaat[[#This Row],[Code]],Locaties[#All],4,FALSE)</f>
        <v>Eisenhowerlaan 59</v>
      </c>
      <c r="D344" s="23" t="str">
        <f>VLOOKUP(Ruimtestaat[[#This Row],[Code]],Locaties[#All],5,FALSE)</f>
        <v>3844 AS</v>
      </c>
      <c r="E344" s="23" t="str">
        <f>VLOOKUP(Ruimtestaat[[#This Row],[Code]],Locaties[#All],6,FALSE)</f>
        <v>Harderwijk</v>
      </c>
      <c r="F344" s="23"/>
      <c r="G344" s="60"/>
      <c r="H344" s="23" t="s">
        <v>837</v>
      </c>
      <c r="I344" s="23" t="s">
        <v>823</v>
      </c>
      <c r="J344" s="3" t="s">
        <v>1079</v>
      </c>
      <c r="K344" s="23">
        <v>1</v>
      </c>
      <c r="L344" s="60" t="str">
        <f>VLOOKUP(K344,Ruimtegroepen[],2,FALSE)</f>
        <v>Magazijnen/bergingen</v>
      </c>
      <c r="M344" s="23" t="s">
        <v>113</v>
      </c>
      <c r="N344" s="23" t="s">
        <v>1091</v>
      </c>
      <c r="O344" s="86">
        <v>6.3</v>
      </c>
      <c r="P344" s="86"/>
      <c r="Q344" s="95" t="str">
        <f>LEFT(VLOOKUP(Ruimtestaat[[#This Row],[Ruimte code]],Ruimtegroepen[#All],4,1),2)</f>
        <v xml:space="preserve">V </v>
      </c>
      <c r="R344" s="95"/>
      <c r="S344" s="87">
        <v>40</v>
      </c>
      <c r="T344" s="87" t="s">
        <v>16</v>
      </c>
      <c r="U344" s="88">
        <f>IF(S344&gt;0,IF(RIGHT(Ruimtestaat[[#This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V344" s="88">
        <f>IF(U344&gt;0,VLOOKUP($K344,Ruimtegroepen[],3,FALSE)*VLOOKUP($M344,Vloersoorten[],3,FALSE)*VLOOKUP($T344,Frequenties[],3,FALSE)*VLOOKUP($A344,Locaties[],3,FALSE),0)</f>
        <v>0</v>
      </c>
      <c r="W344" s="89">
        <f>Ruimtestaat[[#This Row],[Uitvoeringen werkdagen]]*Ruimtestaat[[#This Row],[Oppervlak (netto)]]</f>
        <v>75.599999999999994</v>
      </c>
      <c r="X344" s="90">
        <f>IF(V344&gt;0,Ruimtestaat[[#This Row],[Prest. (m2 /jaar) werkdagen]]/Ruimtestaat[[#This Row],[Norm (m2/uur) werkdagen]],0)</f>
        <v>0</v>
      </c>
      <c r="Y344" s="91">
        <f>Ruimtestaat[[#This Row],[uren / jaar werkdagen]]*Tariefsopbouw!$E$35</f>
        <v>0</v>
      </c>
      <c r="Z344" s="88"/>
      <c r="AA344" s="92">
        <f>IF(Ruimtestaat[[#This Row],[Frequentie weekend]]&gt;0,VALUE(LEFT(Z344,1))*S344,0)</f>
        <v>0</v>
      </c>
      <c r="AB344" s="88">
        <f>IF($AA344&gt;0,VLOOKUP($K344,Ruimtegroepen[],3,FALSE)*VLOOKUP($M344,Vloersoorten[],3,FALSE)*VLOOKUP($Z344,Frequenties[],3,FALSE)*VLOOKUP(#REF!,Locaties[],3,FALSE),0)</f>
        <v>0</v>
      </c>
      <c r="AC344" s="90">
        <f>Ruimtestaat[[#This Row],[Uitvoeringen weekend]]*Ruimtestaat[[#This Row],[Oppervlak (netto)]]</f>
        <v>0</v>
      </c>
      <c r="AD344" s="93">
        <f>IF(AC344&gt;0,Ruimtestaat[[#This Row],[Prest. (m2 /jaar) weekend]]/Ruimtestaat[[#This Row],[Norm (m2/uur) weekend]],0)</f>
        <v>0</v>
      </c>
      <c r="AE344" s="94">
        <f>Ruimtestaat[[#This Row],[uren / jaar weekend]]*Tariefsopbouw!$D$40</f>
        <v>0</v>
      </c>
      <c r="AF344" s="66">
        <f>Ruimtestaat[[#This Row],[Prest. (m2 /jaar) weekend]]+Ruimtestaat[[#This Row],[Prest. (m2 /jaar) werkdagen]]</f>
        <v>75.599999999999994</v>
      </c>
      <c r="AG344" s="66">
        <f>Ruimtestaat[[#This Row],[uren / jaar weekend]]+Ruimtestaat[[#This Row],[uren / jaar werkdagen]]</f>
        <v>0</v>
      </c>
      <c r="AH344" s="67">
        <f>Ruimtestaat[[#This Row],[kosten / jaar weekend]]+Ruimtestaat[[#This Row],[kosten / jaar werkdagen]]</f>
        <v>0</v>
      </c>
    </row>
    <row r="345" spans="1:34" ht="15" customHeight="1">
      <c r="A345" s="112">
        <v>2</v>
      </c>
      <c r="B345" s="23" t="str">
        <f>VLOOKUP(Ruimtestaat[[#This Row],[Code]],Locaties[#All],2,FALSE)</f>
        <v>RSG Slingerbos</v>
      </c>
      <c r="C345" s="23" t="str">
        <f>VLOOKUP(Ruimtestaat[[#This Row],[Code]],Locaties[#All],4,FALSE)</f>
        <v>Eisenhowerlaan 59</v>
      </c>
      <c r="D345" s="23" t="str">
        <f>VLOOKUP(Ruimtestaat[[#This Row],[Code]],Locaties[#All],5,FALSE)</f>
        <v>3844 AS</v>
      </c>
      <c r="E345" s="23" t="str">
        <f>VLOOKUP(Ruimtestaat[[#This Row],[Code]],Locaties[#All],6,FALSE)</f>
        <v>Harderwijk</v>
      </c>
      <c r="F345" s="23"/>
      <c r="G345" s="60"/>
      <c r="H345" s="23" t="s">
        <v>837</v>
      </c>
      <c r="I345" s="23" t="s">
        <v>824</v>
      </c>
      <c r="J345" s="3" t="s">
        <v>1080</v>
      </c>
      <c r="K345" s="23">
        <v>5</v>
      </c>
      <c r="L345" s="60" t="str">
        <f>VLOOKUP(K345,Ruimtegroepen[],2,FALSE)</f>
        <v>Sanitair</v>
      </c>
      <c r="M345" s="23" t="s">
        <v>113</v>
      </c>
      <c r="N345" s="23" t="s">
        <v>1091</v>
      </c>
      <c r="O345" s="86">
        <v>13.1</v>
      </c>
      <c r="P345" s="86"/>
      <c r="Q345" s="95" t="str">
        <f>LEFT(VLOOKUP(Ruimtestaat[[#This Row],[Ruimte code]],Ruimtegroepen[#All],4,1),2)</f>
        <v xml:space="preserve">S </v>
      </c>
      <c r="R345" s="95"/>
      <c r="S345" s="87">
        <v>40</v>
      </c>
      <c r="T345" s="87" t="s">
        <v>2</v>
      </c>
      <c r="U345" s="88">
        <f>IF(S345&gt;0,IF(RIGHT(Ruimtestaat[[#This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45" s="88">
        <f>IF(U345&gt;0,VLOOKUP($K345,Ruimtegroepen[],3,FALSE)*VLOOKUP($M345,Vloersoorten[],3,FALSE)*VLOOKUP($T345,Frequenties[],3,FALSE)*VLOOKUP($A345,Locaties[],3,FALSE),0)</f>
        <v>0</v>
      </c>
      <c r="W345" s="89">
        <f>Ruimtestaat[[#This Row],[Uitvoeringen werkdagen]]*Ruimtestaat[[#This Row],[Oppervlak (netto)]]</f>
        <v>2620</v>
      </c>
      <c r="X345" s="90">
        <f>IF(V345&gt;0,Ruimtestaat[[#This Row],[Prest. (m2 /jaar) werkdagen]]/Ruimtestaat[[#This Row],[Norm (m2/uur) werkdagen]],0)</f>
        <v>0</v>
      </c>
      <c r="Y345" s="91">
        <f>Ruimtestaat[[#This Row],[uren / jaar werkdagen]]*Tariefsopbouw!$E$35</f>
        <v>0</v>
      </c>
      <c r="Z345" s="88"/>
      <c r="AA345" s="92">
        <f>IF(Ruimtestaat[[#This Row],[Frequentie weekend]]&gt;0,VALUE(LEFT(Z345,1))*S345,0)</f>
        <v>0</v>
      </c>
      <c r="AB345" s="88">
        <f>IF($AA345&gt;0,VLOOKUP($K345,Ruimtegroepen[],3,FALSE)*VLOOKUP($M345,Vloersoorten[],3,FALSE)*VLOOKUP($Z345,Frequenties[],3,FALSE)*VLOOKUP(#REF!,Locaties[],3,FALSE),0)</f>
        <v>0</v>
      </c>
      <c r="AC345" s="90">
        <f>Ruimtestaat[[#This Row],[Uitvoeringen weekend]]*Ruimtestaat[[#This Row],[Oppervlak (netto)]]</f>
        <v>0</v>
      </c>
      <c r="AD345" s="93">
        <f>IF(AC345&gt;0,Ruimtestaat[[#This Row],[Prest. (m2 /jaar) weekend]]/Ruimtestaat[[#This Row],[Norm (m2/uur) weekend]],0)</f>
        <v>0</v>
      </c>
      <c r="AE345" s="94">
        <f>Ruimtestaat[[#This Row],[uren / jaar weekend]]*Tariefsopbouw!$D$40</f>
        <v>0</v>
      </c>
      <c r="AF345" s="66">
        <f>Ruimtestaat[[#This Row],[Prest. (m2 /jaar) weekend]]+Ruimtestaat[[#This Row],[Prest. (m2 /jaar) werkdagen]]</f>
        <v>2620</v>
      </c>
      <c r="AG345" s="66">
        <f>Ruimtestaat[[#This Row],[uren / jaar weekend]]+Ruimtestaat[[#This Row],[uren / jaar werkdagen]]</f>
        <v>0</v>
      </c>
      <c r="AH345" s="67">
        <f>Ruimtestaat[[#This Row],[kosten / jaar weekend]]+Ruimtestaat[[#This Row],[kosten / jaar werkdagen]]</f>
        <v>0</v>
      </c>
    </row>
    <row r="346" spans="1:34" ht="15" customHeight="1">
      <c r="A346" s="112">
        <v>2</v>
      </c>
      <c r="B346" s="23" t="str">
        <f>VLOOKUP(Ruimtestaat[[#This Row],[Code]],Locaties[#All],2,FALSE)</f>
        <v>RSG Slingerbos</v>
      </c>
      <c r="C346" s="23" t="str">
        <f>VLOOKUP(Ruimtestaat[[#This Row],[Code]],Locaties[#All],4,FALSE)</f>
        <v>Eisenhowerlaan 59</v>
      </c>
      <c r="D346" s="23" t="str">
        <f>VLOOKUP(Ruimtestaat[[#This Row],[Code]],Locaties[#All],5,FALSE)</f>
        <v>3844 AS</v>
      </c>
      <c r="E346" s="23" t="str">
        <f>VLOOKUP(Ruimtestaat[[#This Row],[Code]],Locaties[#All],6,FALSE)</f>
        <v>Harderwijk</v>
      </c>
      <c r="F346" s="23"/>
      <c r="G346" s="60"/>
      <c r="H346" s="23" t="s">
        <v>837</v>
      </c>
      <c r="I346" s="23" t="s">
        <v>825</v>
      </c>
      <c r="J346" s="3" t="s">
        <v>1081</v>
      </c>
      <c r="K346" s="23">
        <v>5</v>
      </c>
      <c r="L346" s="60" t="str">
        <f>VLOOKUP(K346,Ruimtegroepen[],2,FALSE)</f>
        <v>Sanitair</v>
      </c>
      <c r="M346" s="23" t="s">
        <v>113</v>
      </c>
      <c r="N346" s="23" t="s">
        <v>1091</v>
      </c>
      <c r="O346" s="86">
        <v>17.7</v>
      </c>
      <c r="P346" s="86"/>
      <c r="Q346" s="95" t="str">
        <f>LEFT(VLOOKUP(Ruimtestaat[[#This Row],[Ruimte code]],Ruimtegroepen[#All],4,1),2)</f>
        <v xml:space="preserve">S </v>
      </c>
      <c r="R346" s="95"/>
      <c r="S346" s="87">
        <v>40</v>
      </c>
      <c r="T346" s="87" t="s">
        <v>2</v>
      </c>
      <c r="U346" s="88">
        <f>IF(S346&gt;0,IF(RIGHT(Ruimtestaat[[#This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46" s="88">
        <f>IF(U346&gt;0,VLOOKUP($K346,Ruimtegroepen[],3,FALSE)*VLOOKUP($M346,Vloersoorten[],3,FALSE)*VLOOKUP($T346,Frequenties[],3,FALSE)*VLOOKUP($A346,Locaties[],3,FALSE),0)</f>
        <v>0</v>
      </c>
      <c r="W346" s="89">
        <f>Ruimtestaat[[#This Row],[Uitvoeringen werkdagen]]*Ruimtestaat[[#This Row],[Oppervlak (netto)]]</f>
        <v>3540</v>
      </c>
      <c r="X346" s="90">
        <f>IF(V346&gt;0,Ruimtestaat[[#This Row],[Prest. (m2 /jaar) werkdagen]]/Ruimtestaat[[#This Row],[Norm (m2/uur) werkdagen]],0)</f>
        <v>0</v>
      </c>
      <c r="Y346" s="91">
        <f>Ruimtestaat[[#This Row],[uren / jaar werkdagen]]*Tariefsopbouw!$E$35</f>
        <v>0</v>
      </c>
      <c r="Z346" s="88"/>
      <c r="AA346" s="92">
        <f>IF(Ruimtestaat[[#This Row],[Frequentie weekend]]&gt;0,VALUE(LEFT(Z346,1))*S346,0)</f>
        <v>0</v>
      </c>
      <c r="AB346" s="88">
        <f>IF($AA346&gt;0,VLOOKUP($K346,Ruimtegroepen[],3,FALSE)*VLOOKUP($M346,Vloersoorten[],3,FALSE)*VLOOKUP($Z346,Frequenties[],3,FALSE)*VLOOKUP(#REF!,Locaties[],3,FALSE),0)</f>
        <v>0</v>
      </c>
      <c r="AC346" s="90">
        <f>Ruimtestaat[[#This Row],[Uitvoeringen weekend]]*Ruimtestaat[[#This Row],[Oppervlak (netto)]]</f>
        <v>0</v>
      </c>
      <c r="AD346" s="93">
        <f>IF(AC346&gt;0,Ruimtestaat[[#This Row],[Prest. (m2 /jaar) weekend]]/Ruimtestaat[[#This Row],[Norm (m2/uur) weekend]],0)</f>
        <v>0</v>
      </c>
      <c r="AE346" s="94">
        <f>Ruimtestaat[[#This Row],[uren / jaar weekend]]*Tariefsopbouw!$D$40</f>
        <v>0</v>
      </c>
      <c r="AF346" s="66">
        <f>Ruimtestaat[[#This Row],[Prest. (m2 /jaar) weekend]]+Ruimtestaat[[#This Row],[Prest. (m2 /jaar) werkdagen]]</f>
        <v>3540</v>
      </c>
      <c r="AG346" s="66">
        <f>Ruimtestaat[[#This Row],[uren / jaar weekend]]+Ruimtestaat[[#This Row],[uren / jaar werkdagen]]</f>
        <v>0</v>
      </c>
      <c r="AH346" s="67">
        <f>Ruimtestaat[[#This Row],[kosten / jaar weekend]]+Ruimtestaat[[#This Row],[kosten / jaar werkdagen]]</f>
        <v>0</v>
      </c>
    </row>
    <row r="347" spans="1:34" ht="15" customHeight="1">
      <c r="A347" s="112">
        <v>2</v>
      </c>
      <c r="B347" s="23" t="str">
        <f>VLOOKUP(Ruimtestaat[[#This Row],[Code]],Locaties[#All],2,FALSE)</f>
        <v>RSG Slingerbos</v>
      </c>
      <c r="C347" s="23" t="str">
        <f>VLOOKUP(Ruimtestaat[[#This Row],[Code]],Locaties[#All],4,FALSE)</f>
        <v>Eisenhowerlaan 59</v>
      </c>
      <c r="D347" s="23" t="str">
        <f>VLOOKUP(Ruimtestaat[[#This Row],[Code]],Locaties[#All],5,FALSE)</f>
        <v>3844 AS</v>
      </c>
      <c r="E347" s="23" t="str">
        <f>VLOOKUP(Ruimtestaat[[#This Row],[Code]],Locaties[#All],6,FALSE)</f>
        <v>Harderwijk</v>
      </c>
      <c r="F347" s="23"/>
      <c r="G347" s="60"/>
      <c r="H347" s="23" t="s">
        <v>837</v>
      </c>
      <c r="I347" s="23" t="s">
        <v>822</v>
      </c>
      <c r="J347" s="3" t="s">
        <v>1082</v>
      </c>
      <c r="K347" s="23">
        <v>23</v>
      </c>
      <c r="L347" s="60" t="str">
        <f>VLOOKUP(K347,Ruimtegroepen[],2,FALSE)</f>
        <v>Niet in onderhoud</v>
      </c>
      <c r="M347" s="23" t="s">
        <v>113</v>
      </c>
      <c r="N347" s="23" t="s">
        <v>1091</v>
      </c>
      <c r="O347" s="86"/>
      <c r="P347" s="86">
        <v>3.9</v>
      </c>
      <c r="Q347" s="95" t="str">
        <f>LEFT(VLOOKUP(Ruimtestaat[[#This Row],[Ruimte code]],Ruimtegroepen[#All],4,1),2)</f>
        <v/>
      </c>
      <c r="R347" s="95"/>
      <c r="S347" s="87"/>
      <c r="T347" s="87"/>
      <c r="U347" s="88">
        <f>IF(S347&gt;0,IF(RIGHT(Ruimtestaat[[#This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47" s="88">
        <f>IF(U347&gt;0,VLOOKUP($K347,Ruimtegroepen[],3,FALSE)*VLOOKUP($M347,Vloersoorten[],3,FALSE)*VLOOKUP($T347,Frequenties[],3,FALSE)*VLOOKUP($A347,Locaties[],3,FALSE),0)</f>
        <v>0</v>
      </c>
      <c r="W347" s="89">
        <f>Ruimtestaat[[#This Row],[Uitvoeringen werkdagen]]*Ruimtestaat[[#This Row],[Oppervlak (netto)]]</f>
        <v>0</v>
      </c>
      <c r="X347" s="90">
        <f>IF(V347&gt;0,Ruimtestaat[[#This Row],[Prest. (m2 /jaar) werkdagen]]/Ruimtestaat[[#This Row],[Norm (m2/uur) werkdagen]],0)</f>
        <v>0</v>
      </c>
      <c r="Y347" s="91">
        <f>Ruimtestaat[[#This Row],[uren / jaar werkdagen]]*Tariefsopbouw!$E$35</f>
        <v>0</v>
      </c>
      <c r="Z347" s="88"/>
      <c r="AA347" s="92">
        <f>IF(Ruimtestaat[[#This Row],[Frequentie weekend]]&gt;0,VALUE(LEFT(Z347,1))*S347,0)</f>
        <v>0</v>
      </c>
      <c r="AB347" s="88">
        <f>IF($AA347&gt;0,VLOOKUP($K347,Ruimtegroepen[],3,FALSE)*VLOOKUP($M347,Vloersoorten[],3,FALSE)*VLOOKUP($Z347,Frequenties[],3,FALSE)*VLOOKUP(#REF!,Locaties[],3,FALSE),0)</f>
        <v>0</v>
      </c>
      <c r="AC347" s="90">
        <f>Ruimtestaat[[#This Row],[Uitvoeringen weekend]]*Ruimtestaat[[#This Row],[Oppervlak (netto)]]</f>
        <v>0</v>
      </c>
      <c r="AD347" s="93">
        <f>IF(AC347&gt;0,Ruimtestaat[[#This Row],[Prest. (m2 /jaar) weekend]]/Ruimtestaat[[#This Row],[Norm (m2/uur) weekend]],0)</f>
        <v>0</v>
      </c>
      <c r="AE347" s="94">
        <f>Ruimtestaat[[#This Row],[uren / jaar weekend]]*Tariefsopbouw!$D$40</f>
        <v>0</v>
      </c>
      <c r="AF347" s="66">
        <f>Ruimtestaat[[#This Row],[Prest. (m2 /jaar) weekend]]+Ruimtestaat[[#This Row],[Prest. (m2 /jaar) werkdagen]]</f>
        <v>0</v>
      </c>
      <c r="AG347" s="66">
        <f>Ruimtestaat[[#This Row],[uren / jaar weekend]]+Ruimtestaat[[#This Row],[uren / jaar werkdagen]]</f>
        <v>0</v>
      </c>
      <c r="AH347" s="67">
        <f>Ruimtestaat[[#This Row],[kosten / jaar weekend]]+Ruimtestaat[[#This Row],[kosten / jaar werkdagen]]</f>
        <v>0</v>
      </c>
    </row>
    <row r="348" spans="1:34" ht="15" customHeight="1">
      <c r="A348" s="112">
        <v>2</v>
      </c>
      <c r="B348" s="23" t="str">
        <f>VLOOKUP(Ruimtestaat[[#This Row],[Code]],Locaties[#All],2,FALSE)</f>
        <v>RSG Slingerbos</v>
      </c>
      <c r="C348" s="23" t="str">
        <f>VLOOKUP(Ruimtestaat[[#This Row],[Code]],Locaties[#All],4,FALSE)</f>
        <v>Eisenhowerlaan 59</v>
      </c>
      <c r="D348" s="23" t="str">
        <f>VLOOKUP(Ruimtestaat[[#This Row],[Code]],Locaties[#All],5,FALSE)</f>
        <v>3844 AS</v>
      </c>
      <c r="E348" s="23" t="str">
        <f>VLOOKUP(Ruimtestaat[[#This Row],[Code]],Locaties[#All],6,FALSE)</f>
        <v>Harderwijk</v>
      </c>
      <c r="F348" s="23"/>
      <c r="G348" s="60" t="s">
        <v>973</v>
      </c>
      <c r="H348" s="23" t="s">
        <v>837</v>
      </c>
      <c r="I348" s="23" t="s">
        <v>826</v>
      </c>
      <c r="J348" s="3" t="s">
        <v>1083</v>
      </c>
      <c r="K348" s="23">
        <v>23</v>
      </c>
      <c r="L348" s="60" t="str">
        <f>VLOOKUP(K348,Ruimtegroepen[],2,FALSE)</f>
        <v>Niet in onderhoud</v>
      </c>
      <c r="M348" s="23" t="s">
        <v>112</v>
      </c>
      <c r="N348" s="23" t="s">
        <v>1090</v>
      </c>
      <c r="O348" s="86"/>
      <c r="P348" s="86">
        <v>64.3</v>
      </c>
      <c r="Q348" s="95" t="str">
        <f>LEFT(VLOOKUP(Ruimtestaat[[#This Row],[Ruimte code]],Ruimtegroepen[#All],4,1),2)</f>
        <v/>
      </c>
      <c r="R348" s="95"/>
      <c r="S348" s="87"/>
      <c r="T348" s="87"/>
      <c r="U348" s="88">
        <f>IF(S348&gt;0,IF(RIGHT(Ruimtestaat[[#This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48" s="88">
        <f>IF(U348&gt;0,VLOOKUP($K348,Ruimtegroepen[],3,FALSE)*VLOOKUP($M348,Vloersoorten[],3,FALSE)*VLOOKUP($T348,Frequenties[],3,FALSE)*VLOOKUP($A348,Locaties[],3,FALSE),0)</f>
        <v>0</v>
      </c>
      <c r="W348" s="89">
        <f>Ruimtestaat[[#This Row],[Uitvoeringen werkdagen]]*Ruimtestaat[[#This Row],[Oppervlak (netto)]]</f>
        <v>0</v>
      </c>
      <c r="X348" s="90">
        <f>IF(V348&gt;0,Ruimtestaat[[#This Row],[Prest. (m2 /jaar) werkdagen]]/Ruimtestaat[[#This Row],[Norm (m2/uur) werkdagen]],0)</f>
        <v>0</v>
      </c>
      <c r="Y348" s="91">
        <f>Ruimtestaat[[#This Row],[uren / jaar werkdagen]]*Tariefsopbouw!$E$35</f>
        <v>0</v>
      </c>
      <c r="Z348" s="88"/>
      <c r="AA348" s="92">
        <f>IF(Ruimtestaat[[#This Row],[Frequentie weekend]]&gt;0,VALUE(LEFT(Z348,1))*S348,0)</f>
        <v>0</v>
      </c>
      <c r="AB348" s="88">
        <f>IF($AA348&gt;0,VLOOKUP($K348,Ruimtegroepen[],3,FALSE)*VLOOKUP($M348,Vloersoorten[],3,FALSE)*VLOOKUP($Z348,Frequenties[],3,FALSE)*VLOOKUP(#REF!,Locaties[],3,FALSE),0)</f>
        <v>0</v>
      </c>
      <c r="AC348" s="90">
        <f>Ruimtestaat[[#This Row],[Uitvoeringen weekend]]*Ruimtestaat[[#This Row],[Oppervlak (netto)]]</f>
        <v>0</v>
      </c>
      <c r="AD348" s="93">
        <f>IF(AC348&gt;0,Ruimtestaat[[#This Row],[Prest. (m2 /jaar) weekend]]/Ruimtestaat[[#This Row],[Norm (m2/uur) weekend]],0)</f>
        <v>0</v>
      </c>
      <c r="AE348" s="94">
        <f>Ruimtestaat[[#This Row],[uren / jaar weekend]]*Tariefsopbouw!$D$40</f>
        <v>0</v>
      </c>
      <c r="AF348" s="66">
        <f>Ruimtestaat[[#This Row],[Prest. (m2 /jaar) weekend]]+Ruimtestaat[[#This Row],[Prest. (m2 /jaar) werkdagen]]</f>
        <v>0</v>
      </c>
      <c r="AG348" s="66">
        <f>Ruimtestaat[[#This Row],[uren / jaar weekend]]+Ruimtestaat[[#This Row],[uren / jaar werkdagen]]</f>
        <v>0</v>
      </c>
      <c r="AH348" s="67">
        <f>Ruimtestaat[[#This Row],[kosten / jaar weekend]]+Ruimtestaat[[#This Row],[kosten / jaar werkdagen]]</f>
        <v>0</v>
      </c>
    </row>
    <row r="349" spans="1:34" ht="15" customHeight="1">
      <c r="A349" s="112">
        <v>2</v>
      </c>
      <c r="B349" s="23" t="str">
        <f>VLOOKUP(Ruimtestaat[[#This Row],[Code]],Locaties[#All],2,FALSE)</f>
        <v>RSG Slingerbos</v>
      </c>
      <c r="C349" s="23" t="str">
        <f>VLOOKUP(Ruimtestaat[[#This Row],[Code]],Locaties[#All],4,FALSE)</f>
        <v>Eisenhowerlaan 59</v>
      </c>
      <c r="D349" s="23" t="str">
        <f>VLOOKUP(Ruimtestaat[[#This Row],[Code]],Locaties[#All],5,FALSE)</f>
        <v>3844 AS</v>
      </c>
      <c r="E349" s="23" t="str">
        <f>VLOOKUP(Ruimtestaat[[#This Row],[Code]],Locaties[#All],6,FALSE)</f>
        <v>Harderwijk</v>
      </c>
      <c r="F349" s="23"/>
      <c r="G349" s="60" t="s">
        <v>1015</v>
      </c>
      <c r="H349" s="23" t="s">
        <v>837</v>
      </c>
      <c r="I349" s="23">
        <v>114</v>
      </c>
      <c r="J349" s="3" t="s">
        <v>1043</v>
      </c>
      <c r="K349" s="23">
        <v>16</v>
      </c>
      <c r="L349" s="60" t="str">
        <f>VLOOKUP(K349,Ruimtegroepen[],2,FALSE)</f>
        <v>Leslokalen theorie</v>
      </c>
      <c r="M349" s="23" t="s">
        <v>112</v>
      </c>
      <c r="N349" s="23" t="s">
        <v>1090</v>
      </c>
      <c r="O349" s="86">
        <v>47.6</v>
      </c>
      <c r="P349" s="86"/>
      <c r="Q349" s="95" t="str">
        <f>LEFT(VLOOKUP(Ruimtestaat[[#This Row],[Ruimte code]],Ruimtegroepen[#All],4,1),2)</f>
        <v xml:space="preserve">L </v>
      </c>
      <c r="R349" s="95"/>
      <c r="S349" s="87">
        <v>40</v>
      </c>
      <c r="T349" s="87" t="s">
        <v>2</v>
      </c>
      <c r="U349" s="88">
        <f>IF(S349&gt;0,IF(RIGHT(Ruimtestaat[[#This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49" s="88">
        <f>IF(U349&gt;0,VLOOKUP($K349,Ruimtegroepen[],3,FALSE)*VLOOKUP($M349,Vloersoorten[],3,FALSE)*VLOOKUP($T349,Frequenties[],3,FALSE)*VLOOKUP($A349,Locaties[],3,FALSE),0)</f>
        <v>0</v>
      </c>
      <c r="W349" s="89">
        <f>Ruimtestaat[[#This Row],[Uitvoeringen werkdagen]]*Ruimtestaat[[#This Row],[Oppervlak (netto)]]</f>
        <v>9520</v>
      </c>
      <c r="X349" s="90">
        <f>IF(V349&gt;0,Ruimtestaat[[#This Row],[Prest. (m2 /jaar) werkdagen]]/Ruimtestaat[[#This Row],[Norm (m2/uur) werkdagen]],0)</f>
        <v>0</v>
      </c>
      <c r="Y349" s="91">
        <f>Ruimtestaat[[#This Row],[uren / jaar werkdagen]]*Tariefsopbouw!$E$35</f>
        <v>0</v>
      </c>
      <c r="Z349" s="88"/>
      <c r="AA349" s="92">
        <f>IF(Ruimtestaat[[#This Row],[Frequentie weekend]]&gt;0,VALUE(LEFT(Z349,1))*S349,0)</f>
        <v>0</v>
      </c>
      <c r="AB349" s="88">
        <f>IF($AA349&gt;0,VLOOKUP($K349,Ruimtegroepen[],3,FALSE)*VLOOKUP($M349,Vloersoorten[],3,FALSE)*VLOOKUP($Z349,Frequenties[],3,FALSE)*VLOOKUP(#REF!,Locaties[],3,FALSE),0)</f>
        <v>0</v>
      </c>
      <c r="AC349" s="90">
        <f>Ruimtestaat[[#This Row],[Uitvoeringen weekend]]*Ruimtestaat[[#This Row],[Oppervlak (netto)]]</f>
        <v>0</v>
      </c>
      <c r="AD349" s="93">
        <f>IF(AC349&gt;0,Ruimtestaat[[#This Row],[Prest. (m2 /jaar) weekend]]/Ruimtestaat[[#This Row],[Norm (m2/uur) weekend]],0)</f>
        <v>0</v>
      </c>
      <c r="AE349" s="94">
        <f>Ruimtestaat[[#This Row],[uren / jaar weekend]]*Tariefsopbouw!$D$40</f>
        <v>0</v>
      </c>
      <c r="AF349" s="66">
        <f>Ruimtestaat[[#This Row],[Prest. (m2 /jaar) weekend]]+Ruimtestaat[[#This Row],[Prest. (m2 /jaar) werkdagen]]</f>
        <v>9520</v>
      </c>
      <c r="AG349" s="66">
        <f>Ruimtestaat[[#This Row],[uren / jaar weekend]]+Ruimtestaat[[#This Row],[uren / jaar werkdagen]]</f>
        <v>0</v>
      </c>
      <c r="AH349" s="67">
        <f>Ruimtestaat[[#This Row],[kosten / jaar weekend]]+Ruimtestaat[[#This Row],[kosten / jaar werkdagen]]</f>
        <v>0</v>
      </c>
    </row>
    <row r="350" spans="1:34" ht="15" customHeight="1">
      <c r="A350" s="112">
        <v>2</v>
      </c>
      <c r="B350" s="23" t="str">
        <f>VLOOKUP(Ruimtestaat[[#This Row],[Code]],Locaties[#All],2,FALSE)</f>
        <v>RSG Slingerbos</v>
      </c>
      <c r="C350" s="23" t="str">
        <f>VLOOKUP(Ruimtestaat[[#This Row],[Code]],Locaties[#All],4,FALSE)</f>
        <v>Eisenhowerlaan 59</v>
      </c>
      <c r="D350" s="23" t="str">
        <f>VLOOKUP(Ruimtestaat[[#This Row],[Code]],Locaties[#All],5,FALSE)</f>
        <v>3844 AS</v>
      </c>
      <c r="E350" s="23" t="str">
        <f>VLOOKUP(Ruimtestaat[[#This Row],[Code]],Locaties[#All],6,FALSE)</f>
        <v>Harderwijk</v>
      </c>
      <c r="F350" s="23"/>
      <c r="G350" s="60" t="s">
        <v>1016</v>
      </c>
      <c r="H350" s="23" t="s">
        <v>535</v>
      </c>
      <c r="I350" s="23" t="s">
        <v>827</v>
      </c>
      <c r="J350" s="3" t="s">
        <v>1017</v>
      </c>
      <c r="K350" s="23">
        <v>23</v>
      </c>
      <c r="L350" s="60" t="str">
        <f>VLOOKUP(K350,Ruimtegroepen[],2,FALSE)</f>
        <v>Niet in onderhoud</v>
      </c>
      <c r="M350" s="23" t="s">
        <v>112</v>
      </c>
      <c r="N350" s="23" t="s">
        <v>1090</v>
      </c>
      <c r="O350" s="86"/>
      <c r="P350" s="86">
        <v>8.4</v>
      </c>
      <c r="Q350" s="95" t="str">
        <f>LEFT(VLOOKUP(Ruimtestaat[[#This Row],[Ruimte code]],Ruimtegroepen[#All],4,1),2)</f>
        <v/>
      </c>
      <c r="R350" s="95"/>
      <c r="S350" s="87"/>
      <c r="T350" s="87"/>
      <c r="U350" s="88">
        <f>IF(S350&gt;0,IF(RIGHT(Ruimtestaat[[#This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50" s="88">
        <f>IF(U350&gt;0,VLOOKUP($K350,Ruimtegroepen[],3,FALSE)*VLOOKUP($M350,Vloersoorten[],3,FALSE)*VLOOKUP($T350,Frequenties[],3,FALSE)*VLOOKUP($A350,Locaties[],3,FALSE),0)</f>
        <v>0</v>
      </c>
      <c r="W350" s="89">
        <f>Ruimtestaat[[#This Row],[Uitvoeringen werkdagen]]*Ruimtestaat[[#This Row],[Oppervlak (netto)]]</f>
        <v>0</v>
      </c>
      <c r="X350" s="90">
        <f>IF(V350&gt;0,Ruimtestaat[[#This Row],[Prest. (m2 /jaar) werkdagen]]/Ruimtestaat[[#This Row],[Norm (m2/uur) werkdagen]],0)</f>
        <v>0</v>
      </c>
      <c r="Y350" s="91">
        <f>Ruimtestaat[[#This Row],[uren / jaar werkdagen]]*Tariefsopbouw!$E$35</f>
        <v>0</v>
      </c>
      <c r="Z350" s="88"/>
      <c r="AA350" s="92">
        <f>IF(Ruimtestaat[[#This Row],[Frequentie weekend]]&gt;0,VALUE(LEFT(Z350,1))*S350,0)</f>
        <v>0</v>
      </c>
      <c r="AB350" s="88">
        <f>IF($AA350&gt;0,VLOOKUP($K350,Ruimtegroepen[],3,FALSE)*VLOOKUP($M350,Vloersoorten[],3,FALSE)*VLOOKUP($Z350,Frequenties[],3,FALSE)*VLOOKUP(#REF!,Locaties[],3,FALSE),0)</f>
        <v>0</v>
      </c>
      <c r="AC350" s="90">
        <f>Ruimtestaat[[#This Row],[Uitvoeringen weekend]]*Ruimtestaat[[#This Row],[Oppervlak (netto)]]</f>
        <v>0</v>
      </c>
      <c r="AD350" s="93">
        <f>IF(AC350&gt;0,Ruimtestaat[[#This Row],[Prest. (m2 /jaar) weekend]]/Ruimtestaat[[#This Row],[Norm (m2/uur) weekend]],0)</f>
        <v>0</v>
      </c>
      <c r="AE350" s="94">
        <f>Ruimtestaat[[#This Row],[uren / jaar weekend]]*Tariefsopbouw!$D$40</f>
        <v>0</v>
      </c>
      <c r="AF350" s="66">
        <f>Ruimtestaat[[#This Row],[Prest. (m2 /jaar) weekend]]+Ruimtestaat[[#This Row],[Prest. (m2 /jaar) werkdagen]]</f>
        <v>0</v>
      </c>
      <c r="AG350" s="66">
        <f>Ruimtestaat[[#This Row],[uren / jaar weekend]]+Ruimtestaat[[#This Row],[uren / jaar werkdagen]]</f>
        <v>0</v>
      </c>
      <c r="AH350" s="67">
        <f>Ruimtestaat[[#This Row],[kosten / jaar weekend]]+Ruimtestaat[[#This Row],[kosten / jaar werkdagen]]</f>
        <v>0</v>
      </c>
    </row>
    <row r="351" spans="1:34" ht="15" customHeight="1">
      <c r="A351" s="112">
        <v>2</v>
      </c>
      <c r="B351" s="23" t="str">
        <f>VLOOKUP(Ruimtestaat[[#This Row],[Code]],Locaties[#All],2,FALSE)</f>
        <v>RSG Slingerbos</v>
      </c>
      <c r="C351" s="23" t="str">
        <f>VLOOKUP(Ruimtestaat[[#This Row],[Code]],Locaties[#All],4,FALSE)</f>
        <v>Eisenhowerlaan 59</v>
      </c>
      <c r="D351" s="23" t="str">
        <f>VLOOKUP(Ruimtestaat[[#This Row],[Code]],Locaties[#All],5,FALSE)</f>
        <v>3844 AS</v>
      </c>
      <c r="E351" s="23" t="str">
        <f>VLOOKUP(Ruimtestaat[[#This Row],[Code]],Locaties[#All],6,FALSE)</f>
        <v>Harderwijk</v>
      </c>
      <c r="F351" s="23"/>
      <c r="G351" s="60"/>
      <c r="H351" s="23" t="s">
        <v>837</v>
      </c>
      <c r="I351" s="23" t="s">
        <v>828</v>
      </c>
      <c r="J351" s="3" t="s">
        <v>1084</v>
      </c>
      <c r="K351" s="23">
        <v>2</v>
      </c>
      <c r="L351" s="60" t="str">
        <f>VLOOKUP(K351,Ruimtegroepen[],2,FALSE)</f>
        <v>Kantoren</v>
      </c>
      <c r="M351" s="23" t="s">
        <v>112</v>
      </c>
      <c r="N351" s="23" t="s">
        <v>1090</v>
      </c>
      <c r="O351" s="86">
        <v>18</v>
      </c>
      <c r="P351" s="86"/>
      <c r="Q351" s="95" t="str">
        <f>LEFT(VLOOKUP(Ruimtestaat[[#This Row],[Ruimte code]],Ruimtegroepen[#All],4,1),2)</f>
        <v xml:space="preserve">B </v>
      </c>
      <c r="R351" s="95"/>
      <c r="S351" s="87">
        <v>40</v>
      </c>
      <c r="T351" s="87" t="s">
        <v>17</v>
      </c>
      <c r="U351" s="88">
        <f>IF(S351&gt;0,IF(RIGHT(Ruimtestaat[[#This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351" s="88">
        <f>IF(U351&gt;0,VLOOKUP($K351,Ruimtegroepen[],3,FALSE)*VLOOKUP($M351,Vloersoorten[],3,FALSE)*VLOOKUP($T351,Frequenties[],3,FALSE)*VLOOKUP($A351,Locaties[],3,FALSE),0)</f>
        <v>0</v>
      </c>
      <c r="W351" s="89">
        <f>Ruimtestaat[[#This Row],[Uitvoeringen werkdagen]]*Ruimtestaat[[#This Row],[Oppervlak (netto)]]</f>
        <v>1440</v>
      </c>
      <c r="X351" s="90">
        <f>IF(V351&gt;0,Ruimtestaat[[#This Row],[Prest. (m2 /jaar) werkdagen]]/Ruimtestaat[[#This Row],[Norm (m2/uur) werkdagen]],0)</f>
        <v>0</v>
      </c>
      <c r="Y351" s="91">
        <f>Ruimtestaat[[#This Row],[uren / jaar werkdagen]]*Tariefsopbouw!$E$35</f>
        <v>0</v>
      </c>
      <c r="Z351" s="88"/>
      <c r="AA351" s="92">
        <f>IF(Ruimtestaat[[#This Row],[Frequentie weekend]]&gt;0,VALUE(LEFT(Z351,1))*S351,0)</f>
        <v>0</v>
      </c>
      <c r="AB351" s="88">
        <f>IF($AA351&gt;0,VLOOKUP($K351,Ruimtegroepen[],3,FALSE)*VLOOKUP($M351,Vloersoorten[],3,FALSE)*VLOOKUP($Z351,Frequenties[],3,FALSE)*VLOOKUP(#REF!,Locaties[],3,FALSE),0)</f>
        <v>0</v>
      </c>
      <c r="AC351" s="90">
        <f>Ruimtestaat[[#This Row],[Uitvoeringen weekend]]*Ruimtestaat[[#This Row],[Oppervlak (netto)]]</f>
        <v>0</v>
      </c>
      <c r="AD351" s="93">
        <f>IF(AC351&gt;0,Ruimtestaat[[#This Row],[Prest. (m2 /jaar) weekend]]/Ruimtestaat[[#This Row],[Norm (m2/uur) weekend]],0)</f>
        <v>0</v>
      </c>
      <c r="AE351" s="94">
        <f>Ruimtestaat[[#This Row],[uren / jaar weekend]]*Tariefsopbouw!$D$40</f>
        <v>0</v>
      </c>
      <c r="AF351" s="66">
        <f>Ruimtestaat[[#This Row],[Prest. (m2 /jaar) weekend]]+Ruimtestaat[[#This Row],[Prest. (m2 /jaar) werkdagen]]</f>
        <v>1440</v>
      </c>
      <c r="AG351" s="66">
        <f>Ruimtestaat[[#This Row],[uren / jaar weekend]]+Ruimtestaat[[#This Row],[uren / jaar werkdagen]]</f>
        <v>0</v>
      </c>
      <c r="AH351" s="67">
        <f>Ruimtestaat[[#This Row],[kosten / jaar weekend]]+Ruimtestaat[[#This Row],[kosten / jaar werkdagen]]</f>
        <v>0</v>
      </c>
    </row>
    <row r="352" spans="1:34" ht="15" customHeight="1">
      <c r="A352" s="112">
        <v>2</v>
      </c>
      <c r="B352" s="23" t="str">
        <f>VLOOKUP(Ruimtestaat[[#This Row],[Code]],Locaties[#All],2,FALSE)</f>
        <v>RSG Slingerbos</v>
      </c>
      <c r="C352" s="23" t="str">
        <f>VLOOKUP(Ruimtestaat[[#This Row],[Code]],Locaties[#All],4,FALSE)</f>
        <v>Eisenhowerlaan 59</v>
      </c>
      <c r="D352" s="23" t="str">
        <f>VLOOKUP(Ruimtestaat[[#This Row],[Code]],Locaties[#All],5,FALSE)</f>
        <v>3844 AS</v>
      </c>
      <c r="E352" s="23" t="str">
        <f>VLOOKUP(Ruimtestaat[[#This Row],[Code]],Locaties[#All],6,FALSE)</f>
        <v>Harderwijk</v>
      </c>
      <c r="F352" s="23"/>
      <c r="G352" s="60"/>
      <c r="H352" s="23" t="s">
        <v>535</v>
      </c>
      <c r="I352" s="23">
        <v>6</v>
      </c>
      <c r="J352" s="3" t="s">
        <v>1043</v>
      </c>
      <c r="K352" s="23">
        <v>16</v>
      </c>
      <c r="L352" s="60" t="str">
        <f>VLOOKUP(K352,Ruimtegroepen[],2,FALSE)</f>
        <v>Leslokalen theorie</v>
      </c>
      <c r="M352" s="23" t="s">
        <v>112</v>
      </c>
      <c r="N352" s="23" t="s">
        <v>1090</v>
      </c>
      <c r="O352" s="86">
        <v>45</v>
      </c>
      <c r="P352" s="86"/>
      <c r="Q352" s="95" t="str">
        <f>LEFT(VLOOKUP(Ruimtestaat[[#This Row],[Ruimte code]],Ruimtegroepen[#All],4,1),2)</f>
        <v xml:space="preserve">L </v>
      </c>
      <c r="R352" s="95"/>
      <c r="S352" s="87">
        <v>40</v>
      </c>
      <c r="T352" s="87" t="s">
        <v>2</v>
      </c>
      <c r="U352" s="88">
        <f>IF(S352&gt;0,IF(RIGHT(Ruimtestaat[[#This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52" s="88">
        <f>IF(U352&gt;0,VLOOKUP($K352,Ruimtegroepen[],3,FALSE)*VLOOKUP($M352,Vloersoorten[],3,FALSE)*VLOOKUP($T352,Frequenties[],3,FALSE)*VLOOKUP($A352,Locaties[],3,FALSE),0)</f>
        <v>0</v>
      </c>
      <c r="W352" s="89">
        <f>Ruimtestaat[[#This Row],[Uitvoeringen werkdagen]]*Ruimtestaat[[#This Row],[Oppervlak (netto)]]</f>
        <v>9000</v>
      </c>
      <c r="X352" s="90">
        <f>IF(V352&gt;0,Ruimtestaat[[#This Row],[Prest. (m2 /jaar) werkdagen]]/Ruimtestaat[[#This Row],[Norm (m2/uur) werkdagen]],0)</f>
        <v>0</v>
      </c>
      <c r="Y352" s="91">
        <f>Ruimtestaat[[#This Row],[uren / jaar werkdagen]]*Tariefsopbouw!$E$35</f>
        <v>0</v>
      </c>
      <c r="Z352" s="88"/>
      <c r="AA352" s="92">
        <f>IF(Ruimtestaat[[#This Row],[Frequentie weekend]]&gt;0,VALUE(LEFT(Z352,1))*S352,0)</f>
        <v>0</v>
      </c>
      <c r="AB352" s="88">
        <f>IF($AA352&gt;0,VLOOKUP($K352,Ruimtegroepen[],3,FALSE)*VLOOKUP($M352,Vloersoorten[],3,FALSE)*VLOOKUP($Z352,Frequenties[],3,FALSE)*VLOOKUP(#REF!,Locaties[],3,FALSE),0)</f>
        <v>0</v>
      </c>
      <c r="AC352" s="90">
        <f>Ruimtestaat[[#This Row],[Uitvoeringen weekend]]*Ruimtestaat[[#This Row],[Oppervlak (netto)]]</f>
        <v>0</v>
      </c>
      <c r="AD352" s="93">
        <f>IF(AC352&gt;0,Ruimtestaat[[#This Row],[Prest. (m2 /jaar) weekend]]/Ruimtestaat[[#This Row],[Norm (m2/uur) weekend]],0)</f>
        <v>0</v>
      </c>
      <c r="AE352" s="94">
        <f>Ruimtestaat[[#This Row],[uren / jaar weekend]]*Tariefsopbouw!$D$40</f>
        <v>0</v>
      </c>
      <c r="AF352" s="66">
        <f>Ruimtestaat[[#This Row],[Prest. (m2 /jaar) weekend]]+Ruimtestaat[[#This Row],[Prest. (m2 /jaar) werkdagen]]</f>
        <v>9000</v>
      </c>
      <c r="AG352" s="66">
        <f>Ruimtestaat[[#This Row],[uren / jaar weekend]]+Ruimtestaat[[#This Row],[uren / jaar werkdagen]]</f>
        <v>0</v>
      </c>
      <c r="AH352" s="67">
        <f>Ruimtestaat[[#This Row],[kosten / jaar weekend]]+Ruimtestaat[[#This Row],[kosten / jaar werkdagen]]</f>
        <v>0</v>
      </c>
    </row>
    <row r="353" spans="1:34" ht="15" customHeight="1">
      <c r="A353" s="112">
        <v>2</v>
      </c>
      <c r="B353" s="23" t="str">
        <f>VLOOKUP(Ruimtestaat[[#This Row],[Code]],Locaties[#All],2,FALSE)</f>
        <v>RSG Slingerbos</v>
      </c>
      <c r="C353" s="23" t="str">
        <f>VLOOKUP(Ruimtestaat[[#This Row],[Code]],Locaties[#All],4,FALSE)</f>
        <v>Eisenhowerlaan 59</v>
      </c>
      <c r="D353" s="23" t="str">
        <f>VLOOKUP(Ruimtestaat[[#This Row],[Code]],Locaties[#All],5,FALSE)</f>
        <v>3844 AS</v>
      </c>
      <c r="E353" s="23" t="str">
        <f>VLOOKUP(Ruimtestaat[[#This Row],[Code]],Locaties[#All],6,FALSE)</f>
        <v>Harderwijk</v>
      </c>
      <c r="F353" s="23"/>
      <c r="G353" s="60"/>
      <c r="H353" s="23" t="s">
        <v>535</v>
      </c>
      <c r="I353" s="23">
        <v>7</v>
      </c>
      <c r="J353" s="3" t="s">
        <v>1043</v>
      </c>
      <c r="K353" s="23">
        <v>16</v>
      </c>
      <c r="L353" s="60" t="str">
        <f>VLOOKUP(K353,Ruimtegroepen[],2,FALSE)</f>
        <v>Leslokalen theorie</v>
      </c>
      <c r="M353" s="23" t="s">
        <v>112</v>
      </c>
      <c r="N353" s="23" t="s">
        <v>1090</v>
      </c>
      <c r="O353" s="86">
        <v>45</v>
      </c>
      <c r="P353" s="86"/>
      <c r="Q353" s="95" t="str">
        <f>LEFT(VLOOKUP(Ruimtestaat[[#This Row],[Ruimte code]],Ruimtegroepen[#All],4,1),2)</f>
        <v xml:space="preserve">L </v>
      </c>
      <c r="R353" s="95"/>
      <c r="S353" s="87">
        <v>40</v>
      </c>
      <c r="T353" s="87" t="s">
        <v>2</v>
      </c>
      <c r="U353" s="88">
        <f>IF(S353&gt;0,IF(RIGHT(Ruimtestaat[[#This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53" s="88">
        <f>IF(U353&gt;0,VLOOKUP($K353,Ruimtegroepen[],3,FALSE)*VLOOKUP($M353,Vloersoorten[],3,FALSE)*VLOOKUP($T353,Frequenties[],3,FALSE)*VLOOKUP($A353,Locaties[],3,FALSE),0)</f>
        <v>0</v>
      </c>
      <c r="W353" s="89">
        <f>Ruimtestaat[[#This Row],[Uitvoeringen werkdagen]]*Ruimtestaat[[#This Row],[Oppervlak (netto)]]</f>
        <v>9000</v>
      </c>
      <c r="X353" s="90">
        <f>IF(V353&gt;0,Ruimtestaat[[#This Row],[Prest. (m2 /jaar) werkdagen]]/Ruimtestaat[[#This Row],[Norm (m2/uur) werkdagen]],0)</f>
        <v>0</v>
      </c>
      <c r="Y353" s="91">
        <f>Ruimtestaat[[#This Row],[uren / jaar werkdagen]]*Tariefsopbouw!$E$35</f>
        <v>0</v>
      </c>
      <c r="Z353" s="88"/>
      <c r="AA353" s="92">
        <f>IF(Ruimtestaat[[#This Row],[Frequentie weekend]]&gt;0,VALUE(LEFT(Z353,1))*S353,0)</f>
        <v>0</v>
      </c>
      <c r="AB353" s="88">
        <f>IF($AA353&gt;0,VLOOKUP($K353,Ruimtegroepen[],3,FALSE)*VLOOKUP($M353,Vloersoorten[],3,FALSE)*VLOOKUP($Z353,Frequenties[],3,FALSE)*VLOOKUP(#REF!,Locaties[],3,FALSE),0)</f>
        <v>0</v>
      </c>
      <c r="AC353" s="90">
        <f>Ruimtestaat[[#This Row],[Uitvoeringen weekend]]*Ruimtestaat[[#This Row],[Oppervlak (netto)]]</f>
        <v>0</v>
      </c>
      <c r="AD353" s="93">
        <f>IF(AC353&gt;0,Ruimtestaat[[#This Row],[Prest. (m2 /jaar) weekend]]/Ruimtestaat[[#This Row],[Norm (m2/uur) weekend]],0)</f>
        <v>0</v>
      </c>
      <c r="AE353" s="94">
        <f>Ruimtestaat[[#This Row],[uren / jaar weekend]]*Tariefsopbouw!$D$40</f>
        <v>0</v>
      </c>
      <c r="AF353" s="66">
        <f>Ruimtestaat[[#This Row],[Prest. (m2 /jaar) weekend]]+Ruimtestaat[[#This Row],[Prest. (m2 /jaar) werkdagen]]</f>
        <v>9000</v>
      </c>
      <c r="AG353" s="66">
        <f>Ruimtestaat[[#This Row],[uren / jaar weekend]]+Ruimtestaat[[#This Row],[uren / jaar werkdagen]]</f>
        <v>0</v>
      </c>
      <c r="AH353" s="67">
        <f>Ruimtestaat[[#This Row],[kosten / jaar weekend]]+Ruimtestaat[[#This Row],[kosten / jaar werkdagen]]</f>
        <v>0</v>
      </c>
    </row>
    <row r="354" spans="1:34" ht="15" customHeight="1">
      <c r="A354" s="112">
        <v>2</v>
      </c>
      <c r="B354" s="23" t="str">
        <f>VLOOKUP(Ruimtestaat[[#This Row],[Code]],Locaties[#All],2,FALSE)</f>
        <v>RSG Slingerbos</v>
      </c>
      <c r="C354" s="23" t="str">
        <f>VLOOKUP(Ruimtestaat[[#This Row],[Code]],Locaties[#All],4,FALSE)</f>
        <v>Eisenhowerlaan 59</v>
      </c>
      <c r="D354" s="23" t="str">
        <f>VLOOKUP(Ruimtestaat[[#This Row],[Code]],Locaties[#All],5,FALSE)</f>
        <v>3844 AS</v>
      </c>
      <c r="E354" s="23" t="str">
        <f>VLOOKUP(Ruimtestaat[[#This Row],[Code]],Locaties[#All],6,FALSE)</f>
        <v>Harderwijk</v>
      </c>
      <c r="F354" s="23"/>
      <c r="G354" s="60"/>
      <c r="H354" s="23" t="s">
        <v>535</v>
      </c>
      <c r="I354" s="23">
        <v>8</v>
      </c>
      <c r="J354" s="3" t="s">
        <v>1043</v>
      </c>
      <c r="K354" s="23">
        <v>16</v>
      </c>
      <c r="L354" s="60" t="str">
        <f>VLOOKUP(K354,Ruimtegroepen[],2,FALSE)</f>
        <v>Leslokalen theorie</v>
      </c>
      <c r="M354" s="23" t="s">
        <v>112</v>
      </c>
      <c r="N354" s="23" t="s">
        <v>1090</v>
      </c>
      <c r="O354" s="86">
        <v>45</v>
      </c>
      <c r="P354" s="86"/>
      <c r="Q354" s="95" t="str">
        <f>LEFT(VLOOKUP(Ruimtestaat[[#This Row],[Ruimte code]],Ruimtegroepen[#All],4,1),2)</f>
        <v xml:space="preserve">L </v>
      </c>
      <c r="R354" s="95"/>
      <c r="S354" s="87">
        <v>40</v>
      </c>
      <c r="T354" s="87" t="s">
        <v>2</v>
      </c>
      <c r="U354" s="88">
        <f>IF(S354&gt;0,IF(RIGHT(Ruimtestaat[[#This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54" s="88">
        <f>IF(U354&gt;0,VLOOKUP($K354,Ruimtegroepen[],3,FALSE)*VLOOKUP($M354,Vloersoorten[],3,FALSE)*VLOOKUP($T354,Frequenties[],3,FALSE)*VLOOKUP($A354,Locaties[],3,FALSE),0)</f>
        <v>0</v>
      </c>
      <c r="W354" s="89">
        <f>Ruimtestaat[[#This Row],[Uitvoeringen werkdagen]]*Ruimtestaat[[#This Row],[Oppervlak (netto)]]</f>
        <v>9000</v>
      </c>
      <c r="X354" s="90">
        <f>IF(V354&gt;0,Ruimtestaat[[#This Row],[Prest. (m2 /jaar) werkdagen]]/Ruimtestaat[[#This Row],[Norm (m2/uur) werkdagen]],0)</f>
        <v>0</v>
      </c>
      <c r="Y354" s="91">
        <f>Ruimtestaat[[#This Row],[uren / jaar werkdagen]]*Tariefsopbouw!$E$35</f>
        <v>0</v>
      </c>
      <c r="Z354" s="88"/>
      <c r="AA354" s="92">
        <f>IF(Ruimtestaat[[#This Row],[Frequentie weekend]]&gt;0,VALUE(LEFT(Z354,1))*S354,0)</f>
        <v>0</v>
      </c>
      <c r="AB354" s="88">
        <f>IF($AA354&gt;0,VLOOKUP($K354,Ruimtegroepen[],3,FALSE)*VLOOKUP($M354,Vloersoorten[],3,FALSE)*VLOOKUP($Z354,Frequenties[],3,FALSE)*VLOOKUP(#REF!,Locaties[],3,FALSE),0)</f>
        <v>0</v>
      </c>
      <c r="AC354" s="90">
        <f>Ruimtestaat[[#This Row],[Uitvoeringen weekend]]*Ruimtestaat[[#This Row],[Oppervlak (netto)]]</f>
        <v>0</v>
      </c>
      <c r="AD354" s="93">
        <f>IF(AC354&gt;0,Ruimtestaat[[#This Row],[Prest. (m2 /jaar) weekend]]/Ruimtestaat[[#This Row],[Norm (m2/uur) weekend]],0)</f>
        <v>0</v>
      </c>
      <c r="AE354" s="94">
        <f>Ruimtestaat[[#This Row],[uren / jaar weekend]]*Tariefsopbouw!$D$40</f>
        <v>0</v>
      </c>
      <c r="AF354" s="66">
        <f>Ruimtestaat[[#This Row],[Prest. (m2 /jaar) weekend]]+Ruimtestaat[[#This Row],[Prest. (m2 /jaar) werkdagen]]</f>
        <v>9000</v>
      </c>
      <c r="AG354" s="66">
        <f>Ruimtestaat[[#This Row],[uren / jaar weekend]]+Ruimtestaat[[#This Row],[uren / jaar werkdagen]]</f>
        <v>0</v>
      </c>
      <c r="AH354" s="67">
        <f>Ruimtestaat[[#This Row],[kosten / jaar weekend]]+Ruimtestaat[[#This Row],[kosten / jaar werkdagen]]</f>
        <v>0</v>
      </c>
    </row>
    <row r="355" spans="1:34" ht="15" customHeight="1">
      <c r="A355" s="112">
        <v>2</v>
      </c>
      <c r="B355" s="23" t="str">
        <f>VLOOKUP(Ruimtestaat[[#This Row],[Code]],Locaties[#All],2,FALSE)</f>
        <v>RSG Slingerbos</v>
      </c>
      <c r="C355" s="23" t="str">
        <f>VLOOKUP(Ruimtestaat[[#This Row],[Code]],Locaties[#All],4,FALSE)</f>
        <v>Eisenhowerlaan 59</v>
      </c>
      <c r="D355" s="23" t="str">
        <f>VLOOKUP(Ruimtestaat[[#This Row],[Code]],Locaties[#All],5,FALSE)</f>
        <v>3844 AS</v>
      </c>
      <c r="E355" s="23" t="str">
        <f>VLOOKUP(Ruimtestaat[[#This Row],[Code]],Locaties[#All],6,FALSE)</f>
        <v>Harderwijk</v>
      </c>
      <c r="F355" s="23"/>
      <c r="G355" s="60"/>
      <c r="H355" s="23" t="s">
        <v>535</v>
      </c>
      <c r="I355" s="23">
        <v>9</v>
      </c>
      <c r="J355" s="3" t="s">
        <v>1043</v>
      </c>
      <c r="K355" s="23">
        <v>16</v>
      </c>
      <c r="L355" s="60" t="str">
        <f>VLOOKUP(K355,Ruimtegroepen[],2,FALSE)</f>
        <v>Leslokalen theorie</v>
      </c>
      <c r="M355" s="23" t="s">
        <v>112</v>
      </c>
      <c r="N355" s="23" t="s">
        <v>1090</v>
      </c>
      <c r="O355" s="86">
        <v>85</v>
      </c>
      <c r="P355" s="86"/>
      <c r="Q355" s="95" t="str">
        <f>LEFT(VLOOKUP(Ruimtestaat[[#This Row],[Ruimte code]],Ruimtegroepen[#All],4,1),2)</f>
        <v xml:space="preserve">L </v>
      </c>
      <c r="R355" s="95"/>
      <c r="S355" s="87">
        <v>40</v>
      </c>
      <c r="T355" s="87" t="s">
        <v>2</v>
      </c>
      <c r="U355" s="88">
        <f>IF(S355&gt;0,IF(RIGHT(Ruimtestaat[[#This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55" s="88">
        <f>IF(U355&gt;0,VLOOKUP($K355,Ruimtegroepen[],3,FALSE)*VLOOKUP($M355,Vloersoorten[],3,FALSE)*VLOOKUP($T355,Frequenties[],3,FALSE)*VLOOKUP($A355,Locaties[],3,FALSE),0)</f>
        <v>0</v>
      </c>
      <c r="W355" s="89">
        <f>Ruimtestaat[[#This Row],[Uitvoeringen werkdagen]]*Ruimtestaat[[#This Row],[Oppervlak (netto)]]</f>
        <v>17000</v>
      </c>
      <c r="X355" s="90">
        <f>IF(V355&gt;0,Ruimtestaat[[#This Row],[Prest. (m2 /jaar) werkdagen]]/Ruimtestaat[[#This Row],[Norm (m2/uur) werkdagen]],0)</f>
        <v>0</v>
      </c>
      <c r="Y355" s="91">
        <f>Ruimtestaat[[#This Row],[uren / jaar werkdagen]]*Tariefsopbouw!$E$35</f>
        <v>0</v>
      </c>
      <c r="Z355" s="88"/>
      <c r="AA355" s="92">
        <f>IF(Ruimtestaat[[#This Row],[Frequentie weekend]]&gt;0,VALUE(LEFT(Z355,1))*S355,0)</f>
        <v>0</v>
      </c>
      <c r="AB355" s="88">
        <f>IF($AA355&gt;0,VLOOKUP($K355,Ruimtegroepen[],3,FALSE)*VLOOKUP($M355,Vloersoorten[],3,FALSE)*VLOOKUP($Z355,Frequenties[],3,FALSE)*VLOOKUP(#REF!,Locaties[],3,FALSE),0)</f>
        <v>0</v>
      </c>
      <c r="AC355" s="90">
        <f>Ruimtestaat[[#This Row],[Uitvoeringen weekend]]*Ruimtestaat[[#This Row],[Oppervlak (netto)]]</f>
        <v>0</v>
      </c>
      <c r="AD355" s="93">
        <f>IF(AC355&gt;0,Ruimtestaat[[#This Row],[Prest. (m2 /jaar) weekend]]/Ruimtestaat[[#This Row],[Norm (m2/uur) weekend]],0)</f>
        <v>0</v>
      </c>
      <c r="AE355" s="94">
        <f>Ruimtestaat[[#This Row],[uren / jaar weekend]]*Tariefsopbouw!$D$40</f>
        <v>0</v>
      </c>
      <c r="AF355" s="66">
        <f>Ruimtestaat[[#This Row],[Prest. (m2 /jaar) weekend]]+Ruimtestaat[[#This Row],[Prest. (m2 /jaar) werkdagen]]</f>
        <v>17000</v>
      </c>
      <c r="AG355" s="66">
        <f>Ruimtestaat[[#This Row],[uren / jaar weekend]]+Ruimtestaat[[#This Row],[uren / jaar werkdagen]]</f>
        <v>0</v>
      </c>
      <c r="AH355" s="67">
        <f>Ruimtestaat[[#This Row],[kosten / jaar weekend]]+Ruimtestaat[[#This Row],[kosten / jaar werkdagen]]</f>
        <v>0</v>
      </c>
    </row>
    <row r="356" spans="1:34" ht="15" customHeight="1">
      <c r="A356" s="112">
        <v>2</v>
      </c>
      <c r="B356" s="23" t="str">
        <f>VLOOKUP(Ruimtestaat[[#This Row],[Code]],Locaties[#All],2,FALSE)</f>
        <v>RSG Slingerbos</v>
      </c>
      <c r="C356" s="23" t="str">
        <f>VLOOKUP(Ruimtestaat[[#This Row],[Code]],Locaties[#All],4,FALSE)</f>
        <v>Eisenhowerlaan 59</v>
      </c>
      <c r="D356" s="23" t="str">
        <f>VLOOKUP(Ruimtestaat[[#This Row],[Code]],Locaties[#All],5,FALSE)</f>
        <v>3844 AS</v>
      </c>
      <c r="E356" s="23" t="str">
        <f>VLOOKUP(Ruimtestaat[[#This Row],[Code]],Locaties[#All],6,FALSE)</f>
        <v>Harderwijk</v>
      </c>
      <c r="F356" s="23"/>
      <c r="G356" s="60"/>
      <c r="H356" s="23" t="s">
        <v>535</v>
      </c>
      <c r="I356" s="23" t="s">
        <v>829</v>
      </c>
      <c r="J356" s="3" t="s">
        <v>1084</v>
      </c>
      <c r="K356" s="23">
        <v>2</v>
      </c>
      <c r="L356" s="60" t="str">
        <f>VLOOKUP(K356,Ruimtegroepen[],2,FALSE)</f>
        <v>Kantoren</v>
      </c>
      <c r="M356" s="23" t="s">
        <v>112</v>
      </c>
      <c r="N356" s="23" t="s">
        <v>1090</v>
      </c>
      <c r="O356" s="86">
        <v>13</v>
      </c>
      <c r="P356" s="86"/>
      <c r="Q356" s="95" t="str">
        <f>LEFT(VLOOKUP(Ruimtestaat[[#This Row],[Ruimte code]],Ruimtegroepen[#All],4,1),2)</f>
        <v xml:space="preserve">B </v>
      </c>
      <c r="R356" s="95"/>
      <c r="S356" s="87">
        <v>40</v>
      </c>
      <c r="T356" s="87" t="s">
        <v>17</v>
      </c>
      <c r="U356" s="88">
        <f>IF(S356&gt;0,IF(RIGHT(Ruimtestaat[[#This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356" s="88">
        <f>IF(U356&gt;0,VLOOKUP($K356,Ruimtegroepen[],3,FALSE)*VLOOKUP($M356,Vloersoorten[],3,FALSE)*VLOOKUP($T356,Frequenties[],3,FALSE)*VLOOKUP($A356,Locaties[],3,FALSE),0)</f>
        <v>0</v>
      </c>
      <c r="W356" s="89">
        <f>Ruimtestaat[[#This Row],[Uitvoeringen werkdagen]]*Ruimtestaat[[#This Row],[Oppervlak (netto)]]</f>
        <v>1040</v>
      </c>
      <c r="X356" s="90">
        <f>IF(V356&gt;0,Ruimtestaat[[#This Row],[Prest. (m2 /jaar) werkdagen]]/Ruimtestaat[[#This Row],[Norm (m2/uur) werkdagen]],0)</f>
        <v>0</v>
      </c>
      <c r="Y356" s="91">
        <f>Ruimtestaat[[#This Row],[uren / jaar werkdagen]]*Tariefsopbouw!$E$35</f>
        <v>0</v>
      </c>
      <c r="Z356" s="88"/>
      <c r="AA356" s="92">
        <f>IF(Ruimtestaat[[#This Row],[Frequentie weekend]]&gt;0,VALUE(LEFT(Z356,1))*S356,0)</f>
        <v>0</v>
      </c>
      <c r="AB356" s="88">
        <f>IF($AA356&gt;0,VLOOKUP($K356,Ruimtegroepen[],3,FALSE)*VLOOKUP($M356,Vloersoorten[],3,FALSE)*VLOOKUP($Z356,Frequenties[],3,FALSE)*VLOOKUP(#REF!,Locaties[],3,FALSE),0)</f>
        <v>0</v>
      </c>
      <c r="AC356" s="90">
        <f>Ruimtestaat[[#This Row],[Uitvoeringen weekend]]*Ruimtestaat[[#This Row],[Oppervlak (netto)]]</f>
        <v>0</v>
      </c>
      <c r="AD356" s="93">
        <f>IF(AC356&gt;0,Ruimtestaat[[#This Row],[Prest. (m2 /jaar) weekend]]/Ruimtestaat[[#This Row],[Norm (m2/uur) weekend]],0)</f>
        <v>0</v>
      </c>
      <c r="AE356" s="94">
        <f>Ruimtestaat[[#This Row],[uren / jaar weekend]]*Tariefsopbouw!$D$40</f>
        <v>0</v>
      </c>
      <c r="AF356" s="66">
        <f>Ruimtestaat[[#This Row],[Prest. (m2 /jaar) weekend]]+Ruimtestaat[[#This Row],[Prest. (m2 /jaar) werkdagen]]</f>
        <v>1040</v>
      </c>
      <c r="AG356" s="66">
        <f>Ruimtestaat[[#This Row],[uren / jaar weekend]]+Ruimtestaat[[#This Row],[uren / jaar werkdagen]]</f>
        <v>0</v>
      </c>
      <c r="AH356" s="67">
        <f>Ruimtestaat[[#This Row],[kosten / jaar weekend]]+Ruimtestaat[[#This Row],[kosten / jaar werkdagen]]</f>
        <v>0</v>
      </c>
    </row>
    <row r="357" spans="1:34" ht="15" customHeight="1">
      <c r="A357" s="112">
        <v>2</v>
      </c>
      <c r="B357" s="23" t="str">
        <f>VLOOKUP(Ruimtestaat[[#This Row],[Code]],Locaties[#All],2,FALSE)</f>
        <v>RSG Slingerbos</v>
      </c>
      <c r="C357" s="23" t="str">
        <f>VLOOKUP(Ruimtestaat[[#This Row],[Code]],Locaties[#All],4,FALSE)</f>
        <v>Eisenhowerlaan 59</v>
      </c>
      <c r="D357" s="23" t="str">
        <f>VLOOKUP(Ruimtestaat[[#This Row],[Code]],Locaties[#All],5,FALSE)</f>
        <v>3844 AS</v>
      </c>
      <c r="E357" s="23" t="str">
        <f>VLOOKUP(Ruimtestaat[[#This Row],[Code]],Locaties[#All],6,FALSE)</f>
        <v>Harderwijk</v>
      </c>
      <c r="F357" s="23"/>
      <c r="G357" s="60"/>
      <c r="H357" s="23" t="s">
        <v>535</v>
      </c>
      <c r="I357" s="23" t="s">
        <v>830</v>
      </c>
      <c r="J357" s="3" t="s">
        <v>1084</v>
      </c>
      <c r="K357" s="23">
        <v>2</v>
      </c>
      <c r="L357" s="60" t="str">
        <f>VLOOKUP(K357,Ruimtegroepen[],2,FALSE)</f>
        <v>Kantoren</v>
      </c>
      <c r="M357" s="23" t="s">
        <v>112</v>
      </c>
      <c r="N357" s="23" t="s">
        <v>1090</v>
      </c>
      <c r="O357" s="86">
        <v>13</v>
      </c>
      <c r="P357" s="86"/>
      <c r="Q357" s="95" t="str">
        <f>LEFT(VLOOKUP(Ruimtestaat[[#This Row],[Ruimte code]],Ruimtegroepen[#All],4,1),2)</f>
        <v xml:space="preserve">B </v>
      </c>
      <c r="R357" s="95"/>
      <c r="S357" s="87">
        <v>40</v>
      </c>
      <c r="T357" s="87" t="s">
        <v>17</v>
      </c>
      <c r="U357" s="88">
        <f>IF(S357&gt;0,IF(RIGHT(Ruimtestaat[[#This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357" s="88">
        <f>IF(U357&gt;0,VLOOKUP($K357,Ruimtegroepen[],3,FALSE)*VLOOKUP($M357,Vloersoorten[],3,FALSE)*VLOOKUP($T357,Frequenties[],3,FALSE)*VLOOKUP($A357,Locaties[],3,FALSE),0)</f>
        <v>0</v>
      </c>
      <c r="W357" s="89">
        <f>Ruimtestaat[[#This Row],[Uitvoeringen werkdagen]]*Ruimtestaat[[#This Row],[Oppervlak (netto)]]</f>
        <v>1040</v>
      </c>
      <c r="X357" s="90">
        <f>IF(V357&gt;0,Ruimtestaat[[#This Row],[Prest. (m2 /jaar) werkdagen]]/Ruimtestaat[[#This Row],[Norm (m2/uur) werkdagen]],0)</f>
        <v>0</v>
      </c>
      <c r="Y357" s="91">
        <f>Ruimtestaat[[#This Row],[uren / jaar werkdagen]]*Tariefsopbouw!$E$35</f>
        <v>0</v>
      </c>
      <c r="Z357" s="88"/>
      <c r="AA357" s="92">
        <f>IF(Ruimtestaat[[#This Row],[Frequentie weekend]]&gt;0,VALUE(LEFT(Z357,1))*S357,0)</f>
        <v>0</v>
      </c>
      <c r="AB357" s="88">
        <f>IF($AA357&gt;0,VLOOKUP($K357,Ruimtegroepen[],3,FALSE)*VLOOKUP($M357,Vloersoorten[],3,FALSE)*VLOOKUP($Z357,Frequenties[],3,FALSE)*VLOOKUP(#REF!,Locaties[],3,FALSE),0)</f>
        <v>0</v>
      </c>
      <c r="AC357" s="90">
        <f>Ruimtestaat[[#This Row],[Uitvoeringen weekend]]*Ruimtestaat[[#This Row],[Oppervlak (netto)]]</f>
        <v>0</v>
      </c>
      <c r="AD357" s="93">
        <f>IF(AC357&gt;0,Ruimtestaat[[#This Row],[Prest. (m2 /jaar) weekend]]/Ruimtestaat[[#This Row],[Norm (m2/uur) weekend]],0)</f>
        <v>0</v>
      </c>
      <c r="AE357" s="94">
        <f>Ruimtestaat[[#This Row],[uren / jaar weekend]]*Tariefsopbouw!$D$40</f>
        <v>0</v>
      </c>
      <c r="AF357" s="66">
        <f>Ruimtestaat[[#This Row],[Prest. (m2 /jaar) weekend]]+Ruimtestaat[[#This Row],[Prest. (m2 /jaar) werkdagen]]</f>
        <v>1040</v>
      </c>
      <c r="AG357" s="66">
        <f>Ruimtestaat[[#This Row],[uren / jaar weekend]]+Ruimtestaat[[#This Row],[uren / jaar werkdagen]]</f>
        <v>0</v>
      </c>
      <c r="AH357" s="67">
        <f>Ruimtestaat[[#This Row],[kosten / jaar weekend]]+Ruimtestaat[[#This Row],[kosten / jaar werkdagen]]</f>
        <v>0</v>
      </c>
    </row>
    <row r="358" spans="1:34" ht="15" customHeight="1">
      <c r="A358" s="112">
        <v>2</v>
      </c>
      <c r="B358" s="23" t="str">
        <f>VLOOKUP(Ruimtestaat[[#This Row],[Code]],Locaties[#All],2,FALSE)</f>
        <v>RSG Slingerbos</v>
      </c>
      <c r="C358" s="23" t="str">
        <f>VLOOKUP(Ruimtestaat[[#This Row],[Code]],Locaties[#All],4,FALSE)</f>
        <v>Eisenhowerlaan 59</v>
      </c>
      <c r="D358" s="23" t="str">
        <f>VLOOKUP(Ruimtestaat[[#This Row],[Code]],Locaties[#All],5,FALSE)</f>
        <v>3844 AS</v>
      </c>
      <c r="E358" s="23" t="str">
        <f>VLOOKUP(Ruimtestaat[[#This Row],[Code]],Locaties[#All],6,FALSE)</f>
        <v>Harderwijk</v>
      </c>
      <c r="F358" s="23"/>
      <c r="G358" s="60"/>
      <c r="H358" s="23" t="s">
        <v>535</v>
      </c>
      <c r="I358" s="23" t="s">
        <v>830</v>
      </c>
      <c r="J358" s="3" t="s">
        <v>1053</v>
      </c>
      <c r="K358" s="23">
        <v>15</v>
      </c>
      <c r="L358" s="60" t="str">
        <f>VLOOKUP(K358,Ruimtegroepen[],2,FALSE)</f>
        <v>Keuken/pantry</v>
      </c>
      <c r="M358" s="23" t="s">
        <v>112</v>
      </c>
      <c r="N358" s="23" t="s">
        <v>1090</v>
      </c>
      <c r="O358" s="86">
        <v>10</v>
      </c>
      <c r="P358" s="86"/>
      <c r="Q358" s="95" t="str">
        <f>LEFT(VLOOKUP(Ruimtestaat[[#This Row],[Ruimte code]],Ruimtegroepen[#All],4,1),2)</f>
        <v xml:space="preserve">V </v>
      </c>
      <c r="R358" s="95"/>
      <c r="S358" s="87">
        <v>40</v>
      </c>
      <c r="T358" s="87" t="s">
        <v>17</v>
      </c>
      <c r="U358" s="88">
        <f>IF(S358&gt;0,IF(RIGHT(Ruimtestaat[[#This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358" s="88">
        <f>IF(U358&gt;0,VLOOKUP($K358,Ruimtegroepen[],3,FALSE)*VLOOKUP($M358,Vloersoorten[],3,FALSE)*VLOOKUP($T358,Frequenties[],3,FALSE)*VLOOKUP($A358,Locaties[],3,FALSE),0)</f>
        <v>0</v>
      </c>
      <c r="W358" s="89">
        <f>Ruimtestaat[[#This Row],[Uitvoeringen werkdagen]]*Ruimtestaat[[#This Row],[Oppervlak (netto)]]</f>
        <v>800</v>
      </c>
      <c r="X358" s="90">
        <f>IF(V358&gt;0,Ruimtestaat[[#This Row],[Prest. (m2 /jaar) werkdagen]]/Ruimtestaat[[#This Row],[Norm (m2/uur) werkdagen]],0)</f>
        <v>0</v>
      </c>
      <c r="Y358" s="91">
        <f>Ruimtestaat[[#This Row],[uren / jaar werkdagen]]*Tariefsopbouw!$E$35</f>
        <v>0</v>
      </c>
      <c r="Z358" s="88"/>
      <c r="AA358" s="92">
        <f>IF(Ruimtestaat[[#This Row],[Frequentie weekend]]&gt;0,VALUE(LEFT(Z358,1))*S358,0)</f>
        <v>0</v>
      </c>
      <c r="AB358" s="88">
        <f>IF($AA358&gt;0,VLOOKUP($K358,Ruimtegroepen[],3,FALSE)*VLOOKUP($M358,Vloersoorten[],3,FALSE)*VLOOKUP($Z358,Frequenties[],3,FALSE)*VLOOKUP(#REF!,Locaties[],3,FALSE),0)</f>
        <v>0</v>
      </c>
      <c r="AC358" s="90">
        <f>Ruimtestaat[[#This Row],[Uitvoeringen weekend]]*Ruimtestaat[[#This Row],[Oppervlak (netto)]]</f>
        <v>0</v>
      </c>
      <c r="AD358" s="93">
        <f>IF(AC358&gt;0,Ruimtestaat[[#This Row],[Prest. (m2 /jaar) weekend]]/Ruimtestaat[[#This Row],[Norm (m2/uur) weekend]],0)</f>
        <v>0</v>
      </c>
      <c r="AE358" s="94">
        <f>Ruimtestaat[[#This Row],[uren / jaar weekend]]*Tariefsopbouw!$D$40</f>
        <v>0</v>
      </c>
      <c r="AF358" s="66">
        <f>Ruimtestaat[[#This Row],[Prest. (m2 /jaar) weekend]]+Ruimtestaat[[#This Row],[Prest. (m2 /jaar) werkdagen]]</f>
        <v>800</v>
      </c>
      <c r="AG358" s="66">
        <f>Ruimtestaat[[#This Row],[uren / jaar weekend]]+Ruimtestaat[[#This Row],[uren / jaar werkdagen]]</f>
        <v>0</v>
      </c>
      <c r="AH358" s="67">
        <f>Ruimtestaat[[#This Row],[kosten / jaar weekend]]+Ruimtestaat[[#This Row],[kosten / jaar werkdagen]]</f>
        <v>0</v>
      </c>
    </row>
    <row r="359" spans="1:34" ht="15" customHeight="1">
      <c r="A359" s="112">
        <v>2</v>
      </c>
      <c r="B359" s="23" t="str">
        <f>VLOOKUP(Ruimtestaat[[#This Row],[Code]],Locaties[#All],2,FALSE)</f>
        <v>RSG Slingerbos</v>
      </c>
      <c r="C359" s="23" t="str">
        <f>VLOOKUP(Ruimtestaat[[#This Row],[Code]],Locaties[#All],4,FALSE)</f>
        <v>Eisenhowerlaan 59</v>
      </c>
      <c r="D359" s="23" t="str">
        <f>VLOOKUP(Ruimtestaat[[#This Row],[Code]],Locaties[#All],5,FALSE)</f>
        <v>3844 AS</v>
      </c>
      <c r="E359" s="23" t="str">
        <f>VLOOKUP(Ruimtestaat[[#This Row],[Code]],Locaties[#All],6,FALSE)</f>
        <v>Harderwijk</v>
      </c>
      <c r="F359" s="23"/>
      <c r="G359" s="60"/>
      <c r="H359" s="23" t="s">
        <v>535</v>
      </c>
      <c r="I359" s="23" t="s">
        <v>831</v>
      </c>
      <c r="J359" s="3" t="s">
        <v>1085</v>
      </c>
      <c r="K359" s="23">
        <v>16</v>
      </c>
      <c r="L359" s="60" t="str">
        <f>VLOOKUP(K359,Ruimtegroepen[],2,FALSE)</f>
        <v>Leslokalen theorie</v>
      </c>
      <c r="M359" s="23" t="s">
        <v>112</v>
      </c>
      <c r="N359" s="23" t="s">
        <v>1090</v>
      </c>
      <c r="O359" s="86">
        <v>0</v>
      </c>
      <c r="P359" s="86"/>
      <c r="Q359" s="95" t="str">
        <f>LEFT(VLOOKUP(Ruimtestaat[[#This Row],[Ruimte code]],Ruimtegroepen[#All],4,1),2)</f>
        <v xml:space="preserve">L </v>
      </c>
      <c r="R359" s="95"/>
      <c r="S359" s="87">
        <v>40</v>
      </c>
      <c r="T359" s="87" t="s">
        <v>2</v>
      </c>
      <c r="U359" s="88">
        <f>IF(S359&gt;0,IF(RIGHT(Ruimtestaat[[#This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59" s="88">
        <f>IF(U359&gt;0,VLOOKUP($K359,Ruimtegroepen[],3,FALSE)*VLOOKUP($M359,Vloersoorten[],3,FALSE)*VLOOKUP($T359,Frequenties[],3,FALSE)*VLOOKUP($A359,Locaties[],3,FALSE),0)</f>
        <v>0</v>
      </c>
      <c r="W359" s="89">
        <f>Ruimtestaat[[#This Row],[Uitvoeringen werkdagen]]*Ruimtestaat[[#This Row],[Oppervlak (netto)]]</f>
        <v>0</v>
      </c>
      <c r="X359" s="90">
        <f>IF(V359&gt;0,Ruimtestaat[[#This Row],[Prest. (m2 /jaar) werkdagen]]/Ruimtestaat[[#This Row],[Norm (m2/uur) werkdagen]],0)</f>
        <v>0</v>
      </c>
      <c r="Y359" s="91">
        <f>Ruimtestaat[[#This Row],[uren / jaar werkdagen]]*Tariefsopbouw!$E$35</f>
        <v>0</v>
      </c>
      <c r="Z359" s="88"/>
      <c r="AA359" s="92">
        <f>IF(Ruimtestaat[[#This Row],[Frequentie weekend]]&gt;0,VALUE(LEFT(Z359,1))*S359,0)</f>
        <v>0</v>
      </c>
      <c r="AB359" s="88">
        <f>IF($AA359&gt;0,VLOOKUP($K359,Ruimtegroepen[],3,FALSE)*VLOOKUP($M359,Vloersoorten[],3,FALSE)*VLOOKUP($Z359,Frequenties[],3,FALSE)*VLOOKUP(#REF!,Locaties[],3,FALSE),0)</f>
        <v>0</v>
      </c>
      <c r="AC359" s="90">
        <f>Ruimtestaat[[#This Row],[Uitvoeringen weekend]]*Ruimtestaat[[#This Row],[Oppervlak (netto)]]</f>
        <v>0</v>
      </c>
      <c r="AD359" s="93">
        <f>IF(AC359&gt;0,Ruimtestaat[[#This Row],[Prest. (m2 /jaar) weekend]]/Ruimtestaat[[#This Row],[Norm (m2/uur) weekend]],0)</f>
        <v>0</v>
      </c>
      <c r="AE359" s="94">
        <f>Ruimtestaat[[#This Row],[uren / jaar weekend]]*Tariefsopbouw!$D$40</f>
        <v>0</v>
      </c>
      <c r="AF359" s="66">
        <f>Ruimtestaat[[#This Row],[Prest. (m2 /jaar) weekend]]+Ruimtestaat[[#This Row],[Prest. (m2 /jaar) werkdagen]]</f>
        <v>0</v>
      </c>
      <c r="AG359" s="66">
        <f>Ruimtestaat[[#This Row],[uren / jaar weekend]]+Ruimtestaat[[#This Row],[uren / jaar werkdagen]]</f>
        <v>0</v>
      </c>
      <c r="AH359" s="67">
        <f>Ruimtestaat[[#This Row],[kosten / jaar weekend]]+Ruimtestaat[[#This Row],[kosten / jaar werkdagen]]</f>
        <v>0</v>
      </c>
    </row>
    <row r="360" spans="1:34" ht="15" customHeight="1">
      <c r="A360" s="112">
        <v>2</v>
      </c>
      <c r="B360" s="23" t="str">
        <f>VLOOKUP(Ruimtestaat[[#This Row],[Code]],Locaties[#All],2,FALSE)</f>
        <v>RSG Slingerbos</v>
      </c>
      <c r="C360" s="23" t="str">
        <f>VLOOKUP(Ruimtestaat[[#This Row],[Code]],Locaties[#All],4,FALSE)</f>
        <v>Eisenhowerlaan 59</v>
      </c>
      <c r="D360" s="23" t="str">
        <f>VLOOKUP(Ruimtestaat[[#This Row],[Code]],Locaties[#All],5,FALSE)</f>
        <v>3844 AS</v>
      </c>
      <c r="E360" s="23" t="str">
        <f>VLOOKUP(Ruimtestaat[[#This Row],[Code]],Locaties[#All],6,FALSE)</f>
        <v>Harderwijk</v>
      </c>
      <c r="F360" s="23"/>
      <c r="G360" s="60"/>
      <c r="H360" s="23" t="s">
        <v>535</v>
      </c>
      <c r="I360" s="23" t="s">
        <v>832</v>
      </c>
      <c r="J360" s="3" t="s">
        <v>1086</v>
      </c>
      <c r="K360" s="23">
        <v>16</v>
      </c>
      <c r="L360" s="60" t="str">
        <f>VLOOKUP(K360,Ruimtegroepen[],2,FALSE)</f>
        <v>Leslokalen theorie</v>
      </c>
      <c r="M360" s="23" t="s">
        <v>112</v>
      </c>
      <c r="N360" s="23" t="s">
        <v>1090</v>
      </c>
      <c r="O360" s="86">
        <v>0</v>
      </c>
      <c r="P360" s="86"/>
      <c r="Q360" s="95" t="str">
        <f>LEFT(VLOOKUP(Ruimtestaat[[#This Row],[Ruimte code]],Ruimtegroepen[#All],4,1),2)</f>
        <v xml:space="preserve">L </v>
      </c>
      <c r="R360" s="95"/>
      <c r="S360" s="87">
        <v>40</v>
      </c>
      <c r="T360" s="87" t="s">
        <v>2</v>
      </c>
      <c r="U360" s="88">
        <f>IF(S360&gt;0,IF(RIGHT(Ruimtestaat[[#This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60" s="88">
        <f>IF(U360&gt;0,VLOOKUP($K360,Ruimtegroepen[],3,FALSE)*VLOOKUP($M360,Vloersoorten[],3,FALSE)*VLOOKUP($T360,Frequenties[],3,FALSE)*VLOOKUP($A360,Locaties[],3,FALSE),0)</f>
        <v>0</v>
      </c>
      <c r="W360" s="89">
        <f>Ruimtestaat[[#This Row],[Uitvoeringen werkdagen]]*Ruimtestaat[[#This Row],[Oppervlak (netto)]]</f>
        <v>0</v>
      </c>
      <c r="X360" s="90">
        <f>IF(V360&gt;0,Ruimtestaat[[#This Row],[Prest. (m2 /jaar) werkdagen]]/Ruimtestaat[[#This Row],[Norm (m2/uur) werkdagen]],0)</f>
        <v>0</v>
      </c>
      <c r="Y360" s="91">
        <f>Ruimtestaat[[#This Row],[uren / jaar werkdagen]]*Tariefsopbouw!$E$35</f>
        <v>0</v>
      </c>
      <c r="Z360" s="88"/>
      <c r="AA360" s="92">
        <f>IF(Ruimtestaat[[#This Row],[Frequentie weekend]]&gt;0,VALUE(LEFT(Z360,1))*S360,0)</f>
        <v>0</v>
      </c>
      <c r="AB360" s="88">
        <f>IF($AA360&gt;0,VLOOKUP($K360,Ruimtegroepen[],3,FALSE)*VLOOKUP($M360,Vloersoorten[],3,FALSE)*VLOOKUP($Z360,Frequenties[],3,FALSE)*VLOOKUP(#REF!,Locaties[],3,FALSE),0)</f>
        <v>0</v>
      </c>
      <c r="AC360" s="90">
        <f>Ruimtestaat[[#This Row],[Uitvoeringen weekend]]*Ruimtestaat[[#This Row],[Oppervlak (netto)]]</f>
        <v>0</v>
      </c>
      <c r="AD360" s="93">
        <f>IF(AC360&gt;0,Ruimtestaat[[#This Row],[Prest. (m2 /jaar) weekend]]/Ruimtestaat[[#This Row],[Norm (m2/uur) weekend]],0)</f>
        <v>0</v>
      </c>
      <c r="AE360" s="94">
        <f>Ruimtestaat[[#This Row],[uren / jaar weekend]]*Tariefsopbouw!$D$40</f>
        <v>0</v>
      </c>
      <c r="AF360" s="66">
        <f>Ruimtestaat[[#This Row],[Prest. (m2 /jaar) weekend]]+Ruimtestaat[[#This Row],[Prest. (m2 /jaar) werkdagen]]</f>
        <v>0</v>
      </c>
      <c r="AG360" s="66">
        <f>Ruimtestaat[[#This Row],[uren / jaar weekend]]+Ruimtestaat[[#This Row],[uren / jaar werkdagen]]</f>
        <v>0</v>
      </c>
      <c r="AH360" s="67">
        <f>Ruimtestaat[[#This Row],[kosten / jaar weekend]]+Ruimtestaat[[#This Row],[kosten / jaar werkdagen]]</f>
        <v>0</v>
      </c>
    </row>
    <row r="361" spans="1:34" ht="15" customHeight="1">
      <c r="A361" s="112">
        <v>2</v>
      </c>
      <c r="B361" s="23" t="str">
        <f>VLOOKUP(Ruimtestaat[[#This Row],[Code]],Locaties[#All],2,FALSE)</f>
        <v>RSG Slingerbos</v>
      </c>
      <c r="C361" s="23" t="str">
        <f>VLOOKUP(Ruimtestaat[[#This Row],[Code]],Locaties[#All],4,FALSE)</f>
        <v>Eisenhowerlaan 59</v>
      </c>
      <c r="D361" s="23" t="str">
        <f>VLOOKUP(Ruimtestaat[[#This Row],[Code]],Locaties[#All],5,FALSE)</f>
        <v>3844 AS</v>
      </c>
      <c r="E361" s="23" t="str">
        <f>VLOOKUP(Ruimtestaat[[#This Row],[Code]],Locaties[#All],6,FALSE)</f>
        <v>Harderwijk</v>
      </c>
      <c r="F361" s="23"/>
      <c r="G361" s="60"/>
      <c r="H361" s="23" t="s">
        <v>535</v>
      </c>
      <c r="I361" s="23">
        <v>30</v>
      </c>
      <c r="J361" s="3" t="s">
        <v>1043</v>
      </c>
      <c r="K361" s="23">
        <v>16</v>
      </c>
      <c r="L361" s="60" t="str">
        <f>VLOOKUP(K361,Ruimtegroepen[],2,FALSE)</f>
        <v>Leslokalen theorie</v>
      </c>
      <c r="M361" s="23" t="s">
        <v>112</v>
      </c>
      <c r="N361" s="23" t="s">
        <v>1090</v>
      </c>
      <c r="O361" s="86">
        <v>23.4</v>
      </c>
      <c r="P361" s="86"/>
      <c r="Q361" s="95" t="str">
        <f>LEFT(VLOOKUP(Ruimtestaat[[#This Row],[Ruimte code]],Ruimtegroepen[#All],4,1),2)</f>
        <v xml:space="preserve">L </v>
      </c>
      <c r="R361" s="95"/>
      <c r="S361" s="87">
        <v>40</v>
      </c>
      <c r="T361" s="87" t="s">
        <v>2</v>
      </c>
      <c r="U361" s="88">
        <f>IF(S361&gt;0,IF(RIGHT(Ruimtestaat[[#This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61" s="88">
        <f>IF(U361&gt;0,VLOOKUP($K361,Ruimtegroepen[],3,FALSE)*VLOOKUP($M361,Vloersoorten[],3,FALSE)*VLOOKUP($T361,Frequenties[],3,FALSE)*VLOOKUP($A361,Locaties[],3,FALSE),0)</f>
        <v>0</v>
      </c>
      <c r="W361" s="89">
        <f>Ruimtestaat[[#This Row],[Uitvoeringen werkdagen]]*Ruimtestaat[[#This Row],[Oppervlak (netto)]]</f>
        <v>4680</v>
      </c>
      <c r="X361" s="90">
        <f>IF(V361&gt;0,Ruimtestaat[[#This Row],[Prest. (m2 /jaar) werkdagen]]/Ruimtestaat[[#This Row],[Norm (m2/uur) werkdagen]],0)</f>
        <v>0</v>
      </c>
      <c r="Y361" s="91">
        <f>Ruimtestaat[[#This Row],[uren / jaar werkdagen]]*Tariefsopbouw!$E$35</f>
        <v>0</v>
      </c>
      <c r="Z361" s="88"/>
      <c r="AA361" s="92">
        <f>IF(Ruimtestaat[[#This Row],[Frequentie weekend]]&gt;0,VALUE(LEFT(Z361,1))*S361,0)</f>
        <v>0</v>
      </c>
      <c r="AB361" s="88">
        <f>IF($AA361&gt;0,VLOOKUP($K361,Ruimtegroepen[],3,FALSE)*VLOOKUP($M361,Vloersoorten[],3,FALSE)*VLOOKUP($Z361,Frequenties[],3,FALSE)*VLOOKUP(#REF!,Locaties[],3,FALSE),0)</f>
        <v>0</v>
      </c>
      <c r="AC361" s="90">
        <f>Ruimtestaat[[#This Row],[Uitvoeringen weekend]]*Ruimtestaat[[#This Row],[Oppervlak (netto)]]</f>
        <v>0</v>
      </c>
      <c r="AD361" s="93">
        <f>IF(AC361&gt;0,Ruimtestaat[[#This Row],[Prest. (m2 /jaar) weekend]]/Ruimtestaat[[#This Row],[Norm (m2/uur) weekend]],0)</f>
        <v>0</v>
      </c>
      <c r="AE361" s="94">
        <f>Ruimtestaat[[#This Row],[uren / jaar weekend]]*Tariefsopbouw!$D$40</f>
        <v>0</v>
      </c>
      <c r="AF361" s="66">
        <f>Ruimtestaat[[#This Row],[Prest. (m2 /jaar) weekend]]+Ruimtestaat[[#This Row],[Prest. (m2 /jaar) werkdagen]]</f>
        <v>4680</v>
      </c>
      <c r="AG361" s="66">
        <f>Ruimtestaat[[#This Row],[uren / jaar weekend]]+Ruimtestaat[[#This Row],[uren / jaar werkdagen]]</f>
        <v>0</v>
      </c>
      <c r="AH361" s="67">
        <f>Ruimtestaat[[#This Row],[kosten / jaar weekend]]+Ruimtestaat[[#This Row],[kosten / jaar werkdagen]]</f>
        <v>0</v>
      </c>
    </row>
    <row r="362" spans="1:34" ht="15" customHeight="1">
      <c r="A362" s="112">
        <v>2</v>
      </c>
      <c r="B362" s="23" t="str">
        <f>VLOOKUP(Ruimtestaat[[#This Row],[Code]],Locaties[#All],2,FALSE)</f>
        <v>RSG Slingerbos</v>
      </c>
      <c r="C362" s="23" t="str">
        <f>VLOOKUP(Ruimtestaat[[#This Row],[Code]],Locaties[#All],4,FALSE)</f>
        <v>Eisenhowerlaan 59</v>
      </c>
      <c r="D362" s="23" t="str">
        <f>VLOOKUP(Ruimtestaat[[#This Row],[Code]],Locaties[#All],5,FALSE)</f>
        <v>3844 AS</v>
      </c>
      <c r="E362" s="23" t="str">
        <f>VLOOKUP(Ruimtestaat[[#This Row],[Code]],Locaties[#All],6,FALSE)</f>
        <v>Harderwijk</v>
      </c>
      <c r="F362" s="23"/>
      <c r="G362" s="60"/>
      <c r="H362" s="23" t="s">
        <v>535</v>
      </c>
      <c r="I362" s="23">
        <v>31</v>
      </c>
      <c r="J362" s="3" t="s">
        <v>1087</v>
      </c>
      <c r="K362" s="23">
        <v>16</v>
      </c>
      <c r="L362" s="60" t="str">
        <f>VLOOKUP(K362,Ruimtegroepen[],2,FALSE)</f>
        <v>Leslokalen theorie</v>
      </c>
      <c r="M362" s="23" t="s">
        <v>112</v>
      </c>
      <c r="N362" s="23" t="s">
        <v>1090</v>
      </c>
      <c r="O362" s="86">
        <v>23.4</v>
      </c>
      <c r="P362" s="86"/>
      <c r="Q362" s="95" t="str">
        <f>LEFT(VLOOKUP(Ruimtestaat[[#This Row],[Ruimte code]],Ruimtegroepen[#All],4,1),2)</f>
        <v xml:space="preserve">L </v>
      </c>
      <c r="R362" s="95"/>
      <c r="S362" s="87">
        <v>40</v>
      </c>
      <c r="T362" s="87" t="s">
        <v>2</v>
      </c>
      <c r="U362" s="88">
        <f>IF(S362&gt;0,IF(RIGHT(Ruimtestaat[[#This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62" s="88">
        <f>IF(U362&gt;0,VLOOKUP($K362,Ruimtegroepen[],3,FALSE)*VLOOKUP($M362,Vloersoorten[],3,FALSE)*VLOOKUP($T362,Frequenties[],3,FALSE)*VLOOKUP($A362,Locaties[],3,FALSE),0)</f>
        <v>0</v>
      </c>
      <c r="W362" s="89">
        <f>Ruimtestaat[[#This Row],[Uitvoeringen werkdagen]]*Ruimtestaat[[#This Row],[Oppervlak (netto)]]</f>
        <v>4680</v>
      </c>
      <c r="X362" s="90">
        <f>IF(V362&gt;0,Ruimtestaat[[#This Row],[Prest. (m2 /jaar) werkdagen]]/Ruimtestaat[[#This Row],[Norm (m2/uur) werkdagen]],0)</f>
        <v>0</v>
      </c>
      <c r="Y362" s="91">
        <f>Ruimtestaat[[#This Row],[uren / jaar werkdagen]]*Tariefsopbouw!$E$35</f>
        <v>0</v>
      </c>
      <c r="Z362" s="88"/>
      <c r="AA362" s="92">
        <f>IF(Ruimtestaat[[#This Row],[Frequentie weekend]]&gt;0,VALUE(LEFT(Z362,1))*S362,0)</f>
        <v>0</v>
      </c>
      <c r="AB362" s="88">
        <f>IF($AA362&gt;0,VLOOKUP($K362,Ruimtegroepen[],3,FALSE)*VLOOKUP($M362,Vloersoorten[],3,FALSE)*VLOOKUP($Z362,Frequenties[],3,FALSE)*VLOOKUP(#REF!,Locaties[],3,FALSE),0)</f>
        <v>0</v>
      </c>
      <c r="AC362" s="90">
        <f>Ruimtestaat[[#This Row],[Uitvoeringen weekend]]*Ruimtestaat[[#This Row],[Oppervlak (netto)]]</f>
        <v>0</v>
      </c>
      <c r="AD362" s="93">
        <f>IF(AC362&gt;0,Ruimtestaat[[#This Row],[Prest. (m2 /jaar) weekend]]/Ruimtestaat[[#This Row],[Norm (m2/uur) weekend]],0)</f>
        <v>0</v>
      </c>
      <c r="AE362" s="94">
        <f>Ruimtestaat[[#This Row],[uren / jaar weekend]]*Tariefsopbouw!$D$40</f>
        <v>0</v>
      </c>
      <c r="AF362" s="66">
        <f>Ruimtestaat[[#This Row],[Prest. (m2 /jaar) weekend]]+Ruimtestaat[[#This Row],[Prest. (m2 /jaar) werkdagen]]</f>
        <v>4680</v>
      </c>
      <c r="AG362" s="66">
        <f>Ruimtestaat[[#This Row],[uren / jaar weekend]]+Ruimtestaat[[#This Row],[uren / jaar werkdagen]]</f>
        <v>0</v>
      </c>
      <c r="AH362" s="67">
        <f>Ruimtestaat[[#This Row],[kosten / jaar weekend]]+Ruimtestaat[[#This Row],[kosten / jaar werkdagen]]</f>
        <v>0</v>
      </c>
    </row>
    <row r="363" spans="1:34" ht="15" customHeight="1">
      <c r="A363" s="112">
        <v>2</v>
      </c>
      <c r="B363" s="23" t="str">
        <f>VLOOKUP(Ruimtestaat[[#This Row],[Code]],Locaties[#All],2,FALSE)</f>
        <v>RSG Slingerbos</v>
      </c>
      <c r="C363" s="23" t="str">
        <f>VLOOKUP(Ruimtestaat[[#This Row],[Code]],Locaties[#All],4,FALSE)</f>
        <v>Eisenhowerlaan 59</v>
      </c>
      <c r="D363" s="23" t="str">
        <f>VLOOKUP(Ruimtestaat[[#This Row],[Code]],Locaties[#All],5,FALSE)</f>
        <v>3844 AS</v>
      </c>
      <c r="E363" s="23" t="str">
        <f>VLOOKUP(Ruimtestaat[[#This Row],[Code]],Locaties[#All],6,FALSE)</f>
        <v>Harderwijk</v>
      </c>
      <c r="F363" s="23"/>
      <c r="G363" s="60"/>
      <c r="H363" s="23" t="s">
        <v>535</v>
      </c>
      <c r="I363" s="23" t="s">
        <v>833</v>
      </c>
      <c r="J363" s="3" t="s">
        <v>1084</v>
      </c>
      <c r="K363" s="23">
        <v>16</v>
      </c>
      <c r="L363" s="60" t="str">
        <f>VLOOKUP(K363,Ruimtegroepen[],2,FALSE)</f>
        <v>Leslokalen theorie</v>
      </c>
      <c r="M363" s="23" t="s">
        <v>112</v>
      </c>
      <c r="N363" s="23" t="s">
        <v>1090</v>
      </c>
      <c r="O363" s="86">
        <v>11.7</v>
      </c>
      <c r="P363" s="86"/>
      <c r="Q363" s="95" t="str">
        <f>LEFT(VLOOKUP(Ruimtestaat[[#This Row],[Ruimte code]],Ruimtegroepen[#All],4,1),2)</f>
        <v xml:space="preserve">L </v>
      </c>
      <c r="R363" s="95"/>
      <c r="S363" s="87">
        <v>40</v>
      </c>
      <c r="T363" s="87" t="s">
        <v>2</v>
      </c>
      <c r="U363" s="88">
        <f>IF(S363&gt;0,IF(RIGHT(Ruimtestaat[[#This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63" s="88">
        <f>IF(U363&gt;0,VLOOKUP($K363,Ruimtegroepen[],3,FALSE)*VLOOKUP($M363,Vloersoorten[],3,FALSE)*VLOOKUP($T363,Frequenties[],3,FALSE)*VLOOKUP($A363,Locaties[],3,FALSE),0)</f>
        <v>0</v>
      </c>
      <c r="W363" s="89">
        <f>Ruimtestaat[[#This Row],[Uitvoeringen werkdagen]]*Ruimtestaat[[#This Row],[Oppervlak (netto)]]</f>
        <v>2340</v>
      </c>
      <c r="X363" s="90">
        <f>IF(V363&gt;0,Ruimtestaat[[#This Row],[Prest. (m2 /jaar) werkdagen]]/Ruimtestaat[[#This Row],[Norm (m2/uur) werkdagen]],0)</f>
        <v>0</v>
      </c>
      <c r="Y363" s="91">
        <f>Ruimtestaat[[#This Row],[uren / jaar werkdagen]]*Tariefsopbouw!$E$35</f>
        <v>0</v>
      </c>
      <c r="Z363" s="88"/>
      <c r="AA363" s="92">
        <f>IF(Ruimtestaat[[#This Row],[Frequentie weekend]]&gt;0,VALUE(LEFT(Z363,1))*S363,0)</f>
        <v>0</v>
      </c>
      <c r="AB363" s="88">
        <f>IF($AA363&gt;0,VLOOKUP($K363,Ruimtegroepen[],3,FALSE)*VLOOKUP($M363,Vloersoorten[],3,FALSE)*VLOOKUP($Z363,Frequenties[],3,FALSE)*VLOOKUP(#REF!,Locaties[],3,FALSE),0)</f>
        <v>0</v>
      </c>
      <c r="AC363" s="90">
        <f>Ruimtestaat[[#This Row],[Uitvoeringen weekend]]*Ruimtestaat[[#This Row],[Oppervlak (netto)]]</f>
        <v>0</v>
      </c>
      <c r="AD363" s="93">
        <f>IF(AC363&gt;0,Ruimtestaat[[#This Row],[Prest. (m2 /jaar) weekend]]/Ruimtestaat[[#This Row],[Norm (m2/uur) weekend]],0)</f>
        <v>0</v>
      </c>
      <c r="AE363" s="94">
        <f>Ruimtestaat[[#This Row],[uren / jaar weekend]]*Tariefsopbouw!$D$40</f>
        <v>0</v>
      </c>
      <c r="AF363" s="66">
        <f>Ruimtestaat[[#This Row],[Prest. (m2 /jaar) weekend]]+Ruimtestaat[[#This Row],[Prest. (m2 /jaar) werkdagen]]</f>
        <v>2340</v>
      </c>
      <c r="AG363" s="66">
        <f>Ruimtestaat[[#This Row],[uren / jaar weekend]]+Ruimtestaat[[#This Row],[uren / jaar werkdagen]]</f>
        <v>0</v>
      </c>
      <c r="AH363" s="67">
        <f>Ruimtestaat[[#This Row],[kosten / jaar weekend]]+Ruimtestaat[[#This Row],[kosten / jaar werkdagen]]</f>
        <v>0</v>
      </c>
    </row>
    <row r="364" spans="1:34" ht="15" customHeight="1">
      <c r="A364" s="112">
        <v>2</v>
      </c>
      <c r="B364" s="23" t="str">
        <f>VLOOKUP(Ruimtestaat[[#This Row],[Code]],Locaties[#All],2,FALSE)</f>
        <v>RSG Slingerbos</v>
      </c>
      <c r="C364" s="23" t="str">
        <f>VLOOKUP(Ruimtestaat[[#This Row],[Code]],Locaties[#All],4,FALSE)</f>
        <v>Eisenhowerlaan 59</v>
      </c>
      <c r="D364" s="23" t="str">
        <f>VLOOKUP(Ruimtestaat[[#This Row],[Code]],Locaties[#All],5,FALSE)</f>
        <v>3844 AS</v>
      </c>
      <c r="E364" s="23" t="str">
        <f>VLOOKUP(Ruimtestaat[[#This Row],[Code]],Locaties[#All],6,FALSE)</f>
        <v>Harderwijk</v>
      </c>
      <c r="F364" s="23"/>
      <c r="G364" s="60"/>
      <c r="H364" s="23" t="s">
        <v>535</v>
      </c>
      <c r="I364" s="23" t="s">
        <v>834</v>
      </c>
      <c r="J364" s="3" t="s">
        <v>1084</v>
      </c>
      <c r="K364" s="23">
        <v>16</v>
      </c>
      <c r="L364" s="60" t="str">
        <f>VLOOKUP(K364,Ruimtegroepen[],2,FALSE)</f>
        <v>Leslokalen theorie</v>
      </c>
      <c r="M364" s="23" t="s">
        <v>112</v>
      </c>
      <c r="N364" s="23" t="s">
        <v>1090</v>
      </c>
      <c r="O364" s="86">
        <v>11.7</v>
      </c>
      <c r="P364" s="86"/>
      <c r="Q364" s="95" t="str">
        <f>LEFT(VLOOKUP(Ruimtestaat[[#This Row],[Ruimte code]],Ruimtegroepen[#All],4,1),2)</f>
        <v xml:space="preserve">L </v>
      </c>
      <c r="R364" s="95"/>
      <c r="S364" s="87">
        <v>40</v>
      </c>
      <c r="T364" s="87" t="s">
        <v>2</v>
      </c>
      <c r="U364" s="88">
        <f>IF(S364&gt;0,IF(RIGHT(Ruimtestaat[[#This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64" s="88">
        <f>IF(U364&gt;0,VLOOKUP($K364,Ruimtegroepen[],3,FALSE)*VLOOKUP($M364,Vloersoorten[],3,FALSE)*VLOOKUP($T364,Frequenties[],3,FALSE)*VLOOKUP($A364,Locaties[],3,FALSE),0)</f>
        <v>0</v>
      </c>
      <c r="W364" s="89">
        <f>Ruimtestaat[[#This Row],[Uitvoeringen werkdagen]]*Ruimtestaat[[#This Row],[Oppervlak (netto)]]</f>
        <v>2340</v>
      </c>
      <c r="X364" s="90">
        <f>IF(V364&gt;0,Ruimtestaat[[#This Row],[Prest. (m2 /jaar) werkdagen]]/Ruimtestaat[[#This Row],[Norm (m2/uur) werkdagen]],0)</f>
        <v>0</v>
      </c>
      <c r="Y364" s="91">
        <f>Ruimtestaat[[#This Row],[uren / jaar werkdagen]]*Tariefsopbouw!$E$35</f>
        <v>0</v>
      </c>
      <c r="Z364" s="88"/>
      <c r="AA364" s="92">
        <f>IF(Ruimtestaat[[#This Row],[Frequentie weekend]]&gt;0,VALUE(LEFT(Z364,1))*S364,0)</f>
        <v>0</v>
      </c>
      <c r="AB364" s="88">
        <f>IF($AA364&gt;0,VLOOKUP($K364,Ruimtegroepen[],3,FALSE)*VLOOKUP($M364,Vloersoorten[],3,FALSE)*VLOOKUP($Z364,Frequenties[],3,FALSE)*VLOOKUP(#REF!,Locaties[],3,FALSE),0)</f>
        <v>0</v>
      </c>
      <c r="AC364" s="90">
        <f>Ruimtestaat[[#This Row],[Uitvoeringen weekend]]*Ruimtestaat[[#This Row],[Oppervlak (netto)]]</f>
        <v>0</v>
      </c>
      <c r="AD364" s="93">
        <f>IF(AC364&gt;0,Ruimtestaat[[#This Row],[Prest. (m2 /jaar) weekend]]/Ruimtestaat[[#This Row],[Norm (m2/uur) weekend]],0)</f>
        <v>0</v>
      </c>
      <c r="AE364" s="94">
        <f>Ruimtestaat[[#This Row],[uren / jaar weekend]]*Tariefsopbouw!$D$40</f>
        <v>0</v>
      </c>
      <c r="AF364" s="66">
        <f>Ruimtestaat[[#This Row],[Prest. (m2 /jaar) weekend]]+Ruimtestaat[[#This Row],[Prest. (m2 /jaar) werkdagen]]</f>
        <v>2340</v>
      </c>
      <c r="AG364" s="66">
        <f>Ruimtestaat[[#This Row],[uren / jaar weekend]]+Ruimtestaat[[#This Row],[uren / jaar werkdagen]]</f>
        <v>0</v>
      </c>
      <c r="AH364" s="67">
        <f>Ruimtestaat[[#This Row],[kosten / jaar weekend]]+Ruimtestaat[[#This Row],[kosten / jaar werkdagen]]</f>
        <v>0</v>
      </c>
    </row>
    <row r="365" spans="1:34" ht="15" customHeight="1">
      <c r="A365" s="112">
        <v>2</v>
      </c>
      <c r="B365" s="23" t="str">
        <f>VLOOKUP(Ruimtestaat[[#This Row],[Code]],Locaties[#All],2,FALSE)</f>
        <v>RSG Slingerbos</v>
      </c>
      <c r="C365" s="23" t="str">
        <f>VLOOKUP(Ruimtestaat[[#This Row],[Code]],Locaties[#All],4,FALSE)</f>
        <v>Eisenhowerlaan 59</v>
      </c>
      <c r="D365" s="23" t="str">
        <f>VLOOKUP(Ruimtestaat[[#This Row],[Code]],Locaties[#All],5,FALSE)</f>
        <v>3844 AS</v>
      </c>
      <c r="E365" s="23" t="str">
        <f>VLOOKUP(Ruimtestaat[[#This Row],[Code]],Locaties[#All],6,FALSE)</f>
        <v>Harderwijk</v>
      </c>
      <c r="F365" s="23"/>
      <c r="G365" s="60"/>
      <c r="H365" s="23" t="s">
        <v>535</v>
      </c>
      <c r="I365" s="23">
        <v>34</v>
      </c>
      <c r="J365" s="3" t="s">
        <v>1043</v>
      </c>
      <c r="K365" s="23">
        <v>16</v>
      </c>
      <c r="L365" s="60" t="str">
        <f>VLOOKUP(K365,Ruimtegroepen[],2,FALSE)</f>
        <v>Leslokalen theorie</v>
      </c>
      <c r="M365" s="23" t="s">
        <v>112</v>
      </c>
      <c r="N365" s="23" t="s">
        <v>1090</v>
      </c>
      <c r="O365" s="86">
        <v>20</v>
      </c>
      <c r="P365" s="86"/>
      <c r="Q365" s="95" t="str">
        <f>LEFT(VLOOKUP(Ruimtestaat[[#This Row],[Ruimte code]],Ruimtegroepen[#All],4,1),2)</f>
        <v xml:space="preserve">L </v>
      </c>
      <c r="R365" s="95"/>
      <c r="S365" s="87">
        <v>40</v>
      </c>
      <c r="T365" s="87" t="s">
        <v>2</v>
      </c>
      <c r="U365" s="88">
        <f>IF(S365&gt;0,IF(RIGHT(Ruimtestaat[[#This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65" s="88">
        <f>IF(U365&gt;0,VLOOKUP($K365,Ruimtegroepen[],3,FALSE)*VLOOKUP($M365,Vloersoorten[],3,FALSE)*VLOOKUP($T365,Frequenties[],3,FALSE)*VLOOKUP($A365,Locaties[],3,FALSE),0)</f>
        <v>0</v>
      </c>
      <c r="W365" s="89">
        <f>Ruimtestaat[[#This Row],[Uitvoeringen werkdagen]]*Ruimtestaat[[#This Row],[Oppervlak (netto)]]</f>
        <v>4000</v>
      </c>
      <c r="X365" s="90">
        <f>IF(V365&gt;0,Ruimtestaat[[#This Row],[Prest. (m2 /jaar) werkdagen]]/Ruimtestaat[[#This Row],[Norm (m2/uur) werkdagen]],0)</f>
        <v>0</v>
      </c>
      <c r="Y365" s="91">
        <f>Ruimtestaat[[#This Row],[uren / jaar werkdagen]]*Tariefsopbouw!$E$35</f>
        <v>0</v>
      </c>
      <c r="Z365" s="88"/>
      <c r="AA365" s="92">
        <f>IF(Ruimtestaat[[#This Row],[Frequentie weekend]]&gt;0,VALUE(LEFT(Z365,1))*S365,0)</f>
        <v>0</v>
      </c>
      <c r="AB365" s="88">
        <f>IF($AA365&gt;0,VLOOKUP($K365,Ruimtegroepen[],3,FALSE)*VLOOKUP($M365,Vloersoorten[],3,FALSE)*VLOOKUP($Z365,Frequenties[],3,FALSE)*VLOOKUP(#REF!,Locaties[],3,FALSE),0)</f>
        <v>0</v>
      </c>
      <c r="AC365" s="90">
        <f>Ruimtestaat[[#This Row],[Uitvoeringen weekend]]*Ruimtestaat[[#This Row],[Oppervlak (netto)]]</f>
        <v>0</v>
      </c>
      <c r="AD365" s="93">
        <f>IF(AC365&gt;0,Ruimtestaat[[#This Row],[Prest. (m2 /jaar) weekend]]/Ruimtestaat[[#This Row],[Norm (m2/uur) weekend]],0)</f>
        <v>0</v>
      </c>
      <c r="AE365" s="94">
        <f>Ruimtestaat[[#This Row],[uren / jaar weekend]]*Tariefsopbouw!$D$40</f>
        <v>0</v>
      </c>
      <c r="AF365" s="66">
        <f>Ruimtestaat[[#This Row],[Prest. (m2 /jaar) weekend]]+Ruimtestaat[[#This Row],[Prest. (m2 /jaar) werkdagen]]</f>
        <v>4000</v>
      </c>
      <c r="AG365" s="66">
        <f>Ruimtestaat[[#This Row],[uren / jaar weekend]]+Ruimtestaat[[#This Row],[uren / jaar werkdagen]]</f>
        <v>0</v>
      </c>
      <c r="AH365" s="67">
        <f>Ruimtestaat[[#This Row],[kosten / jaar weekend]]+Ruimtestaat[[#This Row],[kosten / jaar werkdagen]]</f>
        <v>0</v>
      </c>
    </row>
    <row r="366" spans="1:34" ht="15" customHeight="1">
      <c r="A366" s="112">
        <v>2</v>
      </c>
      <c r="B366" s="23" t="str">
        <f>VLOOKUP(Ruimtestaat[[#This Row],[Code]],Locaties[#All],2,FALSE)</f>
        <v>RSG Slingerbos</v>
      </c>
      <c r="C366" s="23" t="str">
        <f>VLOOKUP(Ruimtestaat[[#This Row],[Code]],Locaties[#All],4,FALSE)</f>
        <v>Eisenhowerlaan 59</v>
      </c>
      <c r="D366" s="23" t="str">
        <f>VLOOKUP(Ruimtestaat[[#This Row],[Code]],Locaties[#All],5,FALSE)</f>
        <v>3844 AS</v>
      </c>
      <c r="E366" s="23" t="str">
        <f>VLOOKUP(Ruimtestaat[[#This Row],[Code]],Locaties[#All],6,FALSE)</f>
        <v>Harderwijk</v>
      </c>
      <c r="F366" s="23"/>
      <c r="G366" s="60"/>
      <c r="H366" s="23" t="s">
        <v>535</v>
      </c>
      <c r="I366" s="23">
        <v>35</v>
      </c>
      <c r="J366" s="3" t="s">
        <v>1043</v>
      </c>
      <c r="K366" s="23">
        <v>16</v>
      </c>
      <c r="L366" s="60" t="str">
        <f>VLOOKUP(K366,Ruimtegroepen[],2,FALSE)</f>
        <v>Leslokalen theorie</v>
      </c>
      <c r="M366" s="23" t="s">
        <v>112</v>
      </c>
      <c r="N366" s="23" t="s">
        <v>1090</v>
      </c>
      <c r="O366" s="86">
        <v>20</v>
      </c>
      <c r="P366" s="86"/>
      <c r="Q366" s="95" t="str">
        <f>LEFT(VLOOKUP(Ruimtestaat[[#This Row],[Ruimte code]],Ruimtegroepen[#All],4,1),2)</f>
        <v xml:space="preserve">L </v>
      </c>
      <c r="R366" s="95"/>
      <c r="S366" s="87">
        <v>40</v>
      </c>
      <c r="T366" s="87" t="s">
        <v>2</v>
      </c>
      <c r="U366" s="88">
        <f>IF(S366&gt;0,IF(RIGHT(Ruimtestaat[[#This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66" s="88">
        <f>IF(U366&gt;0,VLOOKUP($K366,Ruimtegroepen[],3,FALSE)*VLOOKUP($M366,Vloersoorten[],3,FALSE)*VLOOKUP($T366,Frequenties[],3,FALSE)*VLOOKUP($A366,Locaties[],3,FALSE),0)</f>
        <v>0</v>
      </c>
      <c r="W366" s="89">
        <f>Ruimtestaat[[#This Row],[Uitvoeringen werkdagen]]*Ruimtestaat[[#This Row],[Oppervlak (netto)]]</f>
        <v>4000</v>
      </c>
      <c r="X366" s="90">
        <f>IF(V366&gt;0,Ruimtestaat[[#This Row],[Prest. (m2 /jaar) werkdagen]]/Ruimtestaat[[#This Row],[Norm (m2/uur) werkdagen]],0)</f>
        <v>0</v>
      </c>
      <c r="Y366" s="91">
        <f>Ruimtestaat[[#This Row],[uren / jaar werkdagen]]*Tariefsopbouw!$E$35</f>
        <v>0</v>
      </c>
      <c r="Z366" s="88"/>
      <c r="AA366" s="92">
        <f>IF(Ruimtestaat[[#This Row],[Frequentie weekend]]&gt;0,VALUE(LEFT(Z366,1))*S366,0)</f>
        <v>0</v>
      </c>
      <c r="AB366" s="88">
        <f>IF($AA366&gt;0,VLOOKUP($K366,Ruimtegroepen[],3,FALSE)*VLOOKUP($M366,Vloersoorten[],3,FALSE)*VLOOKUP($Z366,Frequenties[],3,FALSE)*VLOOKUP(#REF!,Locaties[],3,FALSE),0)</f>
        <v>0</v>
      </c>
      <c r="AC366" s="90">
        <f>Ruimtestaat[[#This Row],[Uitvoeringen weekend]]*Ruimtestaat[[#This Row],[Oppervlak (netto)]]</f>
        <v>0</v>
      </c>
      <c r="AD366" s="93">
        <f>IF(AC366&gt;0,Ruimtestaat[[#This Row],[Prest. (m2 /jaar) weekend]]/Ruimtestaat[[#This Row],[Norm (m2/uur) weekend]],0)</f>
        <v>0</v>
      </c>
      <c r="AE366" s="94">
        <f>Ruimtestaat[[#This Row],[uren / jaar weekend]]*Tariefsopbouw!$D$40</f>
        <v>0</v>
      </c>
      <c r="AF366" s="66">
        <f>Ruimtestaat[[#This Row],[Prest. (m2 /jaar) weekend]]+Ruimtestaat[[#This Row],[Prest. (m2 /jaar) werkdagen]]</f>
        <v>4000</v>
      </c>
      <c r="AG366" s="66">
        <f>Ruimtestaat[[#This Row],[uren / jaar weekend]]+Ruimtestaat[[#This Row],[uren / jaar werkdagen]]</f>
        <v>0</v>
      </c>
      <c r="AH366" s="67">
        <f>Ruimtestaat[[#This Row],[kosten / jaar weekend]]+Ruimtestaat[[#This Row],[kosten / jaar werkdagen]]</f>
        <v>0</v>
      </c>
    </row>
    <row r="367" spans="1:34" ht="15" customHeight="1">
      <c r="A367" s="112">
        <v>2</v>
      </c>
      <c r="B367" s="23" t="str">
        <f>VLOOKUP(Ruimtestaat[[#This Row],[Code]],Locaties[#All],2,FALSE)</f>
        <v>RSG Slingerbos</v>
      </c>
      <c r="C367" s="23" t="str">
        <f>VLOOKUP(Ruimtestaat[[#This Row],[Code]],Locaties[#All],4,FALSE)</f>
        <v>Eisenhowerlaan 59</v>
      </c>
      <c r="D367" s="23" t="str">
        <f>VLOOKUP(Ruimtestaat[[#This Row],[Code]],Locaties[#All],5,FALSE)</f>
        <v>3844 AS</v>
      </c>
      <c r="E367" s="23" t="str">
        <f>VLOOKUP(Ruimtestaat[[#This Row],[Code]],Locaties[#All],6,FALSE)</f>
        <v>Harderwijk</v>
      </c>
      <c r="F367" s="23"/>
      <c r="G367" s="60"/>
      <c r="H367" s="23" t="s">
        <v>535</v>
      </c>
      <c r="I367" s="23">
        <v>36</v>
      </c>
      <c r="J367" s="3" t="s">
        <v>1043</v>
      </c>
      <c r="K367" s="23">
        <v>16</v>
      </c>
      <c r="L367" s="60" t="str">
        <f>VLOOKUP(K367,Ruimtegroepen[],2,FALSE)</f>
        <v>Leslokalen theorie</v>
      </c>
      <c r="M367" s="23" t="s">
        <v>112</v>
      </c>
      <c r="N367" s="23" t="s">
        <v>1090</v>
      </c>
      <c r="O367" s="86">
        <v>80</v>
      </c>
      <c r="P367" s="86"/>
      <c r="Q367" s="95" t="str">
        <f>LEFT(VLOOKUP(Ruimtestaat[[#This Row],[Ruimte code]],Ruimtegroepen[#All],4,1),2)</f>
        <v xml:space="preserve">L </v>
      </c>
      <c r="R367" s="95"/>
      <c r="S367" s="87">
        <v>40</v>
      </c>
      <c r="T367" s="87" t="s">
        <v>2</v>
      </c>
      <c r="U367" s="88">
        <f>IF(S367&gt;0,IF(RIGHT(Ruimtestaat[[#This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67" s="88">
        <f>IF(U367&gt;0,VLOOKUP($K367,Ruimtegroepen[],3,FALSE)*VLOOKUP($M367,Vloersoorten[],3,FALSE)*VLOOKUP($T367,Frequenties[],3,FALSE)*VLOOKUP($A367,Locaties[],3,FALSE),0)</f>
        <v>0</v>
      </c>
      <c r="W367" s="89">
        <f>Ruimtestaat[[#This Row],[Uitvoeringen werkdagen]]*Ruimtestaat[[#This Row],[Oppervlak (netto)]]</f>
        <v>16000</v>
      </c>
      <c r="X367" s="90">
        <f>IF(V367&gt;0,Ruimtestaat[[#This Row],[Prest. (m2 /jaar) werkdagen]]/Ruimtestaat[[#This Row],[Norm (m2/uur) werkdagen]],0)</f>
        <v>0</v>
      </c>
      <c r="Y367" s="91">
        <f>Ruimtestaat[[#This Row],[uren / jaar werkdagen]]*Tariefsopbouw!$E$35</f>
        <v>0</v>
      </c>
      <c r="Z367" s="88"/>
      <c r="AA367" s="92">
        <f>IF(Ruimtestaat[[#This Row],[Frequentie weekend]]&gt;0,VALUE(LEFT(Z367,1))*S367,0)</f>
        <v>0</v>
      </c>
      <c r="AB367" s="88">
        <f>IF($AA367&gt;0,VLOOKUP($K367,Ruimtegroepen[],3,FALSE)*VLOOKUP($M367,Vloersoorten[],3,FALSE)*VLOOKUP($Z367,Frequenties[],3,FALSE)*VLOOKUP(#REF!,Locaties[],3,FALSE),0)</f>
        <v>0</v>
      </c>
      <c r="AC367" s="90">
        <f>Ruimtestaat[[#This Row],[Uitvoeringen weekend]]*Ruimtestaat[[#This Row],[Oppervlak (netto)]]</f>
        <v>0</v>
      </c>
      <c r="AD367" s="93">
        <f>IF(AC367&gt;0,Ruimtestaat[[#This Row],[Prest. (m2 /jaar) weekend]]/Ruimtestaat[[#This Row],[Norm (m2/uur) weekend]],0)</f>
        <v>0</v>
      </c>
      <c r="AE367" s="94">
        <f>Ruimtestaat[[#This Row],[uren / jaar weekend]]*Tariefsopbouw!$D$40</f>
        <v>0</v>
      </c>
      <c r="AF367" s="66">
        <f>Ruimtestaat[[#This Row],[Prest. (m2 /jaar) weekend]]+Ruimtestaat[[#This Row],[Prest. (m2 /jaar) werkdagen]]</f>
        <v>16000</v>
      </c>
      <c r="AG367" s="66">
        <f>Ruimtestaat[[#This Row],[uren / jaar weekend]]+Ruimtestaat[[#This Row],[uren / jaar werkdagen]]</f>
        <v>0</v>
      </c>
      <c r="AH367" s="67">
        <f>Ruimtestaat[[#This Row],[kosten / jaar weekend]]+Ruimtestaat[[#This Row],[kosten / jaar werkdagen]]</f>
        <v>0</v>
      </c>
    </row>
    <row r="368" spans="1:34" ht="15" customHeight="1">
      <c r="A368" s="112">
        <v>2</v>
      </c>
      <c r="B368" s="23" t="str">
        <f>VLOOKUP(Ruimtestaat[[#This Row],[Code]],Locaties[#All],2,FALSE)</f>
        <v>RSG Slingerbos</v>
      </c>
      <c r="C368" s="23" t="str">
        <f>VLOOKUP(Ruimtestaat[[#This Row],[Code]],Locaties[#All],4,FALSE)</f>
        <v>Eisenhowerlaan 59</v>
      </c>
      <c r="D368" s="23" t="str">
        <f>VLOOKUP(Ruimtestaat[[#This Row],[Code]],Locaties[#All],5,FALSE)</f>
        <v>3844 AS</v>
      </c>
      <c r="E368" s="23" t="str">
        <f>VLOOKUP(Ruimtestaat[[#This Row],[Code]],Locaties[#All],6,FALSE)</f>
        <v>Harderwijk</v>
      </c>
      <c r="F368" s="23"/>
      <c r="G368" s="60"/>
      <c r="H368" s="23" t="s">
        <v>535</v>
      </c>
      <c r="I368" s="23" t="s">
        <v>835</v>
      </c>
      <c r="J368" s="3" t="s">
        <v>1060</v>
      </c>
      <c r="K368" s="23">
        <v>16</v>
      </c>
      <c r="L368" s="60" t="str">
        <f>VLOOKUP(K368,Ruimtegroepen[],2,FALSE)</f>
        <v>Leslokalen theorie</v>
      </c>
      <c r="M368" s="23" t="s">
        <v>112</v>
      </c>
      <c r="N368" s="23" t="s">
        <v>1090</v>
      </c>
      <c r="O368" s="86">
        <v>60</v>
      </c>
      <c r="P368" s="86"/>
      <c r="Q368" s="95" t="str">
        <f>LEFT(VLOOKUP(Ruimtestaat[[#This Row],[Ruimte code]],Ruimtegroepen[#All],4,1),2)</f>
        <v xml:space="preserve">L </v>
      </c>
      <c r="R368" s="95"/>
      <c r="S368" s="87">
        <v>40</v>
      </c>
      <c r="T368" s="87" t="s">
        <v>2</v>
      </c>
      <c r="U368" s="88">
        <f>IF(S368&gt;0,IF(RIGHT(Ruimtestaat[[#This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68" s="88">
        <f>IF(U368&gt;0,VLOOKUP($K368,Ruimtegroepen[],3,FALSE)*VLOOKUP($M368,Vloersoorten[],3,FALSE)*VLOOKUP($T368,Frequenties[],3,FALSE)*VLOOKUP($A368,Locaties[],3,FALSE),0)</f>
        <v>0</v>
      </c>
      <c r="W368" s="89">
        <f>Ruimtestaat[[#This Row],[Uitvoeringen werkdagen]]*Ruimtestaat[[#This Row],[Oppervlak (netto)]]</f>
        <v>12000</v>
      </c>
      <c r="X368" s="90">
        <f>IF(V368&gt;0,Ruimtestaat[[#This Row],[Prest. (m2 /jaar) werkdagen]]/Ruimtestaat[[#This Row],[Norm (m2/uur) werkdagen]],0)</f>
        <v>0</v>
      </c>
      <c r="Y368" s="91">
        <f>Ruimtestaat[[#This Row],[uren / jaar werkdagen]]*Tariefsopbouw!$E$35</f>
        <v>0</v>
      </c>
      <c r="Z368" s="88"/>
      <c r="AA368" s="92">
        <f>IF(Ruimtestaat[[#This Row],[Frequentie weekend]]&gt;0,VALUE(LEFT(Z368,1))*S368,0)</f>
        <v>0</v>
      </c>
      <c r="AB368" s="88">
        <f>IF($AA368&gt;0,VLOOKUP($K368,Ruimtegroepen[],3,FALSE)*VLOOKUP($M368,Vloersoorten[],3,FALSE)*VLOOKUP($Z368,Frequenties[],3,FALSE)*VLOOKUP(#REF!,Locaties[],3,FALSE),0)</f>
        <v>0</v>
      </c>
      <c r="AC368" s="90">
        <f>Ruimtestaat[[#This Row],[Uitvoeringen weekend]]*Ruimtestaat[[#This Row],[Oppervlak (netto)]]</f>
        <v>0</v>
      </c>
      <c r="AD368" s="93">
        <f>IF(AC368&gt;0,Ruimtestaat[[#This Row],[Prest. (m2 /jaar) weekend]]/Ruimtestaat[[#This Row],[Norm (m2/uur) weekend]],0)</f>
        <v>0</v>
      </c>
      <c r="AE368" s="94">
        <f>Ruimtestaat[[#This Row],[uren / jaar weekend]]*Tariefsopbouw!$D$40</f>
        <v>0</v>
      </c>
      <c r="AF368" s="66">
        <f>Ruimtestaat[[#This Row],[Prest. (m2 /jaar) weekend]]+Ruimtestaat[[#This Row],[Prest. (m2 /jaar) werkdagen]]</f>
        <v>12000</v>
      </c>
      <c r="AG368" s="66">
        <f>Ruimtestaat[[#This Row],[uren / jaar weekend]]+Ruimtestaat[[#This Row],[uren / jaar werkdagen]]</f>
        <v>0</v>
      </c>
      <c r="AH368" s="67">
        <f>Ruimtestaat[[#This Row],[kosten / jaar weekend]]+Ruimtestaat[[#This Row],[kosten / jaar werkdagen]]</f>
        <v>0</v>
      </c>
    </row>
    <row r="369" spans="1:34" ht="15" customHeight="1">
      <c r="A369" s="112">
        <v>3</v>
      </c>
      <c r="B369" s="23" t="str">
        <f>VLOOKUP(Ruimtestaat[[#This Row],[Code]],Locaties[#All],2,FALSE)</f>
        <v>RSG N.O. Veluwe</v>
      </c>
      <c r="C369" s="23" t="str">
        <f>VLOOKUP(Ruimtestaat[[#This Row],[Code]],Locaties[#All],4,FALSE)</f>
        <v>Schotweg 1</v>
      </c>
      <c r="D369" s="23" t="str">
        <f>VLOOKUP(Ruimtestaat[[#This Row],[Code]],Locaties[#All],5,FALSE)</f>
        <v>8162 GM</v>
      </c>
      <c r="E369" s="23" t="str">
        <f>VLOOKUP(Ruimtestaat[[#This Row],[Code]],Locaties[#All],6,FALSE)</f>
        <v>Epe</v>
      </c>
      <c r="F369" s="23" t="s">
        <v>1108</v>
      </c>
      <c r="G369" s="60"/>
      <c r="H369" s="23" t="s">
        <v>1298</v>
      </c>
      <c r="I369" s="23" t="s">
        <v>1116</v>
      </c>
      <c r="J369" s="3" t="s">
        <v>41</v>
      </c>
      <c r="K369" s="23">
        <v>7</v>
      </c>
      <c r="L369" s="60" t="str">
        <f>VLOOKUP(K369,Ruimtegroepen[],2,FALSE)</f>
        <v>Entree</v>
      </c>
      <c r="M369" s="23" t="s">
        <v>1300</v>
      </c>
      <c r="N369" s="23" t="s">
        <v>1301</v>
      </c>
      <c r="O369" s="86">
        <v>12</v>
      </c>
      <c r="P369" s="86"/>
      <c r="Q369" s="95" t="str">
        <f>LEFT(VLOOKUP(Ruimtestaat[[#This Row],[Ruimte code]],Ruimtegroepen[#All],4,1),2)</f>
        <v xml:space="preserve">V </v>
      </c>
      <c r="R369" s="95"/>
      <c r="S369" s="87">
        <v>42</v>
      </c>
      <c r="T369" s="87" t="s">
        <v>2</v>
      </c>
      <c r="U369" s="88">
        <f>IF(S369&gt;0,IF(RIGHT(Ruimtestaat[[#This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369" s="88">
        <f>IF(U369&gt;0,VLOOKUP($K369,Ruimtegroepen[],3,FALSE)*VLOOKUP($M369,Vloersoorten[],3,FALSE)*VLOOKUP($T369,Frequenties[],3,FALSE)*VLOOKUP($A369,Locaties[],3,FALSE),0)</f>
        <v>0</v>
      </c>
      <c r="W369" s="89">
        <f>Ruimtestaat[[#This Row],[Uitvoeringen werkdagen]]*Ruimtestaat[[#This Row],[Oppervlak (netto)]]</f>
        <v>2520</v>
      </c>
      <c r="X369" s="90">
        <f>IF(V369&gt;0,Ruimtestaat[[#This Row],[Prest. (m2 /jaar) werkdagen]]/Ruimtestaat[[#This Row],[Norm (m2/uur) werkdagen]],0)</f>
        <v>0</v>
      </c>
      <c r="Y369" s="91">
        <f>Ruimtestaat[[#This Row],[uren / jaar werkdagen]]*Tariefsopbouw!$E$35</f>
        <v>0</v>
      </c>
      <c r="Z369" s="88"/>
      <c r="AA369" s="92">
        <f>IF(Ruimtestaat[[#This Row],[Frequentie weekend]]&gt;0,VALUE(LEFT(Z369,1))*S369,0)</f>
        <v>0</v>
      </c>
      <c r="AB369" s="88">
        <f>IF($AA369&gt;0,VLOOKUP($K369,Ruimtegroepen[],3,FALSE)*VLOOKUP($M369,Vloersoorten[],3,FALSE)*VLOOKUP($Z369,Frequenties[],3,FALSE)*VLOOKUP(#REF!,Locaties[],3,FALSE),0)</f>
        <v>0</v>
      </c>
      <c r="AC369" s="90">
        <f>Ruimtestaat[[#This Row],[Uitvoeringen weekend]]*Ruimtestaat[[#This Row],[Oppervlak (netto)]]</f>
        <v>0</v>
      </c>
      <c r="AD369" s="93">
        <f>IF(AC369&gt;0,Ruimtestaat[[#This Row],[Prest. (m2 /jaar) weekend]]/Ruimtestaat[[#This Row],[Norm (m2/uur) weekend]],0)</f>
        <v>0</v>
      </c>
      <c r="AE369" s="94">
        <f>Ruimtestaat[[#This Row],[uren / jaar weekend]]*Tariefsopbouw!$D$40</f>
        <v>0</v>
      </c>
      <c r="AF369" s="66">
        <f>Ruimtestaat[[#This Row],[Prest. (m2 /jaar) weekend]]+Ruimtestaat[[#This Row],[Prest. (m2 /jaar) werkdagen]]</f>
        <v>2520</v>
      </c>
      <c r="AG369" s="66">
        <f>Ruimtestaat[[#This Row],[uren / jaar weekend]]+Ruimtestaat[[#This Row],[uren / jaar werkdagen]]</f>
        <v>0</v>
      </c>
      <c r="AH369" s="67">
        <f>Ruimtestaat[[#This Row],[kosten / jaar weekend]]+Ruimtestaat[[#This Row],[kosten / jaar werkdagen]]</f>
        <v>0</v>
      </c>
    </row>
    <row r="370" spans="1:34" ht="15" customHeight="1">
      <c r="A370" s="112">
        <v>3</v>
      </c>
      <c r="B370" s="23" t="str">
        <f>VLOOKUP(Ruimtestaat[[#This Row],[Code]],Locaties[#All],2,FALSE)</f>
        <v>RSG N.O. Veluwe</v>
      </c>
      <c r="C370" s="23" t="str">
        <f>VLOOKUP(Ruimtestaat[[#This Row],[Code]],Locaties[#All],4,FALSE)</f>
        <v>Schotweg 1</v>
      </c>
      <c r="D370" s="23" t="str">
        <f>VLOOKUP(Ruimtestaat[[#This Row],[Code]],Locaties[#All],5,FALSE)</f>
        <v>8162 GM</v>
      </c>
      <c r="E370" s="23" t="str">
        <f>VLOOKUP(Ruimtestaat[[#This Row],[Code]],Locaties[#All],6,FALSE)</f>
        <v>Epe</v>
      </c>
      <c r="F370" s="23" t="s">
        <v>1108</v>
      </c>
      <c r="G370" s="60"/>
      <c r="H370" s="23" t="s">
        <v>1298</v>
      </c>
      <c r="I370" s="23" t="s">
        <v>1117</v>
      </c>
      <c r="J370" s="3" t="s">
        <v>557</v>
      </c>
      <c r="K370" s="23">
        <v>2</v>
      </c>
      <c r="L370" s="60" t="str">
        <f>VLOOKUP(K370,Ruimtegroepen[],2,FALSE)</f>
        <v>Kantoren</v>
      </c>
      <c r="M370" s="23" t="s">
        <v>1300</v>
      </c>
      <c r="N370" s="23" t="s">
        <v>1301</v>
      </c>
      <c r="O370" s="86">
        <v>18</v>
      </c>
      <c r="P370" s="86"/>
      <c r="Q370" s="95" t="str">
        <f>LEFT(VLOOKUP(Ruimtestaat[[#This Row],[Ruimte code]],Ruimtegroepen[#All],4,1),2)</f>
        <v xml:space="preserve">B </v>
      </c>
      <c r="R370" s="95"/>
      <c r="S370" s="87">
        <v>42</v>
      </c>
      <c r="T370" s="87" t="s">
        <v>2</v>
      </c>
      <c r="U370" s="88">
        <f>IF(S370&gt;0,IF(RIGHT(Ruimtestaat[[#This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370" s="88">
        <f>IF(U370&gt;0,VLOOKUP($K370,Ruimtegroepen[],3,FALSE)*VLOOKUP($M370,Vloersoorten[],3,FALSE)*VLOOKUP($T370,Frequenties[],3,FALSE)*VLOOKUP($A370,Locaties[],3,FALSE),0)</f>
        <v>0</v>
      </c>
      <c r="W370" s="89">
        <f>Ruimtestaat[[#This Row],[Uitvoeringen werkdagen]]*Ruimtestaat[[#This Row],[Oppervlak (netto)]]</f>
        <v>3780</v>
      </c>
      <c r="X370" s="90">
        <f>IF(V370&gt;0,Ruimtestaat[[#This Row],[Prest. (m2 /jaar) werkdagen]]/Ruimtestaat[[#This Row],[Norm (m2/uur) werkdagen]],0)</f>
        <v>0</v>
      </c>
      <c r="Y370" s="91">
        <f>Ruimtestaat[[#This Row],[uren / jaar werkdagen]]*Tariefsopbouw!$E$35</f>
        <v>0</v>
      </c>
      <c r="Z370" s="88"/>
      <c r="AA370" s="92">
        <f>IF(Ruimtestaat[[#This Row],[Frequentie weekend]]&gt;0,VALUE(LEFT(Z370,1))*S370,0)</f>
        <v>0</v>
      </c>
      <c r="AB370" s="88">
        <f>IF($AA370&gt;0,VLOOKUP($K370,Ruimtegroepen[],3,FALSE)*VLOOKUP($M370,Vloersoorten[],3,FALSE)*VLOOKUP($Z370,Frequenties[],3,FALSE)*VLOOKUP(#REF!,Locaties[],3,FALSE),0)</f>
        <v>0</v>
      </c>
      <c r="AC370" s="90">
        <f>Ruimtestaat[[#This Row],[Uitvoeringen weekend]]*Ruimtestaat[[#This Row],[Oppervlak (netto)]]</f>
        <v>0</v>
      </c>
      <c r="AD370" s="93">
        <f>IF(AC370&gt;0,Ruimtestaat[[#This Row],[Prest. (m2 /jaar) weekend]]/Ruimtestaat[[#This Row],[Norm (m2/uur) weekend]],0)</f>
        <v>0</v>
      </c>
      <c r="AE370" s="94">
        <f>Ruimtestaat[[#This Row],[uren / jaar weekend]]*Tariefsopbouw!$D$40</f>
        <v>0</v>
      </c>
      <c r="AF370" s="66">
        <f>Ruimtestaat[[#This Row],[Prest. (m2 /jaar) weekend]]+Ruimtestaat[[#This Row],[Prest. (m2 /jaar) werkdagen]]</f>
        <v>3780</v>
      </c>
      <c r="AG370" s="66">
        <f>Ruimtestaat[[#This Row],[uren / jaar weekend]]+Ruimtestaat[[#This Row],[uren / jaar werkdagen]]</f>
        <v>0</v>
      </c>
      <c r="AH370" s="67">
        <f>Ruimtestaat[[#This Row],[kosten / jaar weekend]]+Ruimtestaat[[#This Row],[kosten / jaar werkdagen]]</f>
        <v>0</v>
      </c>
    </row>
    <row r="371" spans="1:34" ht="15" customHeight="1">
      <c r="A371" s="112">
        <v>3</v>
      </c>
      <c r="B371" s="23" t="str">
        <f>VLOOKUP(Ruimtestaat[[#This Row],[Code]],Locaties[#All],2,FALSE)</f>
        <v>RSG N.O. Veluwe</v>
      </c>
      <c r="C371" s="23" t="str">
        <f>VLOOKUP(Ruimtestaat[[#This Row],[Code]],Locaties[#All],4,FALSE)</f>
        <v>Schotweg 1</v>
      </c>
      <c r="D371" s="23" t="str">
        <f>VLOOKUP(Ruimtestaat[[#This Row],[Code]],Locaties[#All],5,FALSE)</f>
        <v>8162 GM</v>
      </c>
      <c r="E371" s="23" t="str">
        <f>VLOOKUP(Ruimtestaat[[#This Row],[Code]],Locaties[#All],6,FALSE)</f>
        <v>Epe</v>
      </c>
      <c r="F371" s="23" t="s">
        <v>1108</v>
      </c>
      <c r="G371" s="60"/>
      <c r="H371" s="23" t="s">
        <v>1298</v>
      </c>
      <c r="I371" s="23" t="s">
        <v>1118</v>
      </c>
      <c r="J371" s="3" t="s">
        <v>1119</v>
      </c>
      <c r="K371" s="23">
        <v>2</v>
      </c>
      <c r="L371" s="60" t="str">
        <f>VLOOKUP(K371,Ruimtegroepen[],2,FALSE)</f>
        <v>Kantoren</v>
      </c>
      <c r="M371" s="23" t="s">
        <v>1094</v>
      </c>
      <c r="N371" s="23" t="s">
        <v>1095</v>
      </c>
      <c r="O371" s="86">
        <v>20</v>
      </c>
      <c r="P371" s="86"/>
      <c r="Q371" s="95" t="str">
        <f>LEFT(VLOOKUP(Ruimtestaat[[#This Row],[Ruimte code]],Ruimtegroepen[#All],4,1),2)</f>
        <v xml:space="preserve">B </v>
      </c>
      <c r="R371" s="95"/>
      <c r="S371" s="87">
        <v>42</v>
      </c>
      <c r="T371" s="87" t="s">
        <v>2</v>
      </c>
      <c r="U371" s="88">
        <f>IF(S371&gt;0,IF(RIGHT(Ruimtestaat[[#This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371" s="88">
        <f>IF(U371&gt;0,VLOOKUP($K371,Ruimtegroepen[],3,FALSE)*VLOOKUP($M371,Vloersoorten[],3,FALSE)*VLOOKUP($T371,Frequenties[],3,FALSE)*VLOOKUP($A371,Locaties[],3,FALSE),0)</f>
        <v>0</v>
      </c>
      <c r="W371" s="89">
        <f>Ruimtestaat[[#This Row],[Uitvoeringen werkdagen]]*Ruimtestaat[[#This Row],[Oppervlak (netto)]]</f>
        <v>4200</v>
      </c>
      <c r="X371" s="90">
        <f>IF(V371&gt;0,Ruimtestaat[[#This Row],[Prest. (m2 /jaar) werkdagen]]/Ruimtestaat[[#This Row],[Norm (m2/uur) werkdagen]],0)</f>
        <v>0</v>
      </c>
      <c r="Y371" s="91">
        <f>Ruimtestaat[[#This Row],[uren / jaar werkdagen]]*Tariefsopbouw!$E$35</f>
        <v>0</v>
      </c>
      <c r="Z371" s="88"/>
      <c r="AA371" s="92">
        <f>IF(Ruimtestaat[[#This Row],[Frequentie weekend]]&gt;0,VALUE(LEFT(Z371,1))*S371,0)</f>
        <v>0</v>
      </c>
      <c r="AB371" s="88">
        <f>IF($AA371&gt;0,VLOOKUP($K371,Ruimtegroepen[],3,FALSE)*VLOOKUP($M371,Vloersoorten[],3,FALSE)*VLOOKUP($Z371,Frequenties[],3,FALSE)*VLOOKUP(#REF!,Locaties[],3,FALSE),0)</f>
        <v>0</v>
      </c>
      <c r="AC371" s="90">
        <f>Ruimtestaat[[#This Row],[Uitvoeringen weekend]]*Ruimtestaat[[#This Row],[Oppervlak (netto)]]</f>
        <v>0</v>
      </c>
      <c r="AD371" s="93">
        <f>IF(AC371&gt;0,Ruimtestaat[[#This Row],[Prest. (m2 /jaar) weekend]]/Ruimtestaat[[#This Row],[Norm (m2/uur) weekend]],0)</f>
        <v>0</v>
      </c>
      <c r="AE371" s="94">
        <f>Ruimtestaat[[#This Row],[uren / jaar weekend]]*Tariefsopbouw!$D$40</f>
        <v>0</v>
      </c>
      <c r="AF371" s="66">
        <f>Ruimtestaat[[#This Row],[Prest. (m2 /jaar) weekend]]+Ruimtestaat[[#This Row],[Prest. (m2 /jaar) werkdagen]]</f>
        <v>4200</v>
      </c>
      <c r="AG371" s="66">
        <f>Ruimtestaat[[#This Row],[uren / jaar weekend]]+Ruimtestaat[[#This Row],[uren / jaar werkdagen]]</f>
        <v>0</v>
      </c>
      <c r="AH371" s="67">
        <f>Ruimtestaat[[#This Row],[kosten / jaar weekend]]+Ruimtestaat[[#This Row],[kosten / jaar werkdagen]]</f>
        <v>0</v>
      </c>
    </row>
    <row r="372" spans="1:34" ht="15" customHeight="1">
      <c r="A372" s="112">
        <v>3</v>
      </c>
      <c r="B372" s="23" t="str">
        <f>VLOOKUP(Ruimtestaat[[#This Row],[Code]],Locaties[#All],2,FALSE)</f>
        <v>RSG N.O. Veluwe</v>
      </c>
      <c r="C372" s="23" t="str">
        <f>VLOOKUP(Ruimtestaat[[#This Row],[Code]],Locaties[#All],4,FALSE)</f>
        <v>Schotweg 1</v>
      </c>
      <c r="D372" s="23" t="str">
        <f>VLOOKUP(Ruimtestaat[[#This Row],[Code]],Locaties[#All],5,FALSE)</f>
        <v>8162 GM</v>
      </c>
      <c r="E372" s="23" t="str">
        <f>VLOOKUP(Ruimtestaat[[#This Row],[Code]],Locaties[#All],6,FALSE)</f>
        <v>Epe</v>
      </c>
      <c r="F372" s="23" t="s">
        <v>1108</v>
      </c>
      <c r="G372" s="60"/>
      <c r="H372" s="23" t="s">
        <v>1298</v>
      </c>
      <c r="I372" s="23" t="s">
        <v>1120</v>
      </c>
      <c r="J372" s="3" t="s">
        <v>1119</v>
      </c>
      <c r="K372" s="23">
        <v>2</v>
      </c>
      <c r="L372" s="60" t="str">
        <f>VLOOKUP(K372,Ruimtegroepen[],2,FALSE)</f>
        <v>Kantoren</v>
      </c>
      <c r="M372" s="23" t="s">
        <v>1094</v>
      </c>
      <c r="N372" s="23" t="s">
        <v>1095</v>
      </c>
      <c r="O372" s="86">
        <v>20</v>
      </c>
      <c r="P372" s="86"/>
      <c r="Q372" s="95" t="str">
        <f>LEFT(VLOOKUP(Ruimtestaat[[#This Row],[Ruimte code]],Ruimtegroepen[#All],4,1),2)</f>
        <v xml:space="preserve">B </v>
      </c>
      <c r="R372" s="95"/>
      <c r="S372" s="87">
        <v>42</v>
      </c>
      <c r="T372" s="87" t="s">
        <v>2</v>
      </c>
      <c r="U372" s="88">
        <f>IF(S372&gt;0,IF(RIGHT(Ruimtestaat[[#This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372" s="88">
        <f>IF(U372&gt;0,VLOOKUP($K372,Ruimtegroepen[],3,FALSE)*VLOOKUP($M372,Vloersoorten[],3,FALSE)*VLOOKUP($T372,Frequenties[],3,FALSE)*VLOOKUP($A372,Locaties[],3,FALSE),0)</f>
        <v>0</v>
      </c>
      <c r="W372" s="89">
        <f>Ruimtestaat[[#This Row],[Uitvoeringen werkdagen]]*Ruimtestaat[[#This Row],[Oppervlak (netto)]]</f>
        <v>4200</v>
      </c>
      <c r="X372" s="90">
        <f>IF(V372&gt;0,Ruimtestaat[[#This Row],[Prest. (m2 /jaar) werkdagen]]/Ruimtestaat[[#This Row],[Norm (m2/uur) werkdagen]],0)</f>
        <v>0</v>
      </c>
      <c r="Y372" s="91">
        <f>Ruimtestaat[[#This Row],[uren / jaar werkdagen]]*Tariefsopbouw!$E$35</f>
        <v>0</v>
      </c>
      <c r="Z372" s="88"/>
      <c r="AA372" s="92">
        <f>IF(Ruimtestaat[[#This Row],[Frequentie weekend]]&gt;0,VALUE(LEFT(Z372,1))*S372,0)</f>
        <v>0</v>
      </c>
      <c r="AB372" s="88">
        <f>IF($AA372&gt;0,VLOOKUP($K372,Ruimtegroepen[],3,FALSE)*VLOOKUP($M372,Vloersoorten[],3,FALSE)*VLOOKUP($Z372,Frequenties[],3,FALSE)*VLOOKUP(#REF!,Locaties[],3,FALSE),0)</f>
        <v>0</v>
      </c>
      <c r="AC372" s="90">
        <f>Ruimtestaat[[#This Row],[Uitvoeringen weekend]]*Ruimtestaat[[#This Row],[Oppervlak (netto)]]</f>
        <v>0</v>
      </c>
      <c r="AD372" s="93">
        <f>IF(AC372&gt;0,Ruimtestaat[[#This Row],[Prest. (m2 /jaar) weekend]]/Ruimtestaat[[#This Row],[Norm (m2/uur) weekend]],0)</f>
        <v>0</v>
      </c>
      <c r="AE372" s="94">
        <f>Ruimtestaat[[#This Row],[uren / jaar weekend]]*Tariefsopbouw!$D$40</f>
        <v>0</v>
      </c>
      <c r="AF372" s="66">
        <f>Ruimtestaat[[#This Row],[Prest. (m2 /jaar) weekend]]+Ruimtestaat[[#This Row],[Prest. (m2 /jaar) werkdagen]]</f>
        <v>4200</v>
      </c>
      <c r="AG372" s="66">
        <f>Ruimtestaat[[#This Row],[uren / jaar weekend]]+Ruimtestaat[[#This Row],[uren / jaar werkdagen]]</f>
        <v>0</v>
      </c>
      <c r="AH372" s="67">
        <f>Ruimtestaat[[#This Row],[kosten / jaar weekend]]+Ruimtestaat[[#This Row],[kosten / jaar werkdagen]]</f>
        <v>0</v>
      </c>
    </row>
    <row r="373" spans="1:34" ht="15" customHeight="1">
      <c r="A373" s="112">
        <v>3</v>
      </c>
      <c r="B373" s="23" t="str">
        <f>VLOOKUP(Ruimtestaat[[#This Row],[Code]],Locaties[#All],2,FALSE)</f>
        <v>RSG N.O. Veluwe</v>
      </c>
      <c r="C373" s="23" t="str">
        <f>VLOOKUP(Ruimtestaat[[#This Row],[Code]],Locaties[#All],4,FALSE)</f>
        <v>Schotweg 1</v>
      </c>
      <c r="D373" s="23" t="str">
        <f>VLOOKUP(Ruimtestaat[[#This Row],[Code]],Locaties[#All],5,FALSE)</f>
        <v>8162 GM</v>
      </c>
      <c r="E373" s="23" t="str">
        <f>VLOOKUP(Ruimtestaat[[#This Row],[Code]],Locaties[#All],6,FALSE)</f>
        <v>Epe</v>
      </c>
      <c r="F373" s="23" t="s">
        <v>1108</v>
      </c>
      <c r="G373" s="60"/>
      <c r="H373" s="23" t="s">
        <v>1298</v>
      </c>
      <c r="I373" s="23" t="s">
        <v>1121</v>
      </c>
      <c r="J373" s="3" t="s">
        <v>1119</v>
      </c>
      <c r="K373" s="23">
        <v>2</v>
      </c>
      <c r="L373" s="60" t="str">
        <f>VLOOKUP(K373,Ruimtegroepen[],2,FALSE)</f>
        <v>Kantoren</v>
      </c>
      <c r="M373" s="23" t="s">
        <v>1094</v>
      </c>
      <c r="N373" s="23" t="s">
        <v>1095</v>
      </c>
      <c r="O373" s="86">
        <v>20</v>
      </c>
      <c r="P373" s="86"/>
      <c r="Q373" s="95" t="str">
        <f>LEFT(VLOOKUP(Ruimtestaat[[#This Row],[Ruimte code]],Ruimtegroepen[#All],4,1),2)</f>
        <v xml:space="preserve">B </v>
      </c>
      <c r="R373" s="95"/>
      <c r="S373" s="87">
        <v>42</v>
      </c>
      <c r="T373" s="87" t="s">
        <v>2</v>
      </c>
      <c r="U373" s="88">
        <f>IF(S373&gt;0,IF(RIGHT(Ruimtestaat[[#This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373" s="88">
        <f>IF(U373&gt;0,VLOOKUP($K373,Ruimtegroepen[],3,FALSE)*VLOOKUP($M373,Vloersoorten[],3,FALSE)*VLOOKUP($T373,Frequenties[],3,FALSE)*VLOOKUP($A373,Locaties[],3,FALSE),0)</f>
        <v>0</v>
      </c>
      <c r="W373" s="89">
        <f>Ruimtestaat[[#This Row],[Uitvoeringen werkdagen]]*Ruimtestaat[[#This Row],[Oppervlak (netto)]]</f>
        <v>4200</v>
      </c>
      <c r="X373" s="90">
        <f>IF(V373&gt;0,Ruimtestaat[[#This Row],[Prest. (m2 /jaar) werkdagen]]/Ruimtestaat[[#This Row],[Norm (m2/uur) werkdagen]],0)</f>
        <v>0</v>
      </c>
      <c r="Y373" s="91">
        <f>Ruimtestaat[[#This Row],[uren / jaar werkdagen]]*Tariefsopbouw!$E$35</f>
        <v>0</v>
      </c>
      <c r="Z373" s="88"/>
      <c r="AA373" s="92">
        <f>IF(Ruimtestaat[[#This Row],[Frequentie weekend]]&gt;0,VALUE(LEFT(Z373,1))*S373,0)</f>
        <v>0</v>
      </c>
      <c r="AB373" s="88">
        <f>IF($AA373&gt;0,VLOOKUP($K373,Ruimtegroepen[],3,FALSE)*VLOOKUP($M373,Vloersoorten[],3,FALSE)*VLOOKUP($Z373,Frequenties[],3,FALSE)*VLOOKUP(#REF!,Locaties[],3,FALSE),0)</f>
        <v>0</v>
      </c>
      <c r="AC373" s="90">
        <f>Ruimtestaat[[#This Row],[Uitvoeringen weekend]]*Ruimtestaat[[#This Row],[Oppervlak (netto)]]</f>
        <v>0</v>
      </c>
      <c r="AD373" s="93">
        <f>IF(AC373&gt;0,Ruimtestaat[[#This Row],[Prest. (m2 /jaar) weekend]]/Ruimtestaat[[#This Row],[Norm (m2/uur) weekend]],0)</f>
        <v>0</v>
      </c>
      <c r="AE373" s="94">
        <f>Ruimtestaat[[#This Row],[uren / jaar weekend]]*Tariefsopbouw!$D$40</f>
        <v>0</v>
      </c>
      <c r="AF373" s="66">
        <f>Ruimtestaat[[#This Row],[Prest. (m2 /jaar) weekend]]+Ruimtestaat[[#This Row],[Prest. (m2 /jaar) werkdagen]]</f>
        <v>4200</v>
      </c>
      <c r="AG373" s="66">
        <f>Ruimtestaat[[#This Row],[uren / jaar weekend]]+Ruimtestaat[[#This Row],[uren / jaar werkdagen]]</f>
        <v>0</v>
      </c>
      <c r="AH373" s="67">
        <f>Ruimtestaat[[#This Row],[kosten / jaar weekend]]+Ruimtestaat[[#This Row],[kosten / jaar werkdagen]]</f>
        <v>0</v>
      </c>
    </row>
    <row r="374" spans="1:34" ht="15" customHeight="1">
      <c r="A374" s="112">
        <v>3</v>
      </c>
      <c r="B374" s="23" t="str">
        <f>VLOOKUP(Ruimtestaat[[#This Row],[Code]],Locaties[#All],2,FALSE)</f>
        <v>RSG N.O. Veluwe</v>
      </c>
      <c r="C374" s="23" t="str">
        <f>VLOOKUP(Ruimtestaat[[#This Row],[Code]],Locaties[#All],4,FALSE)</f>
        <v>Schotweg 1</v>
      </c>
      <c r="D374" s="23" t="str">
        <f>VLOOKUP(Ruimtestaat[[#This Row],[Code]],Locaties[#All],5,FALSE)</f>
        <v>8162 GM</v>
      </c>
      <c r="E374" s="23" t="str">
        <f>VLOOKUP(Ruimtestaat[[#This Row],[Code]],Locaties[#All],6,FALSE)</f>
        <v>Epe</v>
      </c>
      <c r="F374" s="23" t="s">
        <v>1108</v>
      </c>
      <c r="G374" s="60"/>
      <c r="H374" s="23" t="s">
        <v>1298</v>
      </c>
      <c r="I374" s="23" t="s">
        <v>1122</v>
      </c>
      <c r="J374" s="3" t="s">
        <v>1123</v>
      </c>
      <c r="K374" s="23">
        <v>23</v>
      </c>
      <c r="L374" s="60" t="str">
        <f>VLOOKUP(K374,Ruimtegroepen[],2,FALSE)</f>
        <v>Niet in onderhoud</v>
      </c>
      <c r="M374" s="23" t="s">
        <v>113</v>
      </c>
      <c r="N374" s="23" t="s">
        <v>1092</v>
      </c>
      <c r="O374" s="86"/>
      <c r="P374" s="86">
        <v>10</v>
      </c>
      <c r="Q374" s="95" t="str">
        <f>LEFT(VLOOKUP(Ruimtestaat[[#This Row],[Ruimte code]],Ruimtegroepen[#All],4,1),2)</f>
        <v/>
      </c>
      <c r="R374" s="95"/>
      <c r="S374" s="87"/>
      <c r="T374" s="87"/>
      <c r="U374" s="88">
        <f>IF(S374&gt;0,IF(RIGHT(Ruimtestaat[[#This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74" s="88">
        <f>IF(U374&gt;0,VLOOKUP($K374,Ruimtegroepen[],3,FALSE)*VLOOKUP($M374,Vloersoorten[],3,FALSE)*VLOOKUP($T374,Frequenties[],3,FALSE)*VLOOKUP($A374,Locaties[],3,FALSE),0)</f>
        <v>0</v>
      </c>
      <c r="W374" s="89">
        <f>Ruimtestaat[[#This Row],[Uitvoeringen werkdagen]]*Ruimtestaat[[#This Row],[Oppervlak (netto)]]</f>
        <v>0</v>
      </c>
      <c r="X374" s="90">
        <f>IF(V374&gt;0,Ruimtestaat[[#This Row],[Prest. (m2 /jaar) werkdagen]]/Ruimtestaat[[#This Row],[Norm (m2/uur) werkdagen]],0)</f>
        <v>0</v>
      </c>
      <c r="Y374" s="91">
        <f>Ruimtestaat[[#This Row],[uren / jaar werkdagen]]*Tariefsopbouw!$E$35</f>
        <v>0</v>
      </c>
      <c r="Z374" s="88"/>
      <c r="AA374" s="92">
        <f>IF(Ruimtestaat[[#This Row],[Frequentie weekend]]&gt;0,VALUE(LEFT(Z374,1))*S374,0)</f>
        <v>0</v>
      </c>
      <c r="AB374" s="88">
        <f>IF($AA374&gt;0,VLOOKUP($K374,Ruimtegroepen[],3,FALSE)*VLOOKUP($M374,Vloersoorten[],3,FALSE)*VLOOKUP($Z374,Frequenties[],3,FALSE)*VLOOKUP(#REF!,Locaties[],3,FALSE),0)</f>
        <v>0</v>
      </c>
      <c r="AC374" s="90">
        <f>Ruimtestaat[[#This Row],[Uitvoeringen weekend]]*Ruimtestaat[[#This Row],[Oppervlak (netto)]]</f>
        <v>0</v>
      </c>
      <c r="AD374" s="93">
        <f>IF(AC374&gt;0,Ruimtestaat[[#This Row],[Prest. (m2 /jaar) weekend]]/Ruimtestaat[[#This Row],[Norm (m2/uur) weekend]],0)</f>
        <v>0</v>
      </c>
      <c r="AE374" s="94">
        <f>Ruimtestaat[[#This Row],[uren / jaar weekend]]*Tariefsopbouw!$D$40</f>
        <v>0</v>
      </c>
      <c r="AF374" s="66">
        <f>Ruimtestaat[[#This Row],[Prest. (m2 /jaar) weekend]]+Ruimtestaat[[#This Row],[Prest. (m2 /jaar) werkdagen]]</f>
        <v>0</v>
      </c>
      <c r="AG374" s="66">
        <f>Ruimtestaat[[#This Row],[uren / jaar weekend]]+Ruimtestaat[[#This Row],[uren / jaar werkdagen]]</f>
        <v>0</v>
      </c>
      <c r="AH374" s="67">
        <f>Ruimtestaat[[#This Row],[kosten / jaar weekend]]+Ruimtestaat[[#This Row],[kosten / jaar werkdagen]]</f>
        <v>0</v>
      </c>
    </row>
    <row r="375" spans="1:34" ht="15" customHeight="1">
      <c r="A375" s="112">
        <v>3</v>
      </c>
      <c r="B375" s="23" t="str">
        <f>VLOOKUP(Ruimtestaat[[#This Row],[Code]],Locaties[#All],2,FALSE)</f>
        <v>RSG N.O. Veluwe</v>
      </c>
      <c r="C375" s="23" t="str">
        <f>VLOOKUP(Ruimtestaat[[#This Row],[Code]],Locaties[#All],4,FALSE)</f>
        <v>Schotweg 1</v>
      </c>
      <c r="D375" s="23" t="str">
        <f>VLOOKUP(Ruimtestaat[[#This Row],[Code]],Locaties[#All],5,FALSE)</f>
        <v>8162 GM</v>
      </c>
      <c r="E375" s="23" t="str">
        <f>VLOOKUP(Ruimtestaat[[#This Row],[Code]],Locaties[#All],6,FALSE)</f>
        <v>Epe</v>
      </c>
      <c r="F375" s="23" t="s">
        <v>1108</v>
      </c>
      <c r="G375" s="60"/>
      <c r="H375" s="23" t="s">
        <v>1298</v>
      </c>
      <c r="I375" s="23" t="s">
        <v>1124</v>
      </c>
      <c r="J375" s="3" t="s">
        <v>1125</v>
      </c>
      <c r="K375" s="23">
        <v>23</v>
      </c>
      <c r="L375" s="60" t="str">
        <f>VLOOKUP(K375,Ruimtegroepen[],2,FALSE)</f>
        <v>Niet in onderhoud</v>
      </c>
      <c r="M375" s="23" t="s">
        <v>113</v>
      </c>
      <c r="N375" s="23" t="s">
        <v>1092</v>
      </c>
      <c r="O375" s="86"/>
      <c r="P375" s="86">
        <v>10</v>
      </c>
      <c r="Q375" s="95" t="str">
        <f>LEFT(VLOOKUP(Ruimtestaat[[#This Row],[Ruimte code]],Ruimtegroepen[#All],4,1),2)</f>
        <v/>
      </c>
      <c r="R375" s="95"/>
      <c r="S375" s="87"/>
      <c r="T375" s="87"/>
      <c r="U375" s="88">
        <f>IF(S375&gt;0,IF(RIGHT(Ruimtestaat[[#This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75" s="88">
        <f>IF(U375&gt;0,VLOOKUP($K375,Ruimtegroepen[],3,FALSE)*VLOOKUP($M375,Vloersoorten[],3,FALSE)*VLOOKUP($T375,Frequenties[],3,FALSE)*VLOOKUP($A375,Locaties[],3,FALSE),0)</f>
        <v>0</v>
      </c>
      <c r="W375" s="89">
        <f>Ruimtestaat[[#This Row],[Uitvoeringen werkdagen]]*Ruimtestaat[[#This Row],[Oppervlak (netto)]]</f>
        <v>0</v>
      </c>
      <c r="X375" s="90">
        <f>IF(V375&gt;0,Ruimtestaat[[#This Row],[Prest. (m2 /jaar) werkdagen]]/Ruimtestaat[[#This Row],[Norm (m2/uur) werkdagen]],0)</f>
        <v>0</v>
      </c>
      <c r="Y375" s="91">
        <f>Ruimtestaat[[#This Row],[uren / jaar werkdagen]]*Tariefsopbouw!$E$35</f>
        <v>0</v>
      </c>
      <c r="Z375" s="88"/>
      <c r="AA375" s="92">
        <f>IF(Ruimtestaat[[#This Row],[Frequentie weekend]]&gt;0,VALUE(LEFT(Z375,1))*S375,0)</f>
        <v>0</v>
      </c>
      <c r="AB375" s="88">
        <f>IF($AA375&gt;0,VLOOKUP($K375,Ruimtegroepen[],3,FALSE)*VLOOKUP($M375,Vloersoorten[],3,FALSE)*VLOOKUP($Z375,Frequenties[],3,FALSE)*VLOOKUP(#REF!,Locaties[],3,FALSE),0)</f>
        <v>0</v>
      </c>
      <c r="AC375" s="90">
        <f>Ruimtestaat[[#This Row],[Uitvoeringen weekend]]*Ruimtestaat[[#This Row],[Oppervlak (netto)]]</f>
        <v>0</v>
      </c>
      <c r="AD375" s="93">
        <f>IF(AC375&gt;0,Ruimtestaat[[#This Row],[Prest. (m2 /jaar) weekend]]/Ruimtestaat[[#This Row],[Norm (m2/uur) weekend]],0)</f>
        <v>0</v>
      </c>
      <c r="AE375" s="94">
        <f>Ruimtestaat[[#This Row],[uren / jaar weekend]]*Tariefsopbouw!$D$40</f>
        <v>0</v>
      </c>
      <c r="AF375" s="66">
        <f>Ruimtestaat[[#This Row],[Prest. (m2 /jaar) weekend]]+Ruimtestaat[[#This Row],[Prest. (m2 /jaar) werkdagen]]</f>
        <v>0</v>
      </c>
      <c r="AG375" s="66">
        <f>Ruimtestaat[[#This Row],[uren / jaar weekend]]+Ruimtestaat[[#This Row],[uren / jaar werkdagen]]</f>
        <v>0</v>
      </c>
      <c r="AH375" s="67">
        <f>Ruimtestaat[[#This Row],[kosten / jaar weekend]]+Ruimtestaat[[#This Row],[kosten / jaar werkdagen]]</f>
        <v>0</v>
      </c>
    </row>
    <row r="376" spans="1:34" ht="15" customHeight="1">
      <c r="A376" s="112">
        <v>3</v>
      </c>
      <c r="B376" s="23" t="str">
        <f>VLOOKUP(Ruimtestaat[[#This Row],[Code]],Locaties[#All],2,FALSE)</f>
        <v>RSG N.O. Veluwe</v>
      </c>
      <c r="C376" s="23" t="str">
        <f>VLOOKUP(Ruimtestaat[[#This Row],[Code]],Locaties[#All],4,FALSE)</f>
        <v>Schotweg 1</v>
      </c>
      <c r="D376" s="23" t="str">
        <f>VLOOKUP(Ruimtestaat[[#This Row],[Code]],Locaties[#All],5,FALSE)</f>
        <v>8162 GM</v>
      </c>
      <c r="E376" s="23" t="str">
        <f>VLOOKUP(Ruimtestaat[[#This Row],[Code]],Locaties[#All],6,FALSE)</f>
        <v>Epe</v>
      </c>
      <c r="F376" s="23" t="s">
        <v>1108</v>
      </c>
      <c r="G376" s="60"/>
      <c r="H376" s="23" t="s">
        <v>1298</v>
      </c>
      <c r="I376" s="23" t="s">
        <v>1126</v>
      </c>
      <c r="J376" s="3" t="s">
        <v>1127</v>
      </c>
      <c r="K376" s="23">
        <v>23</v>
      </c>
      <c r="L376" s="60" t="str">
        <f>VLOOKUP(K376,Ruimtegroepen[],2,FALSE)</f>
        <v>Niet in onderhoud</v>
      </c>
      <c r="M376" s="23" t="s">
        <v>113</v>
      </c>
      <c r="N376" s="23" t="s">
        <v>1092</v>
      </c>
      <c r="O376" s="86"/>
      <c r="P376" s="86">
        <v>3</v>
      </c>
      <c r="Q376" s="95" t="str">
        <f>LEFT(VLOOKUP(Ruimtestaat[[#This Row],[Ruimte code]],Ruimtegroepen[#All],4,1),2)</f>
        <v/>
      </c>
      <c r="R376" s="95"/>
      <c r="S376" s="87"/>
      <c r="T376" s="87"/>
      <c r="U376" s="88">
        <f>IF(S376&gt;0,IF(RIGHT(Ruimtestaat[[#This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76" s="88">
        <f>IF(U376&gt;0,VLOOKUP($K376,Ruimtegroepen[],3,FALSE)*VLOOKUP($M376,Vloersoorten[],3,FALSE)*VLOOKUP($T376,Frequenties[],3,FALSE)*VLOOKUP($A376,Locaties[],3,FALSE),0)</f>
        <v>0</v>
      </c>
      <c r="W376" s="89">
        <f>Ruimtestaat[[#This Row],[Uitvoeringen werkdagen]]*Ruimtestaat[[#This Row],[Oppervlak (netto)]]</f>
        <v>0</v>
      </c>
      <c r="X376" s="90">
        <f>IF(V376&gt;0,Ruimtestaat[[#This Row],[Prest. (m2 /jaar) werkdagen]]/Ruimtestaat[[#This Row],[Norm (m2/uur) werkdagen]],0)</f>
        <v>0</v>
      </c>
      <c r="Y376" s="91">
        <f>Ruimtestaat[[#This Row],[uren / jaar werkdagen]]*Tariefsopbouw!$E$35</f>
        <v>0</v>
      </c>
      <c r="Z376" s="88"/>
      <c r="AA376" s="92">
        <f>IF(Ruimtestaat[[#This Row],[Frequentie weekend]]&gt;0,VALUE(LEFT(Z376,1))*S376,0)</f>
        <v>0</v>
      </c>
      <c r="AB376" s="88">
        <f>IF($AA376&gt;0,VLOOKUP($K376,Ruimtegroepen[],3,FALSE)*VLOOKUP($M376,Vloersoorten[],3,FALSE)*VLOOKUP($Z376,Frequenties[],3,FALSE)*VLOOKUP(#REF!,Locaties[],3,FALSE),0)</f>
        <v>0</v>
      </c>
      <c r="AC376" s="90">
        <f>Ruimtestaat[[#This Row],[Uitvoeringen weekend]]*Ruimtestaat[[#This Row],[Oppervlak (netto)]]</f>
        <v>0</v>
      </c>
      <c r="AD376" s="93">
        <f>IF(AC376&gt;0,Ruimtestaat[[#This Row],[Prest. (m2 /jaar) weekend]]/Ruimtestaat[[#This Row],[Norm (m2/uur) weekend]],0)</f>
        <v>0</v>
      </c>
      <c r="AE376" s="94">
        <f>Ruimtestaat[[#This Row],[uren / jaar weekend]]*Tariefsopbouw!$D$40</f>
        <v>0</v>
      </c>
      <c r="AF376" s="66">
        <f>Ruimtestaat[[#This Row],[Prest. (m2 /jaar) weekend]]+Ruimtestaat[[#This Row],[Prest. (m2 /jaar) werkdagen]]</f>
        <v>0</v>
      </c>
      <c r="AG376" s="66">
        <f>Ruimtestaat[[#This Row],[uren / jaar weekend]]+Ruimtestaat[[#This Row],[uren / jaar werkdagen]]</f>
        <v>0</v>
      </c>
      <c r="AH376" s="67">
        <f>Ruimtestaat[[#This Row],[kosten / jaar weekend]]+Ruimtestaat[[#This Row],[kosten / jaar werkdagen]]</f>
        <v>0</v>
      </c>
    </row>
    <row r="377" spans="1:34" ht="15" customHeight="1">
      <c r="A377" s="112">
        <v>3</v>
      </c>
      <c r="B377" s="23" t="str">
        <f>VLOOKUP(Ruimtestaat[[#This Row],[Code]],Locaties[#All],2,FALSE)</f>
        <v>RSG N.O. Veluwe</v>
      </c>
      <c r="C377" s="23" t="str">
        <f>VLOOKUP(Ruimtestaat[[#This Row],[Code]],Locaties[#All],4,FALSE)</f>
        <v>Schotweg 1</v>
      </c>
      <c r="D377" s="23" t="str">
        <f>VLOOKUP(Ruimtestaat[[#This Row],[Code]],Locaties[#All],5,FALSE)</f>
        <v>8162 GM</v>
      </c>
      <c r="E377" s="23" t="str">
        <f>VLOOKUP(Ruimtestaat[[#This Row],[Code]],Locaties[#All],6,FALSE)</f>
        <v>Epe</v>
      </c>
      <c r="F377" s="23" t="s">
        <v>1108</v>
      </c>
      <c r="G377" s="60"/>
      <c r="H377" s="23" t="s">
        <v>1298</v>
      </c>
      <c r="I377" s="23" t="s">
        <v>1128</v>
      </c>
      <c r="J377" s="3" t="s">
        <v>1129</v>
      </c>
      <c r="K377" s="23">
        <v>11</v>
      </c>
      <c r="L377" s="60" t="str">
        <f>VLOOKUP(K377,Ruimtegroepen[],2,FALSE)</f>
        <v>Kooklokaal/leskeuken</v>
      </c>
      <c r="M377" s="23" t="s">
        <v>113</v>
      </c>
      <c r="N377" s="23" t="s">
        <v>1302</v>
      </c>
      <c r="O377" s="86">
        <v>300</v>
      </c>
      <c r="P377" s="86"/>
      <c r="Q377" s="95" t="str">
        <f>LEFT(VLOOKUP(Ruimtestaat[[#This Row],[Ruimte code]],Ruimtegroepen[#All],4,1),2)</f>
        <v xml:space="preserve">L </v>
      </c>
      <c r="R377" s="95"/>
      <c r="S377" s="87">
        <v>42</v>
      </c>
      <c r="T377" s="87" t="s">
        <v>2</v>
      </c>
      <c r="U377" s="88">
        <f>IF(S377&gt;0,IF(RIGHT(Ruimtestaat[[#This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377" s="88">
        <f>IF(U377&gt;0,VLOOKUP($K377,Ruimtegroepen[],3,FALSE)*VLOOKUP($M377,Vloersoorten[],3,FALSE)*VLOOKUP($T377,Frequenties[],3,FALSE)*VLOOKUP($A377,Locaties[],3,FALSE),0)</f>
        <v>0</v>
      </c>
      <c r="W377" s="89">
        <f>Ruimtestaat[[#This Row],[Uitvoeringen werkdagen]]*Ruimtestaat[[#This Row],[Oppervlak (netto)]]</f>
        <v>63000</v>
      </c>
      <c r="X377" s="90">
        <f>IF(V377&gt;0,Ruimtestaat[[#This Row],[Prest. (m2 /jaar) werkdagen]]/Ruimtestaat[[#This Row],[Norm (m2/uur) werkdagen]],0)</f>
        <v>0</v>
      </c>
      <c r="Y377" s="91">
        <f>Ruimtestaat[[#This Row],[uren / jaar werkdagen]]*Tariefsopbouw!$E$35</f>
        <v>0</v>
      </c>
      <c r="Z377" s="88"/>
      <c r="AA377" s="92">
        <f>IF(Ruimtestaat[[#This Row],[Frequentie weekend]]&gt;0,VALUE(LEFT(Z377,1))*S377,0)</f>
        <v>0</v>
      </c>
      <c r="AB377" s="88">
        <f>IF($AA377&gt;0,VLOOKUP($K377,Ruimtegroepen[],3,FALSE)*VLOOKUP($M377,Vloersoorten[],3,FALSE)*VLOOKUP($Z377,Frequenties[],3,FALSE)*VLOOKUP(#REF!,Locaties[],3,FALSE),0)</f>
        <v>0</v>
      </c>
      <c r="AC377" s="90">
        <f>Ruimtestaat[[#This Row],[Uitvoeringen weekend]]*Ruimtestaat[[#This Row],[Oppervlak (netto)]]</f>
        <v>0</v>
      </c>
      <c r="AD377" s="93">
        <f>IF(AC377&gt;0,Ruimtestaat[[#This Row],[Prest. (m2 /jaar) weekend]]/Ruimtestaat[[#This Row],[Norm (m2/uur) weekend]],0)</f>
        <v>0</v>
      </c>
      <c r="AE377" s="94">
        <f>Ruimtestaat[[#This Row],[uren / jaar weekend]]*Tariefsopbouw!$D$40</f>
        <v>0</v>
      </c>
      <c r="AF377" s="66">
        <f>Ruimtestaat[[#This Row],[Prest. (m2 /jaar) weekend]]+Ruimtestaat[[#This Row],[Prest. (m2 /jaar) werkdagen]]</f>
        <v>63000</v>
      </c>
      <c r="AG377" s="66">
        <f>Ruimtestaat[[#This Row],[uren / jaar weekend]]+Ruimtestaat[[#This Row],[uren / jaar werkdagen]]</f>
        <v>0</v>
      </c>
      <c r="AH377" s="67">
        <f>Ruimtestaat[[#This Row],[kosten / jaar weekend]]+Ruimtestaat[[#This Row],[kosten / jaar werkdagen]]</f>
        <v>0</v>
      </c>
    </row>
    <row r="378" spans="1:34" ht="15" customHeight="1">
      <c r="A378" s="112">
        <v>3</v>
      </c>
      <c r="B378" s="23" t="str">
        <f>VLOOKUP(Ruimtestaat[[#This Row],[Code]],Locaties[#All],2,FALSE)</f>
        <v>RSG N.O. Veluwe</v>
      </c>
      <c r="C378" s="23" t="str">
        <f>VLOOKUP(Ruimtestaat[[#This Row],[Code]],Locaties[#All],4,FALSE)</f>
        <v>Schotweg 1</v>
      </c>
      <c r="D378" s="23" t="str">
        <f>VLOOKUP(Ruimtestaat[[#This Row],[Code]],Locaties[#All],5,FALSE)</f>
        <v>8162 GM</v>
      </c>
      <c r="E378" s="23" t="str">
        <f>VLOOKUP(Ruimtestaat[[#This Row],[Code]],Locaties[#All],6,FALSE)</f>
        <v>Epe</v>
      </c>
      <c r="F378" s="23" t="s">
        <v>1108</v>
      </c>
      <c r="G378" s="60"/>
      <c r="H378" s="23" t="s">
        <v>1298</v>
      </c>
      <c r="I378" s="23" t="s">
        <v>1130</v>
      </c>
      <c r="J378" s="3" t="s">
        <v>1131</v>
      </c>
      <c r="K378" s="23">
        <v>19</v>
      </c>
      <c r="L378" s="60" t="str">
        <f>VLOOKUP(K378,Ruimtegroepen[],2,FALSE)</f>
        <v>Kleedruimten</v>
      </c>
      <c r="M378" s="23" t="s">
        <v>113</v>
      </c>
      <c r="N378" s="23" t="s">
        <v>1302</v>
      </c>
      <c r="O378" s="86">
        <v>30</v>
      </c>
      <c r="P378" s="86"/>
      <c r="Q378" s="95" t="str">
        <f>LEFT(VLOOKUP(Ruimtestaat[[#This Row],[Ruimte code]],Ruimtegroepen[#All],4,1),2)</f>
        <v xml:space="preserve">V </v>
      </c>
      <c r="R378" s="95"/>
      <c r="S378" s="87">
        <v>40</v>
      </c>
      <c r="T378" s="87" t="s">
        <v>2</v>
      </c>
      <c r="U378" s="88">
        <f>IF(S378&gt;0,IF(RIGHT(Ruimtestaat[[#This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78" s="88">
        <f>IF(U378&gt;0,VLOOKUP($K378,Ruimtegroepen[],3,FALSE)*VLOOKUP($M378,Vloersoorten[],3,FALSE)*VLOOKUP($T378,Frequenties[],3,FALSE)*VLOOKUP($A378,Locaties[],3,FALSE),0)</f>
        <v>0</v>
      </c>
      <c r="W378" s="89">
        <f>Ruimtestaat[[#This Row],[Uitvoeringen werkdagen]]*Ruimtestaat[[#This Row],[Oppervlak (netto)]]</f>
        <v>6000</v>
      </c>
      <c r="X378" s="90">
        <f>IF(V378&gt;0,Ruimtestaat[[#This Row],[Prest. (m2 /jaar) werkdagen]]/Ruimtestaat[[#This Row],[Norm (m2/uur) werkdagen]],0)</f>
        <v>0</v>
      </c>
      <c r="Y378" s="91">
        <f>Ruimtestaat[[#This Row],[uren / jaar werkdagen]]*Tariefsopbouw!$E$35</f>
        <v>0</v>
      </c>
      <c r="Z378" s="88"/>
      <c r="AA378" s="92">
        <f>IF(Ruimtestaat[[#This Row],[Frequentie weekend]]&gt;0,VALUE(LEFT(Z378,1))*S378,0)</f>
        <v>0</v>
      </c>
      <c r="AB378" s="88">
        <f>IF($AA378&gt;0,VLOOKUP($K378,Ruimtegroepen[],3,FALSE)*VLOOKUP($M378,Vloersoorten[],3,FALSE)*VLOOKUP($Z378,Frequenties[],3,FALSE)*VLOOKUP(#REF!,Locaties[],3,FALSE),0)</f>
        <v>0</v>
      </c>
      <c r="AC378" s="90">
        <f>Ruimtestaat[[#This Row],[Uitvoeringen weekend]]*Ruimtestaat[[#This Row],[Oppervlak (netto)]]</f>
        <v>0</v>
      </c>
      <c r="AD378" s="93">
        <f>IF(AC378&gt;0,Ruimtestaat[[#This Row],[Prest. (m2 /jaar) weekend]]/Ruimtestaat[[#This Row],[Norm (m2/uur) weekend]],0)</f>
        <v>0</v>
      </c>
      <c r="AE378" s="94">
        <f>Ruimtestaat[[#This Row],[uren / jaar weekend]]*Tariefsopbouw!$D$40</f>
        <v>0</v>
      </c>
      <c r="AF378" s="66">
        <f>Ruimtestaat[[#This Row],[Prest. (m2 /jaar) weekend]]+Ruimtestaat[[#This Row],[Prest. (m2 /jaar) werkdagen]]</f>
        <v>6000</v>
      </c>
      <c r="AG378" s="66">
        <f>Ruimtestaat[[#This Row],[uren / jaar weekend]]+Ruimtestaat[[#This Row],[uren / jaar werkdagen]]</f>
        <v>0</v>
      </c>
      <c r="AH378" s="67">
        <f>Ruimtestaat[[#This Row],[kosten / jaar weekend]]+Ruimtestaat[[#This Row],[kosten / jaar werkdagen]]</f>
        <v>0</v>
      </c>
    </row>
    <row r="379" spans="1:34" ht="15" customHeight="1">
      <c r="A379" s="112">
        <v>3</v>
      </c>
      <c r="B379" s="23" t="str">
        <f>VLOOKUP(Ruimtestaat[[#This Row],[Code]],Locaties[#All],2,FALSE)</f>
        <v>RSG N.O. Veluwe</v>
      </c>
      <c r="C379" s="23" t="str">
        <f>VLOOKUP(Ruimtestaat[[#This Row],[Code]],Locaties[#All],4,FALSE)</f>
        <v>Schotweg 1</v>
      </c>
      <c r="D379" s="23" t="str">
        <f>VLOOKUP(Ruimtestaat[[#This Row],[Code]],Locaties[#All],5,FALSE)</f>
        <v>8162 GM</v>
      </c>
      <c r="E379" s="23" t="str">
        <f>VLOOKUP(Ruimtestaat[[#This Row],[Code]],Locaties[#All],6,FALSE)</f>
        <v>Epe</v>
      </c>
      <c r="F379" s="23" t="s">
        <v>1108</v>
      </c>
      <c r="G379" s="60"/>
      <c r="H379" s="23" t="s">
        <v>1298</v>
      </c>
      <c r="I379" s="23" t="s">
        <v>1132</v>
      </c>
      <c r="J379" s="3" t="s">
        <v>1133</v>
      </c>
      <c r="K379" s="23">
        <v>5</v>
      </c>
      <c r="L379" s="60" t="str">
        <f>VLOOKUP(K379,Ruimtegroepen[],2,FALSE)</f>
        <v>Sanitair</v>
      </c>
      <c r="M379" s="23" t="s">
        <v>113</v>
      </c>
      <c r="N379" s="23" t="s">
        <v>1302</v>
      </c>
      <c r="O379" s="86">
        <v>38</v>
      </c>
      <c r="P379" s="86"/>
      <c r="Q379" s="95" t="str">
        <f>LEFT(VLOOKUP(Ruimtestaat[[#This Row],[Ruimte code]],Ruimtegroepen[#All],4,1),2)</f>
        <v xml:space="preserve">S </v>
      </c>
      <c r="R379" s="95"/>
      <c r="S379" s="87">
        <v>40</v>
      </c>
      <c r="T379" s="87" t="s">
        <v>16</v>
      </c>
      <c r="U379" s="88">
        <f>IF(S379&gt;0,IF(RIGHT(Ruimtestaat[[#This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V379" s="88">
        <f>IF(U379&gt;0,VLOOKUP($K379,Ruimtegroepen[],3,FALSE)*VLOOKUP($M379,Vloersoorten[],3,FALSE)*VLOOKUP($T379,Frequenties[],3,FALSE)*VLOOKUP($A379,Locaties[],3,FALSE),0)</f>
        <v>0</v>
      </c>
      <c r="W379" s="89">
        <f>Ruimtestaat[[#This Row],[Uitvoeringen werkdagen]]*Ruimtestaat[[#This Row],[Oppervlak (netto)]]</f>
        <v>456</v>
      </c>
      <c r="X379" s="90">
        <f>IF(V379&gt;0,Ruimtestaat[[#This Row],[Prest. (m2 /jaar) werkdagen]]/Ruimtestaat[[#This Row],[Norm (m2/uur) werkdagen]],0)</f>
        <v>0</v>
      </c>
      <c r="Y379" s="91">
        <f>Ruimtestaat[[#This Row],[uren / jaar werkdagen]]*Tariefsopbouw!$E$35</f>
        <v>0</v>
      </c>
      <c r="Z379" s="88"/>
      <c r="AA379" s="92">
        <f>IF(Ruimtestaat[[#This Row],[Frequentie weekend]]&gt;0,VALUE(LEFT(Z379,1))*S379,0)</f>
        <v>0</v>
      </c>
      <c r="AB379" s="88">
        <f>IF($AA379&gt;0,VLOOKUP($K379,Ruimtegroepen[],3,FALSE)*VLOOKUP($M379,Vloersoorten[],3,FALSE)*VLOOKUP($Z379,Frequenties[],3,FALSE)*VLOOKUP(#REF!,Locaties[],3,FALSE),0)</f>
        <v>0</v>
      </c>
      <c r="AC379" s="90">
        <f>Ruimtestaat[[#This Row],[Uitvoeringen weekend]]*Ruimtestaat[[#This Row],[Oppervlak (netto)]]</f>
        <v>0</v>
      </c>
      <c r="AD379" s="93">
        <f>IF(AC379&gt;0,Ruimtestaat[[#This Row],[Prest. (m2 /jaar) weekend]]/Ruimtestaat[[#This Row],[Norm (m2/uur) weekend]],0)</f>
        <v>0</v>
      </c>
      <c r="AE379" s="94">
        <f>Ruimtestaat[[#This Row],[uren / jaar weekend]]*Tariefsopbouw!$D$40</f>
        <v>0</v>
      </c>
      <c r="AF379" s="66">
        <f>Ruimtestaat[[#This Row],[Prest. (m2 /jaar) weekend]]+Ruimtestaat[[#This Row],[Prest. (m2 /jaar) werkdagen]]</f>
        <v>456</v>
      </c>
      <c r="AG379" s="66">
        <f>Ruimtestaat[[#This Row],[uren / jaar weekend]]+Ruimtestaat[[#This Row],[uren / jaar werkdagen]]</f>
        <v>0</v>
      </c>
      <c r="AH379" s="67">
        <f>Ruimtestaat[[#This Row],[kosten / jaar weekend]]+Ruimtestaat[[#This Row],[kosten / jaar werkdagen]]</f>
        <v>0</v>
      </c>
    </row>
    <row r="380" spans="1:34" ht="15" customHeight="1">
      <c r="A380" s="112">
        <v>3</v>
      </c>
      <c r="B380" s="23" t="str">
        <f>VLOOKUP(Ruimtestaat[[#This Row],[Code]],Locaties[#All],2,FALSE)</f>
        <v>RSG N.O. Veluwe</v>
      </c>
      <c r="C380" s="23" t="str">
        <f>VLOOKUP(Ruimtestaat[[#This Row],[Code]],Locaties[#All],4,FALSE)</f>
        <v>Schotweg 1</v>
      </c>
      <c r="D380" s="23" t="str">
        <f>VLOOKUP(Ruimtestaat[[#This Row],[Code]],Locaties[#All],5,FALSE)</f>
        <v>8162 GM</v>
      </c>
      <c r="E380" s="23" t="str">
        <f>VLOOKUP(Ruimtestaat[[#This Row],[Code]],Locaties[#All],6,FALSE)</f>
        <v>Epe</v>
      </c>
      <c r="F380" s="23" t="s">
        <v>1108</v>
      </c>
      <c r="G380" s="60"/>
      <c r="H380" s="23" t="s">
        <v>1298</v>
      </c>
      <c r="I380" s="23" t="s">
        <v>1134</v>
      </c>
      <c r="J380" s="3" t="s">
        <v>1127</v>
      </c>
      <c r="K380" s="23">
        <v>23</v>
      </c>
      <c r="L380" s="60" t="str">
        <f>VLOOKUP(K380,Ruimtegroepen[],2,FALSE)</f>
        <v>Niet in onderhoud</v>
      </c>
      <c r="M380" s="23" t="s">
        <v>113</v>
      </c>
      <c r="N380" s="23" t="s">
        <v>1302</v>
      </c>
      <c r="O380" s="86"/>
      <c r="P380" s="86">
        <v>1</v>
      </c>
      <c r="Q380" s="95" t="str">
        <f>LEFT(VLOOKUP(Ruimtestaat[[#This Row],[Ruimte code]],Ruimtegroepen[#All],4,1),2)</f>
        <v/>
      </c>
      <c r="R380" s="95"/>
      <c r="S380" s="87"/>
      <c r="T380" s="87"/>
      <c r="U380" s="88">
        <f>IF(S380&gt;0,IF(RIGHT(Ruimtestaat[[#This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80" s="88">
        <f>IF(U380&gt;0,VLOOKUP($K380,Ruimtegroepen[],3,FALSE)*VLOOKUP($M380,Vloersoorten[],3,FALSE)*VLOOKUP($T380,Frequenties[],3,FALSE)*VLOOKUP($A380,Locaties[],3,FALSE),0)</f>
        <v>0</v>
      </c>
      <c r="W380" s="89">
        <f>Ruimtestaat[[#This Row],[Uitvoeringen werkdagen]]*Ruimtestaat[[#This Row],[Oppervlak (netto)]]</f>
        <v>0</v>
      </c>
      <c r="X380" s="90">
        <f>IF(V380&gt;0,Ruimtestaat[[#This Row],[Prest. (m2 /jaar) werkdagen]]/Ruimtestaat[[#This Row],[Norm (m2/uur) werkdagen]],0)</f>
        <v>0</v>
      </c>
      <c r="Y380" s="91">
        <f>Ruimtestaat[[#This Row],[uren / jaar werkdagen]]*Tariefsopbouw!$E$35</f>
        <v>0</v>
      </c>
      <c r="Z380" s="88"/>
      <c r="AA380" s="92">
        <f>IF(Ruimtestaat[[#This Row],[Frequentie weekend]]&gt;0,VALUE(LEFT(Z380,1))*S380,0)</f>
        <v>0</v>
      </c>
      <c r="AB380" s="88">
        <f>IF($AA380&gt;0,VLOOKUP($K380,Ruimtegroepen[],3,FALSE)*VLOOKUP($M380,Vloersoorten[],3,FALSE)*VLOOKUP($Z380,Frequenties[],3,FALSE)*VLOOKUP(#REF!,Locaties[],3,FALSE),0)</f>
        <v>0</v>
      </c>
      <c r="AC380" s="90">
        <f>Ruimtestaat[[#This Row],[Uitvoeringen weekend]]*Ruimtestaat[[#This Row],[Oppervlak (netto)]]</f>
        <v>0</v>
      </c>
      <c r="AD380" s="93">
        <f>IF(AC380&gt;0,Ruimtestaat[[#This Row],[Prest. (m2 /jaar) weekend]]/Ruimtestaat[[#This Row],[Norm (m2/uur) weekend]],0)</f>
        <v>0</v>
      </c>
      <c r="AE380" s="94">
        <f>Ruimtestaat[[#This Row],[uren / jaar weekend]]*Tariefsopbouw!$D$40</f>
        <v>0</v>
      </c>
      <c r="AF380" s="66">
        <f>Ruimtestaat[[#This Row],[Prest. (m2 /jaar) weekend]]+Ruimtestaat[[#This Row],[Prest. (m2 /jaar) werkdagen]]</f>
        <v>0</v>
      </c>
      <c r="AG380" s="66">
        <f>Ruimtestaat[[#This Row],[uren / jaar weekend]]+Ruimtestaat[[#This Row],[uren / jaar werkdagen]]</f>
        <v>0</v>
      </c>
      <c r="AH380" s="67">
        <f>Ruimtestaat[[#This Row],[kosten / jaar weekend]]+Ruimtestaat[[#This Row],[kosten / jaar werkdagen]]</f>
        <v>0</v>
      </c>
    </row>
    <row r="381" spans="1:34" ht="15" customHeight="1">
      <c r="A381" s="112">
        <v>3</v>
      </c>
      <c r="B381" s="23" t="str">
        <f>VLOOKUP(Ruimtestaat[[#This Row],[Code]],Locaties[#All],2,FALSE)</f>
        <v>RSG N.O. Veluwe</v>
      </c>
      <c r="C381" s="23" t="str">
        <f>VLOOKUP(Ruimtestaat[[#This Row],[Code]],Locaties[#All],4,FALSE)</f>
        <v>Schotweg 1</v>
      </c>
      <c r="D381" s="23" t="str">
        <f>VLOOKUP(Ruimtestaat[[#This Row],[Code]],Locaties[#All],5,FALSE)</f>
        <v>8162 GM</v>
      </c>
      <c r="E381" s="23" t="str">
        <f>VLOOKUP(Ruimtestaat[[#This Row],[Code]],Locaties[#All],6,FALSE)</f>
        <v>Epe</v>
      </c>
      <c r="F381" s="23" t="s">
        <v>1108</v>
      </c>
      <c r="G381" s="60"/>
      <c r="H381" s="23" t="s">
        <v>1298</v>
      </c>
      <c r="I381" s="23" t="s">
        <v>1135</v>
      </c>
      <c r="J381" s="3" t="s">
        <v>1136</v>
      </c>
      <c r="K381" s="23">
        <v>5</v>
      </c>
      <c r="L381" s="60" t="str">
        <f>VLOOKUP(K381,Ruimtegroepen[],2,FALSE)</f>
        <v>Sanitair</v>
      </c>
      <c r="M381" s="23" t="s">
        <v>113</v>
      </c>
      <c r="N381" s="23" t="s">
        <v>1302</v>
      </c>
      <c r="O381" s="86">
        <v>5</v>
      </c>
      <c r="P381" s="86"/>
      <c r="Q381" s="95" t="str">
        <f>LEFT(VLOOKUP(Ruimtestaat[[#This Row],[Ruimte code]],Ruimtegroepen[#All],4,1),2)</f>
        <v xml:space="preserve">S </v>
      </c>
      <c r="R381" s="95"/>
      <c r="S381" s="87">
        <v>40</v>
      </c>
      <c r="T381" s="87" t="s">
        <v>2</v>
      </c>
      <c r="U381" s="88">
        <f>IF(S381&gt;0,IF(RIGHT(Ruimtestaat[[#This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81" s="88">
        <f>IF(U381&gt;0,VLOOKUP($K381,Ruimtegroepen[],3,FALSE)*VLOOKUP($M381,Vloersoorten[],3,FALSE)*VLOOKUP($T381,Frequenties[],3,FALSE)*VLOOKUP($A381,Locaties[],3,FALSE),0)</f>
        <v>0</v>
      </c>
      <c r="W381" s="89">
        <f>Ruimtestaat[[#This Row],[Uitvoeringen werkdagen]]*Ruimtestaat[[#This Row],[Oppervlak (netto)]]</f>
        <v>1000</v>
      </c>
      <c r="X381" s="90">
        <f>IF(V381&gt;0,Ruimtestaat[[#This Row],[Prest. (m2 /jaar) werkdagen]]/Ruimtestaat[[#This Row],[Norm (m2/uur) werkdagen]],0)</f>
        <v>0</v>
      </c>
      <c r="Y381" s="91">
        <f>Ruimtestaat[[#This Row],[uren / jaar werkdagen]]*Tariefsopbouw!$E$35</f>
        <v>0</v>
      </c>
      <c r="Z381" s="88"/>
      <c r="AA381" s="92">
        <f>IF(Ruimtestaat[[#This Row],[Frequentie weekend]]&gt;0,VALUE(LEFT(Z381,1))*S381,0)</f>
        <v>0</v>
      </c>
      <c r="AB381" s="88">
        <f>IF($AA381&gt;0,VLOOKUP($K381,Ruimtegroepen[],3,FALSE)*VLOOKUP($M381,Vloersoorten[],3,FALSE)*VLOOKUP($Z381,Frequenties[],3,FALSE)*VLOOKUP(#REF!,Locaties[],3,FALSE),0)</f>
        <v>0</v>
      </c>
      <c r="AC381" s="90">
        <f>Ruimtestaat[[#This Row],[Uitvoeringen weekend]]*Ruimtestaat[[#This Row],[Oppervlak (netto)]]</f>
        <v>0</v>
      </c>
      <c r="AD381" s="93">
        <f>IF(AC381&gt;0,Ruimtestaat[[#This Row],[Prest. (m2 /jaar) weekend]]/Ruimtestaat[[#This Row],[Norm (m2/uur) weekend]],0)</f>
        <v>0</v>
      </c>
      <c r="AE381" s="94">
        <f>Ruimtestaat[[#This Row],[uren / jaar weekend]]*Tariefsopbouw!$D$40</f>
        <v>0</v>
      </c>
      <c r="AF381" s="66">
        <f>Ruimtestaat[[#This Row],[Prest. (m2 /jaar) weekend]]+Ruimtestaat[[#This Row],[Prest. (m2 /jaar) werkdagen]]</f>
        <v>1000</v>
      </c>
      <c r="AG381" s="66">
        <f>Ruimtestaat[[#This Row],[uren / jaar weekend]]+Ruimtestaat[[#This Row],[uren / jaar werkdagen]]</f>
        <v>0</v>
      </c>
      <c r="AH381" s="67">
        <f>Ruimtestaat[[#This Row],[kosten / jaar weekend]]+Ruimtestaat[[#This Row],[kosten / jaar werkdagen]]</f>
        <v>0</v>
      </c>
    </row>
    <row r="382" spans="1:34" ht="15" customHeight="1">
      <c r="A382" s="112">
        <v>3</v>
      </c>
      <c r="B382" s="23" t="str">
        <f>VLOOKUP(Ruimtestaat[[#This Row],[Code]],Locaties[#All],2,FALSE)</f>
        <v>RSG N.O. Veluwe</v>
      </c>
      <c r="C382" s="23" t="str">
        <f>VLOOKUP(Ruimtestaat[[#This Row],[Code]],Locaties[#All],4,FALSE)</f>
        <v>Schotweg 1</v>
      </c>
      <c r="D382" s="23" t="str">
        <f>VLOOKUP(Ruimtestaat[[#This Row],[Code]],Locaties[#All],5,FALSE)</f>
        <v>8162 GM</v>
      </c>
      <c r="E382" s="23" t="str">
        <f>VLOOKUP(Ruimtestaat[[#This Row],[Code]],Locaties[#All],6,FALSE)</f>
        <v>Epe</v>
      </c>
      <c r="F382" s="23" t="s">
        <v>1108</v>
      </c>
      <c r="G382" s="60"/>
      <c r="H382" s="23" t="s">
        <v>1298</v>
      </c>
      <c r="I382" s="23" t="s">
        <v>1137</v>
      </c>
      <c r="J382" s="3" t="s">
        <v>70</v>
      </c>
      <c r="K382" s="23">
        <v>18</v>
      </c>
      <c r="L382" s="60" t="str">
        <f>VLOOKUP(K382,Ruimtegroepen[],2,FALSE)</f>
        <v>Gymzaal</v>
      </c>
      <c r="M382" s="23" t="s">
        <v>114</v>
      </c>
      <c r="N382" s="23" t="s">
        <v>1303</v>
      </c>
      <c r="O382" s="86">
        <v>255</v>
      </c>
      <c r="P382" s="86"/>
      <c r="Q382" s="95" t="str">
        <f>LEFT(VLOOKUP(Ruimtestaat[[#This Row],[Ruimte code]],Ruimtegroepen[#All],4,1),2)</f>
        <v>Sp</v>
      </c>
      <c r="R382" s="95"/>
      <c r="S382" s="87">
        <v>40</v>
      </c>
      <c r="T382" s="87" t="s">
        <v>2</v>
      </c>
      <c r="U382" s="88">
        <f>IF(S382&gt;0,IF(RIGHT(Ruimtestaat[[#This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82" s="88">
        <f>IF(U382&gt;0,VLOOKUP($K382,Ruimtegroepen[],3,FALSE)*VLOOKUP($M382,Vloersoorten[],3,FALSE)*VLOOKUP($T382,Frequenties[],3,FALSE)*VLOOKUP($A382,Locaties[],3,FALSE),0)</f>
        <v>0</v>
      </c>
      <c r="W382" s="89">
        <f>Ruimtestaat[[#This Row],[Uitvoeringen werkdagen]]*Ruimtestaat[[#This Row],[Oppervlak (netto)]]</f>
        <v>51000</v>
      </c>
      <c r="X382" s="90">
        <f>IF(V382&gt;0,Ruimtestaat[[#This Row],[Prest. (m2 /jaar) werkdagen]]/Ruimtestaat[[#This Row],[Norm (m2/uur) werkdagen]],0)</f>
        <v>0</v>
      </c>
      <c r="Y382" s="91">
        <f>Ruimtestaat[[#This Row],[uren / jaar werkdagen]]*Tariefsopbouw!$E$35</f>
        <v>0</v>
      </c>
      <c r="Z382" s="88"/>
      <c r="AA382" s="92">
        <f>IF(Ruimtestaat[[#This Row],[Frequentie weekend]]&gt;0,VALUE(LEFT(Z382,1))*S382,0)</f>
        <v>0</v>
      </c>
      <c r="AB382" s="88">
        <f>IF($AA382&gt;0,VLOOKUP($K382,Ruimtegroepen[],3,FALSE)*VLOOKUP($M382,Vloersoorten[],3,FALSE)*VLOOKUP($Z382,Frequenties[],3,FALSE)*VLOOKUP(#REF!,Locaties[],3,FALSE),0)</f>
        <v>0</v>
      </c>
      <c r="AC382" s="90">
        <f>Ruimtestaat[[#This Row],[Uitvoeringen weekend]]*Ruimtestaat[[#This Row],[Oppervlak (netto)]]</f>
        <v>0</v>
      </c>
      <c r="AD382" s="93">
        <f>IF(AC382&gt;0,Ruimtestaat[[#This Row],[Prest. (m2 /jaar) weekend]]/Ruimtestaat[[#This Row],[Norm (m2/uur) weekend]],0)</f>
        <v>0</v>
      </c>
      <c r="AE382" s="94">
        <f>Ruimtestaat[[#This Row],[uren / jaar weekend]]*Tariefsopbouw!$D$40</f>
        <v>0</v>
      </c>
      <c r="AF382" s="66">
        <f>Ruimtestaat[[#This Row],[Prest. (m2 /jaar) weekend]]+Ruimtestaat[[#This Row],[Prest. (m2 /jaar) werkdagen]]</f>
        <v>51000</v>
      </c>
      <c r="AG382" s="66">
        <f>Ruimtestaat[[#This Row],[uren / jaar weekend]]+Ruimtestaat[[#This Row],[uren / jaar werkdagen]]</f>
        <v>0</v>
      </c>
      <c r="AH382" s="67">
        <f>Ruimtestaat[[#This Row],[kosten / jaar weekend]]+Ruimtestaat[[#This Row],[kosten / jaar werkdagen]]</f>
        <v>0</v>
      </c>
    </row>
    <row r="383" spans="1:34" ht="15" customHeight="1">
      <c r="A383" s="112">
        <v>3</v>
      </c>
      <c r="B383" s="23" t="str">
        <f>VLOOKUP(Ruimtestaat[[#This Row],[Code]],Locaties[#All],2,FALSE)</f>
        <v>RSG N.O. Veluwe</v>
      </c>
      <c r="C383" s="23" t="str">
        <f>VLOOKUP(Ruimtestaat[[#This Row],[Code]],Locaties[#All],4,FALSE)</f>
        <v>Schotweg 1</v>
      </c>
      <c r="D383" s="23" t="str">
        <f>VLOOKUP(Ruimtestaat[[#This Row],[Code]],Locaties[#All],5,FALSE)</f>
        <v>8162 GM</v>
      </c>
      <c r="E383" s="23" t="str">
        <f>VLOOKUP(Ruimtestaat[[#This Row],[Code]],Locaties[#All],6,FALSE)</f>
        <v>Epe</v>
      </c>
      <c r="F383" s="23" t="s">
        <v>1108</v>
      </c>
      <c r="G383" s="60"/>
      <c r="H383" s="23" t="s">
        <v>1298</v>
      </c>
      <c r="I383" s="23" t="s">
        <v>1138</v>
      </c>
      <c r="J383" s="3" t="s">
        <v>71</v>
      </c>
      <c r="K383" s="23">
        <v>17</v>
      </c>
      <c r="L383" s="60" t="str">
        <f>VLOOKUP(K383,Ruimtegroepen[],2,FALSE)</f>
        <v>Toestelberging</v>
      </c>
      <c r="M383" s="23" t="s">
        <v>1300</v>
      </c>
      <c r="N383" s="23" t="s">
        <v>1301</v>
      </c>
      <c r="O383" s="86">
        <v>30</v>
      </c>
      <c r="P383" s="86"/>
      <c r="Q383" s="95" t="str">
        <f>LEFT(VLOOKUP(Ruimtestaat[[#This Row],[Ruimte code]],Ruimtegroepen[#All],4,1),2)</f>
        <v xml:space="preserve">V </v>
      </c>
      <c r="R383" s="95"/>
      <c r="S383" s="87">
        <v>40</v>
      </c>
      <c r="T383" s="87" t="s">
        <v>2</v>
      </c>
      <c r="U383" s="88">
        <f>IF(S383&gt;0,IF(RIGHT(Ruimtestaat[[#This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83" s="88">
        <f>IF(U383&gt;0,VLOOKUP($K383,Ruimtegroepen[],3,FALSE)*VLOOKUP($M383,Vloersoorten[],3,FALSE)*VLOOKUP($T383,Frequenties[],3,FALSE)*VLOOKUP($A383,Locaties[],3,FALSE),0)</f>
        <v>0</v>
      </c>
      <c r="W383" s="89">
        <f>Ruimtestaat[[#This Row],[Uitvoeringen werkdagen]]*Ruimtestaat[[#This Row],[Oppervlak (netto)]]</f>
        <v>6000</v>
      </c>
      <c r="X383" s="90">
        <f>IF(V383&gt;0,Ruimtestaat[[#This Row],[Prest. (m2 /jaar) werkdagen]]/Ruimtestaat[[#This Row],[Norm (m2/uur) werkdagen]],0)</f>
        <v>0</v>
      </c>
      <c r="Y383" s="91">
        <f>Ruimtestaat[[#This Row],[uren / jaar werkdagen]]*Tariefsopbouw!$E$35</f>
        <v>0</v>
      </c>
      <c r="Z383" s="88"/>
      <c r="AA383" s="92">
        <f>IF(Ruimtestaat[[#This Row],[Frequentie weekend]]&gt;0,VALUE(LEFT(Z383,1))*S383,0)</f>
        <v>0</v>
      </c>
      <c r="AB383" s="88">
        <f>IF($AA383&gt;0,VLOOKUP($K383,Ruimtegroepen[],3,FALSE)*VLOOKUP($M383,Vloersoorten[],3,FALSE)*VLOOKUP($Z383,Frequenties[],3,FALSE)*VLOOKUP(#REF!,Locaties[],3,FALSE),0)</f>
        <v>0</v>
      </c>
      <c r="AC383" s="90">
        <f>Ruimtestaat[[#This Row],[Uitvoeringen weekend]]*Ruimtestaat[[#This Row],[Oppervlak (netto)]]</f>
        <v>0</v>
      </c>
      <c r="AD383" s="93">
        <f>IF(AC383&gt;0,Ruimtestaat[[#This Row],[Prest. (m2 /jaar) weekend]]/Ruimtestaat[[#This Row],[Norm (m2/uur) weekend]],0)</f>
        <v>0</v>
      </c>
      <c r="AE383" s="94">
        <f>Ruimtestaat[[#This Row],[uren / jaar weekend]]*Tariefsopbouw!$D$40</f>
        <v>0</v>
      </c>
      <c r="AF383" s="66">
        <f>Ruimtestaat[[#This Row],[Prest. (m2 /jaar) weekend]]+Ruimtestaat[[#This Row],[Prest. (m2 /jaar) werkdagen]]</f>
        <v>6000</v>
      </c>
      <c r="AG383" s="66">
        <f>Ruimtestaat[[#This Row],[uren / jaar weekend]]+Ruimtestaat[[#This Row],[uren / jaar werkdagen]]</f>
        <v>0</v>
      </c>
      <c r="AH383" s="67">
        <f>Ruimtestaat[[#This Row],[kosten / jaar weekend]]+Ruimtestaat[[#This Row],[kosten / jaar werkdagen]]</f>
        <v>0</v>
      </c>
    </row>
    <row r="384" spans="1:34" ht="15" customHeight="1">
      <c r="A384" s="112">
        <v>3</v>
      </c>
      <c r="B384" s="23" t="str">
        <f>VLOOKUP(Ruimtestaat[[#This Row],[Code]],Locaties[#All],2,FALSE)</f>
        <v>RSG N.O. Veluwe</v>
      </c>
      <c r="C384" s="23" t="str">
        <f>VLOOKUP(Ruimtestaat[[#This Row],[Code]],Locaties[#All],4,FALSE)</f>
        <v>Schotweg 1</v>
      </c>
      <c r="D384" s="23" t="str">
        <f>VLOOKUP(Ruimtestaat[[#This Row],[Code]],Locaties[#All],5,FALSE)</f>
        <v>8162 GM</v>
      </c>
      <c r="E384" s="23" t="str">
        <f>VLOOKUP(Ruimtestaat[[#This Row],[Code]],Locaties[#All],6,FALSE)</f>
        <v>Epe</v>
      </c>
      <c r="F384" s="23" t="s">
        <v>1108</v>
      </c>
      <c r="G384" s="60"/>
      <c r="H384" s="23" t="s">
        <v>1298</v>
      </c>
      <c r="I384" s="23" t="s">
        <v>1139</v>
      </c>
      <c r="J384" s="3" t="s">
        <v>1020</v>
      </c>
      <c r="K384" s="23">
        <v>2</v>
      </c>
      <c r="L384" s="60" t="str">
        <f>VLOOKUP(K384,Ruimtegroepen[],2,FALSE)</f>
        <v>Kantoren</v>
      </c>
      <c r="M384" s="23" t="s">
        <v>1094</v>
      </c>
      <c r="N384" s="23" t="s">
        <v>1302</v>
      </c>
      <c r="O384" s="86">
        <v>12</v>
      </c>
      <c r="P384" s="86"/>
      <c r="Q384" s="95" t="str">
        <f>LEFT(VLOOKUP(Ruimtestaat[[#This Row],[Ruimte code]],Ruimtegroepen[#All],4,1),2)</f>
        <v xml:space="preserve">B </v>
      </c>
      <c r="R384" s="95"/>
      <c r="S384" s="87">
        <v>42</v>
      </c>
      <c r="T384" s="87" t="s">
        <v>2</v>
      </c>
      <c r="U384" s="88">
        <f>IF(S384&gt;0,IF(RIGHT(Ruimtestaat[[#This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384" s="88">
        <f>IF(U384&gt;0,VLOOKUP($K384,Ruimtegroepen[],3,FALSE)*VLOOKUP($M384,Vloersoorten[],3,FALSE)*VLOOKUP($T384,Frequenties[],3,FALSE)*VLOOKUP($A384,Locaties[],3,FALSE),0)</f>
        <v>0</v>
      </c>
      <c r="W384" s="89">
        <f>Ruimtestaat[[#This Row],[Uitvoeringen werkdagen]]*Ruimtestaat[[#This Row],[Oppervlak (netto)]]</f>
        <v>2520</v>
      </c>
      <c r="X384" s="90">
        <f>IF(V384&gt;0,Ruimtestaat[[#This Row],[Prest. (m2 /jaar) werkdagen]]/Ruimtestaat[[#This Row],[Norm (m2/uur) werkdagen]],0)</f>
        <v>0</v>
      </c>
      <c r="Y384" s="91">
        <f>Ruimtestaat[[#This Row],[uren / jaar werkdagen]]*Tariefsopbouw!$E$35</f>
        <v>0</v>
      </c>
      <c r="Z384" s="88"/>
      <c r="AA384" s="92">
        <f>IF(Ruimtestaat[[#This Row],[Frequentie weekend]]&gt;0,VALUE(LEFT(Z384,1))*S384,0)</f>
        <v>0</v>
      </c>
      <c r="AB384" s="88">
        <f>IF($AA384&gt;0,VLOOKUP($K384,Ruimtegroepen[],3,FALSE)*VLOOKUP($M384,Vloersoorten[],3,FALSE)*VLOOKUP($Z384,Frequenties[],3,FALSE)*VLOOKUP(#REF!,Locaties[],3,FALSE),0)</f>
        <v>0</v>
      </c>
      <c r="AC384" s="90">
        <f>Ruimtestaat[[#This Row],[Uitvoeringen weekend]]*Ruimtestaat[[#This Row],[Oppervlak (netto)]]</f>
        <v>0</v>
      </c>
      <c r="AD384" s="93">
        <f>IF(AC384&gt;0,Ruimtestaat[[#This Row],[Prest. (m2 /jaar) weekend]]/Ruimtestaat[[#This Row],[Norm (m2/uur) weekend]],0)</f>
        <v>0</v>
      </c>
      <c r="AE384" s="94">
        <f>Ruimtestaat[[#This Row],[uren / jaar weekend]]*Tariefsopbouw!$D$40</f>
        <v>0</v>
      </c>
      <c r="AF384" s="66">
        <f>Ruimtestaat[[#This Row],[Prest. (m2 /jaar) weekend]]+Ruimtestaat[[#This Row],[Prest. (m2 /jaar) werkdagen]]</f>
        <v>2520</v>
      </c>
      <c r="AG384" s="66">
        <f>Ruimtestaat[[#This Row],[uren / jaar weekend]]+Ruimtestaat[[#This Row],[uren / jaar werkdagen]]</f>
        <v>0</v>
      </c>
      <c r="AH384" s="67">
        <f>Ruimtestaat[[#This Row],[kosten / jaar weekend]]+Ruimtestaat[[#This Row],[kosten / jaar werkdagen]]</f>
        <v>0</v>
      </c>
    </row>
    <row r="385" spans="1:34" ht="15" customHeight="1">
      <c r="A385" s="112">
        <v>3</v>
      </c>
      <c r="B385" s="23" t="str">
        <f>VLOOKUP(Ruimtestaat[[#This Row],[Code]],Locaties[#All],2,FALSE)</f>
        <v>RSG N.O. Veluwe</v>
      </c>
      <c r="C385" s="23" t="str">
        <f>VLOOKUP(Ruimtestaat[[#This Row],[Code]],Locaties[#All],4,FALSE)</f>
        <v>Schotweg 1</v>
      </c>
      <c r="D385" s="23" t="str">
        <f>VLOOKUP(Ruimtestaat[[#This Row],[Code]],Locaties[#All],5,FALSE)</f>
        <v>8162 GM</v>
      </c>
      <c r="E385" s="23" t="str">
        <f>VLOOKUP(Ruimtestaat[[#This Row],[Code]],Locaties[#All],6,FALSE)</f>
        <v>Epe</v>
      </c>
      <c r="F385" s="23" t="s">
        <v>1108</v>
      </c>
      <c r="G385" s="60"/>
      <c r="H385" s="23" t="s">
        <v>1298</v>
      </c>
      <c r="I385" s="23" t="s">
        <v>1140</v>
      </c>
      <c r="J385" s="3" t="s">
        <v>1141</v>
      </c>
      <c r="K385" s="23">
        <v>5</v>
      </c>
      <c r="L385" s="60" t="str">
        <f>VLOOKUP(K385,Ruimtegroepen[],2,FALSE)</f>
        <v>Sanitair</v>
      </c>
      <c r="M385" s="23" t="s">
        <v>113</v>
      </c>
      <c r="N385" s="23" t="s">
        <v>1302</v>
      </c>
      <c r="O385" s="86">
        <v>12</v>
      </c>
      <c r="P385" s="86"/>
      <c r="Q385" s="95" t="str">
        <f>LEFT(VLOOKUP(Ruimtestaat[[#This Row],[Ruimte code]],Ruimtegroepen[#All],4,1),2)</f>
        <v xml:space="preserve">S </v>
      </c>
      <c r="R385" s="95"/>
      <c r="S385" s="87">
        <v>40</v>
      </c>
      <c r="T385" s="87" t="s">
        <v>2</v>
      </c>
      <c r="U385" s="88">
        <f>IF(S385&gt;0,IF(RIGHT(Ruimtestaat[[#This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85" s="88">
        <f>IF(U385&gt;0,VLOOKUP($K385,Ruimtegroepen[],3,FALSE)*VLOOKUP($M385,Vloersoorten[],3,FALSE)*VLOOKUP($T385,Frequenties[],3,FALSE)*VLOOKUP($A385,Locaties[],3,FALSE),0)</f>
        <v>0</v>
      </c>
      <c r="W385" s="89">
        <f>Ruimtestaat[[#This Row],[Uitvoeringen werkdagen]]*Ruimtestaat[[#This Row],[Oppervlak (netto)]]</f>
        <v>2400</v>
      </c>
      <c r="X385" s="90">
        <f>IF(V385&gt;0,Ruimtestaat[[#This Row],[Prest. (m2 /jaar) werkdagen]]/Ruimtestaat[[#This Row],[Norm (m2/uur) werkdagen]],0)</f>
        <v>0</v>
      </c>
      <c r="Y385" s="91">
        <f>Ruimtestaat[[#This Row],[uren / jaar werkdagen]]*Tariefsopbouw!$E$35</f>
        <v>0</v>
      </c>
      <c r="Z385" s="88"/>
      <c r="AA385" s="92">
        <f>IF(Ruimtestaat[[#This Row],[Frequentie weekend]]&gt;0,VALUE(LEFT(Z385,1))*S385,0)</f>
        <v>0</v>
      </c>
      <c r="AB385" s="88">
        <f>IF($AA385&gt;0,VLOOKUP($K385,Ruimtegroepen[],3,FALSE)*VLOOKUP($M385,Vloersoorten[],3,FALSE)*VLOOKUP($Z385,Frequenties[],3,FALSE)*VLOOKUP(#REF!,Locaties[],3,FALSE),0)</f>
        <v>0</v>
      </c>
      <c r="AC385" s="90">
        <f>Ruimtestaat[[#This Row],[Uitvoeringen weekend]]*Ruimtestaat[[#This Row],[Oppervlak (netto)]]</f>
        <v>0</v>
      </c>
      <c r="AD385" s="93">
        <f>IF(AC385&gt;0,Ruimtestaat[[#This Row],[Prest. (m2 /jaar) weekend]]/Ruimtestaat[[#This Row],[Norm (m2/uur) weekend]],0)</f>
        <v>0</v>
      </c>
      <c r="AE385" s="94">
        <f>Ruimtestaat[[#This Row],[uren / jaar weekend]]*Tariefsopbouw!$D$40</f>
        <v>0</v>
      </c>
      <c r="AF385" s="66">
        <f>Ruimtestaat[[#This Row],[Prest. (m2 /jaar) weekend]]+Ruimtestaat[[#This Row],[Prest. (m2 /jaar) werkdagen]]</f>
        <v>2400</v>
      </c>
      <c r="AG385" s="66">
        <f>Ruimtestaat[[#This Row],[uren / jaar weekend]]+Ruimtestaat[[#This Row],[uren / jaar werkdagen]]</f>
        <v>0</v>
      </c>
      <c r="AH385" s="67">
        <f>Ruimtestaat[[#This Row],[kosten / jaar weekend]]+Ruimtestaat[[#This Row],[kosten / jaar werkdagen]]</f>
        <v>0</v>
      </c>
    </row>
    <row r="386" spans="1:34" ht="15" customHeight="1">
      <c r="A386" s="112">
        <v>3</v>
      </c>
      <c r="B386" s="23" t="str">
        <f>VLOOKUP(Ruimtestaat[[#This Row],[Code]],Locaties[#All],2,FALSE)</f>
        <v>RSG N.O. Veluwe</v>
      </c>
      <c r="C386" s="23" t="str">
        <f>VLOOKUP(Ruimtestaat[[#This Row],[Code]],Locaties[#All],4,FALSE)</f>
        <v>Schotweg 1</v>
      </c>
      <c r="D386" s="23" t="str">
        <f>VLOOKUP(Ruimtestaat[[#This Row],[Code]],Locaties[#All],5,FALSE)</f>
        <v>8162 GM</v>
      </c>
      <c r="E386" s="23" t="str">
        <f>VLOOKUP(Ruimtestaat[[#This Row],[Code]],Locaties[#All],6,FALSE)</f>
        <v>Epe</v>
      </c>
      <c r="F386" s="23" t="s">
        <v>1108</v>
      </c>
      <c r="G386" s="60"/>
      <c r="H386" s="23" t="s">
        <v>1298</v>
      </c>
      <c r="I386" s="23" t="s">
        <v>1142</v>
      </c>
      <c r="J386" s="3" t="s">
        <v>1025</v>
      </c>
      <c r="K386" s="23">
        <v>6</v>
      </c>
      <c r="L386" s="60" t="str">
        <f>VLOOKUP(K386,Ruimtegroepen[],2,FALSE)</f>
        <v>Gangen/hallen</v>
      </c>
      <c r="M386" s="23" t="s">
        <v>1300</v>
      </c>
      <c r="N386" s="23" t="s">
        <v>1301</v>
      </c>
      <c r="O386" s="86">
        <v>6</v>
      </c>
      <c r="P386" s="86"/>
      <c r="Q386" s="95" t="str">
        <f>LEFT(VLOOKUP(Ruimtestaat[[#This Row],[Ruimte code]],Ruimtegroepen[#All],4,1),2)</f>
        <v xml:space="preserve">V </v>
      </c>
      <c r="R386" s="95"/>
      <c r="S386" s="87">
        <v>42</v>
      </c>
      <c r="T386" s="87" t="s">
        <v>2</v>
      </c>
      <c r="U386" s="88">
        <f>IF(S386&gt;0,IF(RIGHT(Ruimtestaat[[#This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386" s="88">
        <f>IF(U386&gt;0,VLOOKUP($K386,Ruimtegroepen[],3,FALSE)*VLOOKUP($M386,Vloersoorten[],3,FALSE)*VLOOKUP($T386,Frequenties[],3,FALSE)*VLOOKUP($A386,Locaties[],3,FALSE),0)</f>
        <v>0</v>
      </c>
      <c r="W386" s="89">
        <f>Ruimtestaat[[#This Row],[Uitvoeringen werkdagen]]*Ruimtestaat[[#This Row],[Oppervlak (netto)]]</f>
        <v>1260</v>
      </c>
      <c r="X386" s="90">
        <f>IF(V386&gt;0,Ruimtestaat[[#This Row],[Prest. (m2 /jaar) werkdagen]]/Ruimtestaat[[#This Row],[Norm (m2/uur) werkdagen]],0)</f>
        <v>0</v>
      </c>
      <c r="Y386" s="91">
        <f>Ruimtestaat[[#This Row],[uren / jaar werkdagen]]*Tariefsopbouw!$E$35</f>
        <v>0</v>
      </c>
      <c r="Z386" s="88"/>
      <c r="AA386" s="92">
        <f>IF(Ruimtestaat[[#This Row],[Frequentie weekend]]&gt;0,VALUE(LEFT(Z386,1))*S386,0)</f>
        <v>0</v>
      </c>
      <c r="AB386" s="88">
        <f>IF($AA386&gt;0,VLOOKUP($K386,Ruimtegroepen[],3,FALSE)*VLOOKUP($M386,Vloersoorten[],3,FALSE)*VLOOKUP($Z386,Frequenties[],3,FALSE)*VLOOKUP(#REF!,Locaties[],3,FALSE),0)</f>
        <v>0</v>
      </c>
      <c r="AC386" s="90">
        <f>Ruimtestaat[[#This Row],[Uitvoeringen weekend]]*Ruimtestaat[[#This Row],[Oppervlak (netto)]]</f>
        <v>0</v>
      </c>
      <c r="AD386" s="93">
        <f>IF(AC386&gt;0,Ruimtestaat[[#This Row],[Prest. (m2 /jaar) weekend]]/Ruimtestaat[[#This Row],[Norm (m2/uur) weekend]],0)</f>
        <v>0</v>
      </c>
      <c r="AE386" s="94">
        <f>Ruimtestaat[[#This Row],[uren / jaar weekend]]*Tariefsopbouw!$D$40</f>
        <v>0</v>
      </c>
      <c r="AF386" s="66">
        <f>Ruimtestaat[[#This Row],[Prest. (m2 /jaar) weekend]]+Ruimtestaat[[#This Row],[Prest. (m2 /jaar) werkdagen]]</f>
        <v>1260</v>
      </c>
      <c r="AG386" s="66">
        <f>Ruimtestaat[[#This Row],[uren / jaar weekend]]+Ruimtestaat[[#This Row],[uren / jaar werkdagen]]</f>
        <v>0</v>
      </c>
      <c r="AH386" s="67">
        <f>Ruimtestaat[[#This Row],[kosten / jaar weekend]]+Ruimtestaat[[#This Row],[kosten / jaar werkdagen]]</f>
        <v>0</v>
      </c>
    </row>
    <row r="387" spans="1:34" ht="15" customHeight="1">
      <c r="A387" s="112">
        <v>3</v>
      </c>
      <c r="B387" s="23" t="str">
        <f>VLOOKUP(Ruimtestaat[[#This Row],[Code]],Locaties[#All],2,FALSE)</f>
        <v>RSG N.O. Veluwe</v>
      </c>
      <c r="C387" s="23" t="str">
        <f>VLOOKUP(Ruimtestaat[[#This Row],[Code]],Locaties[#All],4,FALSE)</f>
        <v>Schotweg 1</v>
      </c>
      <c r="D387" s="23" t="str">
        <f>VLOOKUP(Ruimtestaat[[#This Row],[Code]],Locaties[#All],5,FALSE)</f>
        <v>8162 GM</v>
      </c>
      <c r="E387" s="23" t="str">
        <f>VLOOKUP(Ruimtestaat[[#This Row],[Code]],Locaties[#All],6,FALSE)</f>
        <v>Epe</v>
      </c>
      <c r="F387" s="23" t="s">
        <v>1108</v>
      </c>
      <c r="G387" s="60"/>
      <c r="H387" s="23" t="s">
        <v>1298</v>
      </c>
      <c r="I387" s="23" t="s">
        <v>1143</v>
      </c>
      <c r="J387" s="3" t="s">
        <v>1144</v>
      </c>
      <c r="K387" s="23">
        <v>19</v>
      </c>
      <c r="L387" s="60" t="str">
        <f>VLOOKUP(K387,Ruimtegroepen[],2,FALSE)</f>
        <v>Kleedruimten</v>
      </c>
      <c r="M387" s="23" t="s">
        <v>113</v>
      </c>
      <c r="N387" s="23" t="s">
        <v>1302</v>
      </c>
      <c r="O387" s="86">
        <v>30</v>
      </c>
      <c r="P387" s="86"/>
      <c r="Q387" s="95" t="str">
        <f>LEFT(VLOOKUP(Ruimtestaat[[#This Row],[Ruimte code]],Ruimtegroepen[#All],4,1),2)</f>
        <v xml:space="preserve">V </v>
      </c>
      <c r="R387" s="95"/>
      <c r="S387" s="87">
        <v>40</v>
      </c>
      <c r="T387" s="87" t="s">
        <v>2</v>
      </c>
      <c r="U387" s="88">
        <f>IF(S387&gt;0,IF(RIGHT(Ruimtestaat[[#This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87" s="88">
        <f>IF(U387&gt;0,VLOOKUP($K387,Ruimtegroepen[],3,FALSE)*VLOOKUP($M387,Vloersoorten[],3,FALSE)*VLOOKUP($T387,Frequenties[],3,FALSE)*VLOOKUP($A387,Locaties[],3,FALSE),0)</f>
        <v>0</v>
      </c>
      <c r="W387" s="89">
        <f>Ruimtestaat[[#This Row],[Uitvoeringen werkdagen]]*Ruimtestaat[[#This Row],[Oppervlak (netto)]]</f>
        <v>6000</v>
      </c>
      <c r="X387" s="90">
        <f>IF(V387&gt;0,Ruimtestaat[[#This Row],[Prest. (m2 /jaar) werkdagen]]/Ruimtestaat[[#This Row],[Norm (m2/uur) werkdagen]],0)</f>
        <v>0</v>
      </c>
      <c r="Y387" s="91">
        <f>Ruimtestaat[[#This Row],[uren / jaar werkdagen]]*Tariefsopbouw!$E$35</f>
        <v>0</v>
      </c>
      <c r="Z387" s="88"/>
      <c r="AA387" s="92">
        <f>IF(Ruimtestaat[[#This Row],[Frequentie weekend]]&gt;0,VALUE(LEFT(Z387,1))*S387,0)</f>
        <v>0</v>
      </c>
      <c r="AB387" s="88">
        <f>IF($AA387&gt;0,VLOOKUP($K387,Ruimtegroepen[],3,FALSE)*VLOOKUP($M387,Vloersoorten[],3,FALSE)*VLOOKUP($Z387,Frequenties[],3,FALSE)*VLOOKUP(#REF!,Locaties[],3,FALSE),0)</f>
        <v>0</v>
      </c>
      <c r="AC387" s="90">
        <f>Ruimtestaat[[#This Row],[Uitvoeringen weekend]]*Ruimtestaat[[#This Row],[Oppervlak (netto)]]</f>
        <v>0</v>
      </c>
      <c r="AD387" s="93">
        <f>IF(AC387&gt;0,Ruimtestaat[[#This Row],[Prest. (m2 /jaar) weekend]]/Ruimtestaat[[#This Row],[Norm (m2/uur) weekend]],0)</f>
        <v>0</v>
      </c>
      <c r="AE387" s="94">
        <f>Ruimtestaat[[#This Row],[uren / jaar weekend]]*Tariefsopbouw!$D$40</f>
        <v>0</v>
      </c>
      <c r="AF387" s="66">
        <f>Ruimtestaat[[#This Row],[Prest. (m2 /jaar) weekend]]+Ruimtestaat[[#This Row],[Prest. (m2 /jaar) werkdagen]]</f>
        <v>6000</v>
      </c>
      <c r="AG387" s="66">
        <f>Ruimtestaat[[#This Row],[uren / jaar weekend]]+Ruimtestaat[[#This Row],[uren / jaar werkdagen]]</f>
        <v>0</v>
      </c>
      <c r="AH387" s="67">
        <f>Ruimtestaat[[#This Row],[kosten / jaar weekend]]+Ruimtestaat[[#This Row],[kosten / jaar werkdagen]]</f>
        <v>0</v>
      </c>
    </row>
    <row r="388" spans="1:34" ht="15" customHeight="1">
      <c r="A388" s="112">
        <v>3</v>
      </c>
      <c r="B388" s="23" t="str">
        <f>VLOOKUP(Ruimtestaat[[#This Row],[Code]],Locaties[#All],2,FALSE)</f>
        <v>RSG N.O. Veluwe</v>
      </c>
      <c r="C388" s="23" t="str">
        <f>VLOOKUP(Ruimtestaat[[#This Row],[Code]],Locaties[#All],4,FALSE)</f>
        <v>Schotweg 1</v>
      </c>
      <c r="D388" s="23" t="str">
        <f>VLOOKUP(Ruimtestaat[[#This Row],[Code]],Locaties[#All],5,FALSE)</f>
        <v>8162 GM</v>
      </c>
      <c r="E388" s="23" t="str">
        <f>VLOOKUP(Ruimtestaat[[#This Row],[Code]],Locaties[#All],6,FALSE)</f>
        <v>Epe</v>
      </c>
      <c r="F388" s="23" t="s">
        <v>1108</v>
      </c>
      <c r="G388" s="60"/>
      <c r="H388" s="23" t="s">
        <v>1298</v>
      </c>
      <c r="I388" s="23" t="s">
        <v>1145</v>
      </c>
      <c r="J388" s="3" t="s">
        <v>1146</v>
      </c>
      <c r="K388" s="23">
        <v>5</v>
      </c>
      <c r="L388" s="60" t="str">
        <f>VLOOKUP(K388,Ruimtegroepen[],2,FALSE)</f>
        <v>Sanitair</v>
      </c>
      <c r="M388" s="23" t="s">
        <v>113</v>
      </c>
      <c r="N388" s="23" t="s">
        <v>1302</v>
      </c>
      <c r="O388" s="86">
        <v>38</v>
      </c>
      <c r="P388" s="86"/>
      <c r="Q388" s="95" t="str">
        <f>LEFT(VLOOKUP(Ruimtestaat[[#This Row],[Ruimte code]],Ruimtegroepen[#All],4,1),2)</f>
        <v xml:space="preserve">S </v>
      </c>
      <c r="R388" s="95"/>
      <c r="S388" s="87">
        <v>40</v>
      </c>
      <c r="T388" s="87" t="s">
        <v>16</v>
      </c>
      <c r="U388" s="88">
        <f>IF(S388&gt;0,IF(RIGHT(Ruimtestaat[[#This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V388" s="88">
        <f>IF(U388&gt;0,VLOOKUP($K388,Ruimtegroepen[],3,FALSE)*VLOOKUP($M388,Vloersoorten[],3,FALSE)*VLOOKUP($T388,Frequenties[],3,FALSE)*VLOOKUP($A388,Locaties[],3,FALSE),0)</f>
        <v>0</v>
      </c>
      <c r="W388" s="89">
        <f>Ruimtestaat[[#This Row],[Uitvoeringen werkdagen]]*Ruimtestaat[[#This Row],[Oppervlak (netto)]]</f>
        <v>456</v>
      </c>
      <c r="X388" s="90">
        <f>IF(V388&gt;0,Ruimtestaat[[#This Row],[Prest. (m2 /jaar) werkdagen]]/Ruimtestaat[[#This Row],[Norm (m2/uur) werkdagen]],0)</f>
        <v>0</v>
      </c>
      <c r="Y388" s="91">
        <f>Ruimtestaat[[#This Row],[uren / jaar werkdagen]]*Tariefsopbouw!$E$35</f>
        <v>0</v>
      </c>
      <c r="Z388" s="88"/>
      <c r="AA388" s="92">
        <f>IF(Ruimtestaat[[#This Row],[Frequentie weekend]]&gt;0,VALUE(LEFT(Z388,1))*S388,0)</f>
        <v>0</v>
      </c>
      <c r="AB388" s="88">
        <f>IF($AA388&gt;0,VLOOKUP($K388,Ruimtegroepen[],3,FALSE)*VLOOKUP($M388,Vloersoorten[],3,FALSE)*VLOOKUP($Z388,Frequenties[],3,FALSE)*VLOOKUP(#REF!,Locaties[],3,FALSE),0)</f>
        <v>0</v>
      </c>
      <c r="AC388" s="90">
        <f>Ruimtestaat[[#This Row],[Uitvoeringen weekend]]*Ruimtestaat[[#This Row],[Oppervlak (netto)]]</f>
        <v>0</v>
      </c>
      <c r="AD388" s="93">
        <f>IF(AC388&gt;0,Ruimtestaat[[#This Row],[Prest. (m2 /jaar) weekend]]/Ruimtestaat[[#This Row],[Norm (m2/uur) weekend]],0)</f>
        <v>0</v>
      </c>
      <c r="AE388" s="94">
        <f>Ruimtestaat[[#This Row],[uren / jaar weekend]]*Tariefsopbouw!$D$40</f>
        <v>0</v>
      </c>
      <c r="AF388" s="66">
        <f>Ruimtestaat[[#This Row],[Prest. (m2 /jaar) weekend]]+Ruimtestaat[[#This Row],[Prest. (m2 /jaar) werkdagen]]</f>
        <v>456</v>
      </c>
      <c r="AG388" s="66">
        <f>Ruimtestaat[[#This Row],[uren / jaar weekend]]+Ruimtestaat[[#This Row],[uren / jaar werkdagen]]</f>
        <v>0</v>
      </c>
      <c r="AH388" s="67">
        <f>Ruimtestaat[[#This Row],[kosten / jaar weekend]]+Ruimtestaat[[#This Row],[kosten / jaar werkdagen]]</f>
        <v>0</v>
      </c>
    </row>
    <row r="389" spans="1:34" ht="15" customHeight="1">
      <c r="A389" s="112">
        <v>3</v>
      </c>
      <c r="B389" s="23" t="str">
        <f>VLOOKUP(Ruimtestaat[[#This Row],[Code]],Locaties[#All],2,FALSE)</f>
        <v>RSG N.O. Veluwe</v>
      </c>
      <c r="C389" s="23" t="str">
        <f>VLOOKUP(Ruimtestaat[[#This Row],[Code]],Locaties[#All],4,FALSE)</f>
        <v>Schotweg 1</v>
      </c>
      <c r="D389" s="23" t="str">
        <f>VLOOKUP(Ruimtestaat[[#This Row],[Code]],Locaties[#All],5,FALSE)</f>
        <v>8162 GM</v>
      </c>
      <c r="E389" s="23" t="str">
        <f>VLOOKUP(Ruimtestaat[[#This Row],[Code]],Locaties[#All],6,FALSE)</f>
        <v>Epe</v>
      </c>
      <c r="F389" s="23" t="s">
        <v>1108</v>
      </c>
      <c r="G389" s="60"/>
      <c r="H389" s="23" t="s">
        <v>1298</v>
      </c>
      <c r="I389" s="23" t="s">
        <v>1147</v>
      </c>
      <c r="J389" s="3" t="s">
        <v>1127</v>
      </c>
      <c r="K389" s="23">
        <v>23</v>
      </c>
      <c r="L389" s="60" t="str">
        <f>VLOOKUP(K389,Ruimtegroepen[],2,FALSE)</f>
        <v>Niet in onderhoud</v>
      </c>
      <c r="M389" s="23" t="s">
        <v>113</v>
      </c>
      <c r="N389" s="23" t="s">
        <v>1302</v>
      </c>
      <c r="O389" s="86"/>
      <c r="P389" s="86">
        <v>1</v>
      </c>
      <c r="Q389" s="95" t="str">
        <f>LEFT(VLOOKUP(Ruimtestaat[[#This Row],[Ruimte code]],Ruimtegroepen[#All],4,1),2)</f>
        <v/>
      </c>
      <c r="R389" s="95"/>
      <c r="S389" s="87"/>
      <c r="T389" s="87"/>
      <c r="U389" s="88">
        <f>IF(S389&gt;0,IF(RIGHT(Ruimtestaat[[#This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89" s="88">
        <f>IF(U389&gt;0,VLOOKUP($K389,Ruimtegroepen[],3,FALSE)*VLOOKUP($M389,Vloersoorten[],3,FALSE)*VLOOKUP($T389,Frequenties[],3,FALSE)*VLOOKUP($A389,Locaties[],3,FALSE),0)</f>
        <v>0</v>
      </c>
      <c r="W389" s="89">
        <f>Ruimtestaat[[#This Row],[Uitvoeringen werkdagen]]*Ruimtestaat[[#This Row],[Oppervlak (netto)]]</f>
        <v>0</v>
      </c>
      <c r="X389" s="90">
        <f>IF(V389&gt;0,Ruimtestaat[[#This Row],[Prest. (m2 /jaar) werkdagen]]/Ruimtestaat[[#This Row],[Norm (m2/uur) werkdagen]],0)</f>
        <v>0</v>
      </c>
      <c r="Y389" s="91">
        <f>Ruimtestaat[[#This Row],[uren / jaar werkdagen]]*Tariefsopbouw!$E$35</f>
        <v>0</v>
      </c>
      <c r="Z389" s="88"/>
      <c r="AA389" s="92">
        <f>IF(Ruimtestaat[[#This Row],[Frequentie weekend]]&gt;0,VALUE(LEFT(Z389,1))*S389,0)</f>
        <v>0</v>
      </c>
      <c r="AB389" s="88">
        <f>IF($AA389&gt;0,VLOOKUP($K389,Ruimtegroepen[],3,FALSE)*VLOOKUP($M389,Vloersoorten[],3,FALSE)*VLOOKUP($Z389,Frequenties[],3,FALSE)*VLOOKUP(#REF!,Locaties[],3,FALSE),0)</f>
        <v>0</v>
      </c>
      <c r="AC389" s="90">
        <f>Ruimtestaat[[#This Row],[Uitvoeringen weekend]]*Ruimtestaat[[#This Row],[Oppervlak (netto)]]</f>
        <v>0</v>
      </c>
      <c r="AD389" s="93">
        <f>IF(AC389&gt;0,Ruimtestaat[[#This Row],[Prest. (m2 /jaar) weekend]]/Ruimtestaat[[#This Row],[Norm (m2/uur) weekend]],0)</f>
        <v>0</v>
      </c>
      <c r="AE389" s="94">
        <f>Ruimtestaat[[#This Row],[uren / jaar weekend]]*Tariefsopbouw!$D$40</f>
        <v>0</v>
      </c>
      <c r="AF389" s="66">
        <f>Ruimtestaat[[#This Row],[Prest. (m2 /jaar) weekend]]+Ruimtestaat[[#This Row],[Prest. (m2 /jaar) werkdagen]]</f>
        <v>0</v>
      </c>
      <c r="AG389" s="66">
        <f>Ruimtestaat[[#This Row],[uren / jaar weekend]]+Ruimtestaat[[#This Row],[uren / jaar werkdagen]]</f>
        <v>0</v>
      </c>
      <c r="AH389" s="67">
        <f>Ruimtestaat[[#This Row],[kosten / jaar weekend]]+Ruimtestaat[[#This Row],[kosten / jaar werkdagen]]</f>
        <v>0</v>
      </c>
    </row>
    <row r="390" spans="1:34" ht="15" customHeight="1">
      <c r="A390" s="112">
        <v>3</v>
      </c>
      <c r="B390" s="23" t="str">
        <f>VLOOKUP(Ruimtestaat[[#This Row],[Code]],Locaties[#All],2,FALSE)</f>
        <v>RSG N.O. Veluwe</v>
      </c>
      <c r="C390" s="23" t="str">
        <f>VLOOKUP(Ruimtestaat[[#This Row],[Code]],Locaties[#All],4,FALSE)</f>
        <v>Schotweg 1</v>
      </c>
      <c r="D390" s="23" t="str">
        <f>VLOOKUP(Ruimtestaat[[#This Row],[Code]],Locaties[#All],5,FALSE)</f>
        <v>8162 GM</v>
      </c>
      <c r="E390" s="23" t="str">
        <f>VLOOKUP(Ruimtestaat[[#This Row],[Code]],Locaties[#All],6,FALSE)</f>
        <v>Epe</v>
      </c>
      <c r="F390" s="23" t="s">
        <v>1108</v>
      </c>
      <c r="G390" s="60"/>
      <c r="H390" s="23" t="s">
        <v>1298</v>
      </c>
      <c r="I390" s="23" t="s">
        <v>1148</v>
      </c>
      <c r="J390" s="3" t="s">
        <v>1149</v>
      </c>
      <c r="K390" s="23">
        <v>5</v>
      </c>
      <c r="L390" s="60" t="str">
        <f>VLOOKUP(K390,Ruimtegroepen[],2,FALSE)</f>
        <v>Sanitair</v>
      </c>
      <c r="M390" s="23" t="s">
        <v>113</v>
      </c>
      <c r="N390" s="23" t="s">
        <v>1302</v>
      </c>
      <c r="O390" s="86">
        <v>5</v>
      </c>
      <c r="P390" s="86"/>
      <c r="Q390" s="95" t="str">
        <f>LEFT(VLOOKUP(Ruimtestaat[[#This Row],[Ruimte code]],Ruimtegroepen[#All],4,1),2)</f>
        <v xml:space="preserve">S </v>
      </c>
      <c r="R390" s="95"/>
      <c r="S390" s="87">
        <v>40</v>
      </c>
      <c r="T390" s="87" t="s">
        <v>2</v>
      </c>
      <c r="U390" s="88">
        <f>IF(S390&gt;0,IF(RIGHT(Ruimtestaat[[#This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90" s="88">
        <f>IF(U390&gt;0,VLOOKUP($K390,Ruimtegroepen[],3,FALSE)*VLOOKUP($M390,Vloersoorten[],3,FALSE)*VLOOKUP($T390,Frequenties[],3,FALSE)*VLOOKUP($A390,Locaties[],3,FALSE),0)</f>
        <v>0</v>
      </c>
      <c r="W390" s="89">
        <f>Ruimtestaat[[#This Row],[Uitvoeringen werkdagen]]*Ruimtestaat[[#This Row],[Oppervlak (netto)]]</f>
        <v>1000</v>
      </c>
      <c r="X390" s="90">
        <f>IF(V390&gt;0,Ruimtestaat[[#This Row],[Prest. (m2 /jaar) werkdagen]]/Ruimtestaat[[#This Row],[Norm (m2/uur) werkdagen]],0)</f>
        <v>0</v>
      </c>
      <c r="Y390" s="91">
        <f>Ruimtestaat[[#This Row],[uren / jaar werkdagen]]*Tariefsopbouw!$E$35</f>
        <v>0</v>
      </c>
      <c r="Z390" s="88"/>
      <c r="AA390" s="92">
        <f>IF(Ruimtestaat[[#This Row],[Frequentie weekend]]&gt;0,VALUE(LEFT(Z390,1))*S390,0)</f>
        <v>0</v>
      </c>
      <c r="AB390" s="88">
        <f>IF($AA390&gt;0,VLOOKUP($K390,Ruimtegroepen[],3,FALSE)*VLOOKUP($M390,Vloersoorten[],3,FALSE)*VLOOKUP($Z390,Frequenties[],3,FALSE)*VLOOKUP(#REF!,Locaties[],3,FALSE),0)</f>
        <v>0</v>
      </c>
      <c r="AC390" s="90">
        <f>Ruimtestaat[[#This Row],[Uitvoeringen weekend]]*Ruimtestaat[[#This Row],[Oppervlak (netto)]]</f>
        <v>0</v>
      </c>
      <c r="AD390" s="93">
        <f>IF(AC390&gt;0,Ruimtestaat[[#This Row],[Prest. (m2 /jaar) weekend]]/Ruimtestaat[[#This Row],[Norm (m2/uur) weekend]],0)</f>
        <v>0</v>
      </c>
      <c r="AE390" s="94">
        <f>Ruimtestaat[[#This Row],[uren / jaar weekend]]*Tariefsopbouw!$D$40</f>
        <v>0</v>
      </c>
      <c r="AF390" s="66">
        <f>Ruimtestaat[[#This Row],[Prest. (m2 /jaar) weekend]]+Ruimtestaat[[#This Row],[Prest. (m2 /jaar) werkdagen]]</f>
        <v>1000</v>
      </c>
      <c r="AG390" s="66">
        <f>Ruimtestaat[[#This Row],[uren / jaar weekend]]+Ruimtestaat[[#This Row],[uren / jaar werkdagen]]</f>
        <v>0</v>
      </c>
      <c r="AH390" s="67">
        <f>Ruimtestaat[[#This Row],[kosten / jaar weekend]]+Ruimtestaat[[#This Row],[kosten / jaar werkdagen]]</f>
        <v>0</v>
      </c>
    </row>
    <row r="391" spans="1:34" ht="15" customHeight="1">
      <c r="A391" s="112">
        <v>3</v>
      </c>
      <c r="B391" s="23" t="str">
        <f>VLOOKUP(Ruimtestaat[[#This Row],[Code]],Locaties[#All],2,FALSE)</f>
        <v>RSG N.O. Veluwe</v>
      </c>
      <c r="C391" s="23" t="str">
        <f>VLOOKUP(Ruimtestaat[[#This Row],[Code]],Locaties[#All],4,FALSE)</f>
        <v>Schotweg 1</v>
      </c>
      <c r="D391" s="23" t="str">
        <f>VLOOKUP(Ruimtestaat[[#This Row],[Code]],Locaties[#All],5,FALSE)</f>
        <v>8162 GM</v>
      </c>
      <c r="E391" s="23" t="str">
        <f>VLOOKUP(Ruimtestaat[[#This Row],[Code]],Locaties[#All],6,FALSE)</f>
        <v>Epe</v>
      </c>
      <c r="F391" s="23" t="s">
        <v>1108</v>
      </c>
      <c r="G391" s="60"/>
      <c r="H391" s="23" t="s">
        <v>1298</v>
      </c>
      <c r="I391" s="23" t="s">
        <v>1150</v>
      </c>
      <c r="J391" s="3" t="s">
        <v>70</v>
      </c>
      <c r="K391" s="23">
        <v>18</v>
      </c>
      <c r="L391" s="60" t="str">
        <f>VLOOKUP(K391,Ruimtegroepen[],2,FALSE)</f>
        <v>Gymzaal</v>
      </c>
      <c r="M391" s="23" t="s">
        <v>114</v>
      </c>
      <c r="N391" s="23" t="s">
        <v>1303</v>
      </c>
      <c r="O391" s="86">
        <v>255</v>
      </c>
      <c r="P391" s="86"/>
      <c r="Q391" s="95" t="str">
        <f>LEFT(VLOOKUP(Ruimtestaat[[#This Row],[Ruimte code]],Ruimtegroepen[#All],4,1),2)</f>
        <v>Sp</v>
      </c>
      <c r="R391" s="95"/>
      <c r="S391" s="87">
        <v>40</v>
      </c>
      <c r="T391" s="87" t="s">
        <v>2</v>
      </c>
      <c r="U391" s="88">
        <f>IF(S391&gt;0,IF(RIGHT(Ruimtestaat[[#This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91" s="88">
        <f>IF(U391&gt;0,VLOOKUP($K391,Ruimtegroepen[],3,FALSE)*VLOOKUP($M391,Vloersoorten[],3,FALSE)*VLOOKUP($T391,Frequenties[],3,FALSE)*VLOOKUP($A391,Locaties[],3,FALSE),0)</f>
        <v>0</v>
      </c>
      <c r="W391" s="89">
        <f>Ruimtestaat[[#This Row],[Uitvoeringen werkdagen]]*Ruimtestaat[[#This Row],[Oppervlak (netto)]]</f>
        <v>51000</v>
      </c>
      <c r="X391" s="90">
        <f>IF(V391&gt;0,Ruimtestaat[[#This Row],[Prest. (m2 /jaar) werkdagen]]/Ruimtestaat[[#This Row],[Norm (m2/uur) werkdagen]],0)</f>
        <v>0</v>
      </c>
      <c r="Y391" s="91">
        <f>Ruimtestaat[[#This Row],[uren / jaar werkdagen]]*Tariefsopbouw!$E$35</f>
        <v>0</v>
      </c>
      <c r="Z391" s="88"/>
      <c r="AA391" s="92">
        <f>IF(Ruimtestaat[[#This Row],[Frequentie weekend]]&gt;0,VALUE(LEFT(Z391,1))*S391,0)</f>
        <v>0</v>
      </c>
      <c r="AB391" s="88">
        <f>IF($AA391&gt;0,VLOOKUP($K391,Ruimtegroepen[],3,FALSE)*VLOOKUP($M391,Vloersoorten[],3,FALSE)*VLOOKUP($Z391,Frequenties[],3,FALSE)*VLOOKUP(#REF!,Locaties[],3,FALSE),0)</f>
        <v>0</v>
      </c>
      <c r="AC391" s="90">
        <f>Ruimtestaat[[#This Row],[Uitvoeringen weekend]]*Ruimtestaat[[#This Row],[Oppervlak (netto)]]</f>
        <v>0</v>
      </c>
      <c r="AD391" s="93">
        <f>IF(AC391&gt;0,Ruimtestaat[[#This Row],[Prest. (m2 /jaar) weekend]]/Ruimtestaat[[#This Row],[Norm (m2/uur) weekend]],0)</f>
        <v>0</v>
      </c>
      <c r="AE391" s="94">
        <f>Ruimtestaat[[#This Row],[uren / jaar weekend]]*Tariefsopbouw!$D$40</f>
        <v>0</v>
      </c>
      <c r="AF391" s="66">
        <f>Ruimtestaat[[#This Row],[Prest. (m2 /jaar) weekend]]+Ruimtestaat[[#This Row],[Prest. (m2 /jaar) werkdagen]]</f>
        <v>51000</v>
      </c>
      <c r="AG391" s="66">
        <f>Ruimtestaat[[#This Row],[uren / jaar weekend]]+Ruimtestaat[[#This Row],[uren / jaar werkdagen]]</f>
        <v>0</v>
      </c>
      <c r="AH391" s="67">
        <f>Ruimtestaat[[#This Row],[kosten / jaar weekend]]+Ruimtestaat[[#This Row],[kosten / jaar werkdagen]]</f>
        <v>0</v>
      </c>
    </row>
    <row r="392" spans="1:34" ht="15" customHeight="1">
      <c r="A392" s="112">
        <v>3</v>
      </c>
      <c r="B392" s="23" t="str">
        <f>VLOOKUP(Ruimtestaat[[#This Row],[Code]],Locaties[#All],2,FALSE)</f>
        <v>RSG N.O. Veluwe</v>
      </c>
      <c r="C392" s="23" t="str">
        <f>VLOOKUP(Ruimtestaat[[#This Row],[Code]],Locaties[#All],4,FALSE)</f>
        <v>Schotweg 1</v>
      </c>
      <c r="D392" s="23" t="str">
        <f>VLOOKUP(Ruimtestaat[[#This Row],[Code]],Locaties[#All],5,FALSE)</f>
        <v>8162 GM</v>
      </c>
      <c r="E392" s="23" t="str">
        <f>VLOOKUP(Ruimtestaat[[#This Row],[Code]],Locaties[#All],6,FALSE)</f>
        <v>Epe</v>
      </c>
      <c r="F392" s="23" t="s">
        <v>1108</v>
      </c>
      <c r="G392" s="60"/>
      <c r="H392" s="23" t="s">
        <v>1298</v>
      </c>
      <c r="I392" s="23" t="s">
        <v>1151</v>
      </c>
      <c r="J392" s="3" t="s">
        <v>71</v>
      </c>
      <c r="K392" s="23">
        <v>17</v>
      </c>
      <c r="L392" s="60" t="str">
        <f>VLOOKUP(K392,Ruimtegroepen[],2,FALSE)</f>
        <v>Toestelberging</v>
      </c>
      <c r="M392" s="23" t="s">
        <v>1300</v>
      </c>
      <c r="N392" s="23" t="s">
        <v>1301</v>
      </c>
      <c r="O392" s="86">
        <v>30</v>
      </c>
      <c r="P392" s="86"/>
      <c r="Q392" s="95" t="str">
        <f>LEFT(VLOOKUP(Ruimtestaat[[#This Row],[Ruimte code]],Ruimtegroepen[#All],4,1),2)</f>
        <v xml:space="preserve">V </v>
      </c>
      <c r="R392" s="95"/>
      <c r="S392" s="87">
        <v>40</v>
      </c>
      <c r="T392" s="87" t="s">
        <v>2</v>
      </c>
      <c r="U392" s="88">
        <f>IF(S392&gt;0,IF(RIGHT(Ruimtestaat[[#This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92" s="88">
        <f>IF(U392&gt;0,VLOOKUP($K392,Ruimtegroepen[],3,FALSE)*VLOOKUP($M392,Vloersoorten[],3,FALSE)*VLOOKUP($T392,Frequenties[],3,FALSE)*VLOOKUP($A392,Locaties[],3,FALSE),0)</f>
        <v>0</v>
      </c>
      <c r="W392" s="89">
        <f>Ruimtestaat[[#This Row],[Uitvoeringen werkdagen]]*Ruimtestaat[[#This Row],[Oppervlak (netto)]]</f>
        <v>6000</v>
      </c>
      <c r="X392" s="90">
        <f>IF(V392&gt;0,Ruimtestaat[[#This Row],[Prest. (m2 /jaar) werkdagen]]/Ruimtestaat[[#This Row],[Norm (m2/uur) werkdagen]],0)</f>
        <v>0</v>
      </c>
      <c r="Y392" s="91">
        <f>Ruimtestaat[[#This Row],[uren / jaar werkdagen]]*Tariefsopbouw!$E$35</f>
        <v>0</v>
      </c>
      <c r="Z392" s="88"/>
      <c r="AA392" s="92">
        <f>IF(Ruimtestaat[[#This Row],[Frequentie weekend]]&gt;0,VALUE(LEFT(Z392,1))*S392,0)</f>
        <v>0</v>
      </c>
      <c r="AB392" s="88">
        <f>IF($AA392&gt;0,VLOOKUP($K392,Ruimtegroepen[],3,FALSE)*VLOOKUP($M392,Vloersoorten[],3,FALSE)*VLOOKUP($Z392,Frequenties[],3,FALSE)*VLOOKUP(#REF!,Locaties[],3,FALSE),0)</f>
        <v>0</v>
      </c>
      <c r="AC392" s="90">
        <f>Ruimtestaat[[#This Row],[Uitvoeringen weekend]]*Ruimtestaat[[#This Row],[Oppervlak (netto)]]</f>
        <v>0</v>
      </c>
      <c r="AD392" s="93">
        <f>IF(AC392&gt;0,Ruimtestaat[[#This Row],[Prest. (m2 /jaar) weekend]]/Ruimtestaat[[#This Row],[Norm (m2/uur) weekend]],0)</f>
        <v>0</v>
      </c>
      <c r="AE392" s="94">
        <f>Ruimtestaat[[#This Row],[uren / jaar weekend]]*Tariefsopbouw!$D$40</f>
        <v>0</v>
      </c>
      <c r="AF392" s="66">
        <f>Ruimtestaat[[#This Row],[Prest. (m2 /jaar) weekend]]+Ruimtestaat[[#This Row],[Prest. (m2 /jaar) werkdagen]]</f>
        <v>6000</v>
      </c>
      <c r="AG392" s="66">
        <f>Ruimtestaat[[#This Row],[uren / jaar weekend]]+Ruimtestaat[[#This Row],[uren / jaar werkdagen]]</f>
        <v>0</v>
      </c>
      <c r="AH392" s="67">
        <f>Ruimtestaat[[#This Row],[kosten / jaar weekend]]+Ruimtestaat[[#This Row],[kosten / jaar werkdagen]]</f>
        <v>0</v>
      </c>
    </row>
    <row r="393" spans="1:34" ht="15" customHeight="1">
      <c r="A393" s="112">
        <v>3</v>
      </c>
      <c r="B393" s="23" t="str">
        <f>VLOOKUP(Ruimtestaat[[#This Row],[Code]],Locaties[#All],2,FALSE)</f>
        <v>RSG N.O. Veluwe</v>
      </c>
      <c r="C393" s="23" t="str">
        <f>VLOOKUP(Ruimtestaat[[#This Row],[Code]],Locaties[#All],4,FALSE)</f>
        <v>Schotweg 1</v>
      </c>
      <c r="D393" s="23" t="str">
        <f>VLOOKUP(Ruimtestaat[[#This Row],[Code]],Locaties[#All],5,FALSE)</f>
        <v>8162 GM</v>
      </c>
      <c r="E393" s="23" t="str">
        <f>VLOOKUP(Ruimtestaat[[#This Row],[Code]],Locaties[#All],6,FALSE)</f>
        <v>Epe</v>
      </c>
      <c r="F393" s="23" t="s">
        <v>1108</v>
      </c>
      <c r="G393" s="60"/>
      <c r="H393" s="23" t="s">
        <v>1298</v>
      </c>
      <c r="I393" s="23" t="s">
        <v>1152</v>
      </c>
      <c r="J393" s="3" t="s">
        <v>1017</v>
      </c>
      <c r="K393" s="23">
        <v>23</v>
      </c>
      <c r="L393" s="60" t="str">
        <f>VLOOKUP(K393,Ruimtegroepen[],2,FALSE)</f>
        <v>Niet in onderhoud</v>
      </c>
      <c r="M393" s="23" t="s">
        <v>1300</v>
      </c>
      <c r="N393" s="23" t="s">
        <v>1301</v>
      </c>
      <c r="O393" s="86"/>
      <c r="P393" s="86">
        <v>12</v>
      </c>
      <c r="Q393" s="95" t="str">
        <f>LEFT(VLOOKUP(Ruimtestaat[[#This Row],[Ruimte code]],Ruimtegroepen[#All],4,1),2)</f>
        <v/>
      </c>
      <c r="R393" s="95"/>
      <c r="S393" s="87"/>
      <c r="T393" s="87"/>
      <c r="U393" s="88">
        <f>IF(S393&gt;0,IF(RIGHT(Ruimtestaat[[#This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93" s="88">
        <f>IF(U393&gt;0,VLOOKUP($K393,Ruimtegroepen[],3,FALSE)*VLOOKUP($M393,Vloersoorten[],3,FALSE)*VLOOKUP($T393,Frequenties[],3,FALSE)*VLOOKUP($A393,Locaties[],3,FALSE),0)</f>
        <v>0</v>
      </c>
      <c r="W393" s="89">
        <f>Ruimtestaat[[#This Row],[Uitvoeringen werkdagen]]*Ruimtestaat[[#This Row],[Oppervlak (netto)]]</f>
        <v>0</v>
      </c>
      <c r="X393" s="90">
        <f>IF(V393&gt;0,Ruimtestaat[[#This Row],[Prest. (m2 /jaar) werkdagen]]/Ruimtestaat[[#This Row],[Norm (m2/uur) werkdagen]],0)</f>
        <v>0</v>
      </c>
      <c r="Y393" s="91">
        <f>Ruimtestaat[[#This Row],[uren / jaar werkdagen]]*Tariefsopbouw!$E$35</f>
        <v>0</v>
      </c>
      <c r="Z393" s="88"/>
      <c r="AA393" s="92">
        <f>IF(Ruimtestaat[[#This Row],[Frequentie weekend]]&gt;0,VALUE(LEFT(Z393,1))*S393,0)</f>
        <v>0</v>
      </c>
      <c r="AB393" s="88">
        <f>IF($AA393&gt;0,VLOOKUP($K393,Ruimtegroepen[],3,FALSE)*VLOOKUP($M393,Vloersoorten[],3,FALSE)*VLOOKUP($Z393,Frequenties[],3,FALSE)*VLOOKUP(#REF!,Locaties[],3,FALSE),0)</f>
        <v>0</v>
      </c>
      <c r="AC393" s="90">
        <f>Ruimtestaat[[#This Row],[Uitvoeringen weekend]]*Ruimtestaat[[#This Row],[Oppervlak (netto)]]</f>
        <v>0</v>
      </c>
      <c r="AD393" s="93">
        <f>IF(AC393&gt;0,Ruimtestaat[[#This Row],[Prest. (m2 /jaar) weekend]]/Ruimtestaat[[#This Row],[Norm (m2/uur) weekend]],0)</f>
        <v>0</v>
      </c>
      <c r="AE393" s="94">
        <f>Ruimtestaat[[#This Row],[uren / jaar weekend]]*Tariefsopbouw!$D$40</f>
        <v>0</v>
      </c>
      <c r="AF393" s="66">
        <f>Ruimtestaat[[#This Row],[Prest. (m2 /jaar) weekend]]+Ruimtestaat[[#This Row],[Prest. (m2 /jaar) werkdagen]]</f>
        <v>0</v>
      </c>
      <c r="AG393" s="66">
        <f>Ruimtestaat[[#This Row],[uren / jaar weekend]]+Ruimtestaat[[#This Row],[uren / jaar werkdagen]]</f>
        <v>0</v>
      </c>
      <c r="AH393" s="67">
        <f>Ruimtestaat[[#This Row],[kosten / jaar weekend]]+Ruimtestaat[[#This Row],[kosten / jaar werkdagen]]</f>
        <v>0</v>
      </c>
    </row>
    <row r="394" spans="1:34" ht="15" customHeight="1">
      <c r="A394" s="112">
        <v>3</v>
      </c>
      <c r="B394" s="23" t="str">
        <f>VLOOKUP(Ruimtestaat[[#This Row],[Code]],Locaties[#All],2,FALSE)</f>
        <v>RSG N.O. Veluwe</v>
      </c>
      <c r="C394" s="23" t="str">
        <f>VLOOKUP(Ruimtestaat[[#This Row],[Code]],Locaties[#All],4,FALSE)</f>
        <v>Schotweg 1</v>
      </c>
      <c r="D394" s="23" t="str">
        <f>VLOOKUP(Ruimtestaat[[#This Row],[Code]],Locaties[#All],5,FALSE)</f>
        <v>8162 GM</v>
      </c>
      <c r="E394" s="23" t="str">
        <f>VLOOKUP(Ruimtestaat[[#This Row],[Code]],Locaties[#All],6,FALSE)</f>
        <v>Epe</v>
      </c>
      <c r="F394" s="23" t="s">
        <v>1108</v>
      </c>
      <c r="G394" s="60"/>
      <c r="H394" s="23" t="s">
        <v>1298</v>
      </c>
      <c r="I394" s="23" t="s">
        <v>1153</v>
      </c>
      <c r="J394" s="3" t="s">
        <v>1154</v>
      </c>
      <c r="K394" s="23">
        <v>23</v>
      </c>
      <c r="L394" s="60" t="str">
        <f>VLOOKUP(K394,Ruimtegroepen[],2,FALSE)</f>
        <v>Niet in onderhoud</v>
      </c>
      <c r="M394" s="23" t="s">
        <v>113</v>
      </c>
      <c r="N394" s="23" t="s">
        <v>1092</v>
      </c>
      <c r="O394" s="86"/>
      <c r="P394" s="86">
        <v>0</v>
      </c>
      <c r="Q394" s="95" t="str">
        <f>LEFT(VLOOKUP(Ruimtestaat[[#This Row],[Ruimte code]],Ruimtegroepen[#All],4,1),2)</f>
        <v/>
      </c>
      <c r="R394" s="95"/>
      <c r="S394" s="87"/>
      <c r="T394" s="87"/>
      <c r="U394" s="88">
        <f>IF(S394&gt;0,IF(RIGHT(Ruimtestaat[[#This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94" s="88">
        <f>IF(U394&gt;0,VLOOKUP($K394,Ruimtegroepen[],3,FALSE)*VLOOKUP($M394,Vloersoorten[],3,FALSE)*VLOOKUP($T394,Frequenties[],3,FALSE)*VLOOKUP($A394,Locaties[],3,FALSE),0)</f>
        <v>0</v>
      </c>
      <c r="W394" s="89">
        <f>Ruimtestaat[[#This Row],[Uitvoeringen werkdagen]]*Ruimtestaat[[#This Row],[Oppervlak (netto)]]</f>
        <v>0</v>
      </c>
      <c r="X394" s="90">
        <f>IF(V394&gt;0,Ruimtestaat[[#This Row],[Prest. (m2 /jaar) werkdagen]]/Ruimtestaat[[#This Row],[Norm (m2/uur) werkdagen]],0)</f>
        <v>0</v>
      </c>
      <c r="Y394" s="91">
        <f>Ruimtestaat[[#This Row],[uren / jaar werkdagen]]*Tariefsopbouw!$E$35</f>
        <v>0</v>
      </c>
      <c r="Z394" s="88"/>
      <c r="AA394" s="92">
        <f>IF(Ruimtestaat[[#This Row],[Frequentie weekend]]&gt;0,VALUE(LEFT(Z394,1))*S394,0)</f>
        <v>0</v>
      </c>
      <c r="AB394" s="88">
        <f>IF($AA394&gt;0,VLOOKUP($K394,Ruimtegroepen[],3,FALSE)*VLOOKUP($M394,Vloersoorten[],3,FALSE)*VLOOKUP($Z394,Frequenties[],3,FALSE)*VLOOKUP(#REF!,Locaties[],3,FALSE),0)</f>
        <v>0</v>
      </c>
      <c r="AC394" s="90">
        <f>Ruimtestaat[[#This Row],[Uitvoeringen weekend]]*Ruimtestaat[[#This Row],[Oppervlak (netto)]]</f>
        <v>0</v>
      </c>
      <c r="AD394" s="93">
        <f>IF(AC394&gt;0,Ruimtestaat[[#This Row],[Prest. (m2 /jaar) weekend]]/Ruimtestaat[[#This Row],[Norm (m2/uur) weekend]],0)</f>
        <v>0</v>
      </c>
      <c r="AE394" s="94">
        <f>Ruimtestaat[[#This Row],[uren / jaar weekend]]*Tariefsopbouw!$D$40</f>
        <v>0</v>
      </c>
      <c r="AF394" s="66">
        <f>Ruimtestaat[[#This Row],[Prest. (m2 /jaar) weekend]]+Ruimtestaat[[#This Row],[Prest. (m2 /jaar) werkdagen]]</f>
        <v>0</v>
      </c>
      <c r="AG394" s="66">
        <f>Ruimtestaat[[#This Row],[uren / jaar weekend]]+Ruimtestaat[[#This Row],[uren / jaar werkdagen]]</f>
        <v>0</v>
      </c>
      <c r="AH394" s="67">
        <f>Ruimtestaat[[#This Row],[kosten / jaar weekend]]+Ruimtestaat[[#This Row],[kosten / jaar werkdagen]]</f>
        <v>0</v>
      </c>
    </row>
    <row r="395" spans="1:34" ht="15" customHeight="1">
      <c r="A395" s="112">
        <v>3</v>
      </c>
      <c r="B395" s="23" t="str">
        <f>VLOOKUP(Ruimtestaat[[#This Row],[Code]],Locaties[#All],2,FALSE)</f>
        <v>RSG N.O. Veluwe</v>
      </c>
      <c r="C395" s="23" t="str">
        <f>VLOOKUP(Ruimtestaat[[#This Row],[Code]],Locaties[#All],4,FALSE)</f>
        <v>Schotweg 1</v>
      </c>
      <c r="D395" s="23" t="str">
        <f>VLOOKUP(Ruimtestaat[[#This Row],[Code]],Locaties[#All],5,FALSE)</f>
        <v>8162 GM</v>
      </c>
      <c r="E395" s="23" t="str">
        <f>VLOOKUP(Ruimtestaat[[#This Row],[Code]],Locaties[#All],6,FALSE)</f>
        <v>Epe</v>
      </c>
      <c r="F395" s="23" t="s">
        <v>1108</v>
      </c>
      <c r="G395" s="60"/>
      <c r="H395" s="23" t="s">
        <v>1298</v>
      </c>
      <c r="I395" s="23" t="s">
        <v>1155</v>
      </c>
      <c r="J395" s="3" t="s">
        <v>1156</v>
      </c>
      <c r="K395" s="23">
        <v>23</v>
      </c>
      <c r="L395" s="60" t="str">
        <f>VLOOKUP(K395,Ruimtegroepen[],2,FALSE)</f>
        <v>Niet in onderhoud</v>
      </c>
      <c r="M395" s="23" t="s">
        <v>113</v>
      </c>
      <c r="N395" s="23" t="s">
        <v>1092</v>
      </c>
      <c r="O395" s="86"/>
      <c r="P395" s="86">
        <v>0</v>
      </c>
      <c r="Q395" s="95" t="str">
        <f>LEFT(VLOOKUP(Ruimtestaat[[#This Row],[Ruimte code]],Ruimtegroepen[#All],4,1),2)</f>
        <v/>
      </c>
      <c r="R395" s="95"/>
      <c r="S395" s="87"/>
      <c r="T395" s="87"/>
      <c r="U395" s="88">
        <f>IF(S395&gt;0,IF(RIGHT(Ruimtestaat[[#This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95" s="88">
        <f>IF(U395&gt;0,VLOOKUP($K395,Ruimtegroepen[],3,FALSE)*VLOOKUP($M395,Vloersoorten[],3,FALSE)*VLOOKUP($T395,Frequenties[],3,FALSE)*VLOOKUP($A395,Locaties[],3,FALSE),0)</f>
        <v>0</v>
      </c>
      <c r="W395" s="89">
        <f>Ruimtestaat[[#This Row],[Uitvoeringen werkdagen]]*Ruimtestaat[[#This Row],[Oppervlak (netto)]]</f>
        <v>0</v>
      </c>
      <c r="X395" s="90">
        <f>IF(V395&gt;0,Ruimtestaat[[#This Row],[Prest. (m2 /jaar) werkdagen]]/Ruimtestaat[[#This Row],[Norm (m2/uur) werkdagen]],0)</f>
        <v>0</v>
      </c>
      <c r="Y395" s="91">
        <f>Ruimtestaat[[#This Row],[uren / jaar werkdagen]]*Tariefsopbouw!$E$35</f>
        <v>0</v>
      </c>
      <c r="Z395" s="88"/>
      <c r="AA395" s="92">
        <f>IF(Ruimtestaat[[#This Row],[Frequentie weekend]]&gt;0,VALUE(LEFT(Z395,1))*S395,0)</f>
        <v>0</v>
      </c>
      <c r="AB395" s="88">
        <f>IF($AA395&gt;0,VLOOKUP($K395,Ruimtegroepen[],3,FALSE)*VLOOKUP($M395,Vloersoorten[],3,FALSE)*VLOOKUP($Z395,Frequenties[],3,FALSE)*VLOOKUP(#REF!,Locaties[],3,FALSE),0)</f>
        <v>0</v>
      </c>
      <c r="AC395" s="90">
        <f>Ruimtestaat[[#This Row],[Uitvoeringen weekend]]*Ruimtestaat[[#This Row],[Oppervlak (netto)]]</f>
        <v>0</v>
      </c>
      <c r="AD395" s="93">
        <f>IF(AC395&gt;0,Ruimtestaat[[#This Row],[Prest. (m2 /jaar) weekend]]/Ruimtestaat[[#This Row],[Norm (m2/uur) weekend]],0)</f>
        <v>0</v>
      </c>
      <c r="AE395" s="94">
        <f>Ruimtestaat[[#This Row],[uren / jaar weekend]]*Tariefsopbouw!$D$40</f>
        <v>0</v>
      </c>
      <c r="AF395" s="66">
        <f>Ruimtestaat[[#This Row],[Prest. (m2 /jaar) weekend]]+Ruimtestaat[[#This Row],[Prest. (m2 /jaar) werkdagen]]</f>
        <v>0</v>
      </c>
      <c r="AG395" s="66">
        <f>Ruimtestaat[[#This Row],[uren / jaar weekend]]+Ruimtestaat[[#This Row],[uren / jaar werkdagen]]</f>
        <v>0</v>
      </c>
      <c r="AH395" s="67">
        <f>Ruimtestaat[[#This Row],[kosten / jaar weekend]]+Ruimtestaat[[#This Row],[kosten / jaar werkdagen]]</f>
        <v>0</v>
      </c>
    </row>
    <row r="396" spans="1:34" ht="15" customHeight="1">
      <c r="A396" s="112">
        <v>3</v>
      </c>
      <c r="B396" s="23" t="str">
        <f>VLOOKUP(Ruimtestaat[[#This Row],[Code]],Locaties[#All],2,FALSE)</f>
        <v>RSG N.O. Veluwe</v>
      </c>
      <c r="C396" s="23" t="str">
        <f>VLOOKUP(Ruimtestaat[[#This Row],[Code]],Locaties[#All],4,FALSE)</f>
        <v>Schotweg 1</v>
      </c>
      <c r="D396" s="23" t="str">
        <f>VLOOKUP(Ruimtestaat[[#This Row],[Code]],Locaties[#All],5,FALSE)</f>
        <v>8162 GM</v>
      </c>
      <c r="E396" s="23" t="str">
        <f>VLOOKUP(Ruimtestaat[[#This Row],[Code]],Locaties[#All],6,FALSE)</f>
        <v>Epe</v>
      </c>
      <c r="F396" s="23" t="s">
        <v>1108</v>
      </c>
      <c r="G396" s="60"/>
      <c r="H396" s="23" t="s">
        <v>1298</v>
      </c>
      <c r="I396" s="23" t="s">
        <v>1157</v>
      </c>
      <c r="J396" s="3" t="s">
        <v>1156</v>
      </c>
      <c r="K396" s="23">
        <v>23</v>
      </c>
      <c r="L396" s="60" t="str">
        <f>VLOOKUP(K396,Ruimtegroepen[],2,FALSE)</f>
        <v>Niet in onderhoud</v>
      </c>
      <c r="M396" s="23" t="s">
        <v>113</v>
      </c>
      <c r="N396" s="23" t="s">
        <v>1092</v>
      </c>
      <c r="O396" s="86"/>
      <c r="P396" s="86">
        <v>0</v>
      </c>
      <c r="Q396" s="95" t="str">
        <f>LEFT(VLOOKUP(Ruimtestaat[[#This Row],[Ruimte code]],Ruimtegroepen[#All],4,1),2)</f>
        <v/>
      </c>
      <c r="R396" s="95"/>
      <c r="S396" s="87"/>
      <c r="T396" s="87"/>
      <c r="U396" s="88">
        <f>IF(S396&gt;0,IF(RIGHT(Ruimtestaat[[#This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96" s="88">
        <f>IF(U396&gt;0,VLOOKUP($K396,Ruimtegroepen[],3,FALSE)*VLOOKUP($M396,Vloersoorten[],3,FALSE)*VLOOKUP($T396,Frequenties[],3,FALSE)*VLOOKUP($A396,Locaties[],3,FALSE),0)</f>
        <v>0</v>
      </c>
      <c r="W396" s="89">
        <f>Ruimtestaat[[#This Row],[Uitvoeringen werkdagen]]*Ruimtestaat[[#This Row],[Oppervlak (netto)]]</f>
        <v>0</v>
      </c>
      <c r="X396" s="90">
        <f>IF(V396&gt;0,Ruimtestaat[[#This Row],[Prest. (m2 /jaar) werkdagen]]/Ruimtestaat[[#This Row],[Norm (m2/uur) werkdagen]],0)</f>
        <v>0</v>
      </c>
      <c r="Y396" s="91">
        <f>Ruimtestaat[[#This Row],[uren / jaar werkdagen]]*Tariefsopbouw!$E$35</f>
        <v>0</v>
      </c>
      <c r="Z396" s="88"/>
      <c r="AA396" s="92">
        <f>IF(Ruimtestaat[[#This Row],[Frequentie weekend]]&gt;0,VALUE(LEFT(Z396,1))*S396,0)</f>
        <v>0</v>
      </c>
      <c r="AB396" s="88">
        <f>IF($AA396&gt;0,VLOOKUP($K396,Ruimtegroepen[],3,FALSE)*VLOOKUP($M396,Vloersoorten[],3,FALSE)*VLOOKUP($Z396,Frequenties[],3,FALSE)*VLOOKUP(#REF!,Locaties[],3,FALSE),0)</f>
        <v>0</v>
      </c>
      <c r="AC396" s="90">
        <f>Ruimtestaat[[#This Row],[Uitvoeringen weekend]]*Ruimtestaat[[#This Row],[Oppervlak (netto)]]</f>
        <v>0</v>
      </c>
      <c r="AD396" s="93">
        <f>IF(AC396&gt;0,Ruimtestaat[[#This Row],[Prest. (m2 /jaar) weekend]]/Ruimtestaat[[#This Row],[Norm (m2/uur) weekend]],0)</f>
        <v>0</v>
      </c>
      <c r="AE396" s="94">
        <f>Ruimtestaat[[#This Row],[uren / jaar weekend]]*Tariefsopbouw!$D$40</f>
        <v>0</v>
      </c>
      <c r="AF396" s="66">
        <f>Ruimtestaat[[#This Row],[Prest. (m2 /jaar) weekend]]+Ruimtestaat[[#This Row],[Prest. (m2 /jaar) werkdagen]]</f>
        <v>0</v>
      </c>
      <c r="AG396" s="66">
        <f>Ruimtestaat[[#This Row],[uren / jaar weekend]]+Ruimtestaat[[#This Row],[uren / jaar werkdagen]]</f>
        <v>0</v>
      </c>
      <c r="AH396" s="67">
        <f>Ruimtestaat[[#This Row],[kosten / jaar weekend]]+Ruimtestaat[[#This Row],[kosten / jaar werkdagen]]</f>
        <v>0</v>
      </c>
    </row>
    <row r="397" spans="1:34" ht="15" customHeight="1">
      <c r="A397" s="112">
        <v>3</v>
      </c>
      <c r="B397" s="23" t="str">
        <f>VLOOKUP(Ruimtestaat[[#This Row],[Code]],Locaties[#All],2,FALSE)</f>
        <v>RSG N.O. Veluwe</v>
      </c>
      <c r="C397" s="23" t="str">
        <f>VLOOKUP(Ruimtestaat[[#This Row],[Code]],Locaties[#All],4,FALSE)</f>
        <v>Schotweg 1</v>
      </c>
      <c r="D397" s="23" t="str">
        <f>VLOOKUP(Ruimtestaat[[#This Row],[Code]],Locaties[#All],5,FALSE)</f>
        <v>8162 GM</v>
      </c>
      <c r="E397" s="23" t="str">
        <f>VLOOKUP(Ruimtestaat[[#This Row],[Code]],Locaties[#All],6,FALSE)</f>
        <v>Epe</v>
      </c>
      <c r="F397" s="23" t="s">
        <v>1108</v>
      </c>
      <c r="G397" s="60"/>
      <c r="H397" s="23" t="s">
        <v>1298</v>
      </c>
      <c r="I397" s="23" t="s">
        <v>1158</v>
      </c>
      <c r="J397" s="3" t="s">
        <v>1156</v>
      </c>
      <c r="K397" s="23">
        <v>23</v>
      </c>
      <c r="L397" s="60" t="str">
        <f>VLOOKUP(K397,Ruimtegroepen[],2,FALSE)</f>
        <v>Niet in onderhoud</v>
      </c>
      <c r="M397" s="23" t="s">
        <v>113</v>
      </c>
      <c r="N397" s="23" t="s">
        <v>1092</v>
      </c>
      <c r="O397" s="86"/>
      <c r="P397" s="86">
        <v>0</v>
      </c>
      <c r="Q397" s="95" t="str">
        <f>LEFT(VLOOKUP(Ruimtestaat[[#This Row],[Ruimte code]],Ruimtegroepen[#All],4,1),2)</f>
        <v/>
      </c>
      <c r="R397" s="95"/>
      <c r="S397" s="87"/>
      <c r="T397" s="87"/>
      <c r="U397" s="88">
        <f>IF(S397&gt;0,IF(RIGHT(Ruimtestaat[[#This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97" s="88">
        <f>IF(U397&gt;0,VLOOKUP($K397,Ruimtegroepen[],3,FALSE)*VLOOKUP($M397,Vloersoorten[],3,FALSE)*VLOOKUP($T397,Frequenties[],3,FALSE)*VLOOKUP($A397,Locaties[],3,FALSE),0)</f>
        <v>0</v>
      </c>
      <c r="W397" s="89">
        <f>Ruimtestaat[[#This Row],[Uitvoeringen werkdagen]]*Ruimtestaat[[#This Row],[Oppervlak (netto)]]</f>
        <v>0</v>
      </c>
      <c r="X397" s="90">
        <f>IF(V397&gt;0,Ruimtestaat[[#This Row],[Prest. (m2 /jaar) werkdagen]]/Ruimtestaat[[#This Row],[Norm (m2/uur) werkdagen]],0)</f>
        <v>0</v>
      </c>
      <c r="Y397" s="91">
        <f>Ruimtestaat[[#This Row],[uren / jaar werkdagen]]*Tariefsopbouw!$E$35</f>
        <v>0</v>
      </c>
      <c r="Z397" s="88"/>
      <c r="AA397" s="92">
        <f>IF(Ruimtestaat[[#This Row],[Frequentie weekend]]&gt;0,VALUE(LEFT(Z397,1))*S397,0)</f>
        <v>0</v>
      </c>
      <c r="AB397" s="88">
        <f>IF($AA397&gt;0,VLOOKUP($K397,Ruimtegroepen[],3,FALSE)*VLOOKUP($M397,Vloersoorten[],3,FALSE)*VLOOKUP($Z397,Frequenties[],3,FALSE)*VLOOKUP(#REF!,Locaties[],3,FALSE),0)</f>
        <v>0</v>
      </c>
      <c r="AC397" s="90">
        <f>Ruimtestaat[[#This Row],[Uitvoeringen weekend]]*Ruimtestaat[[#This Row],[Oppervlak (netto)]]</f>
        <v>0</v>
      </c>
      <c r="AD397" s="93">
        <f>IF(AC397&gt;0,Ruimtestaat[[#This Row],[Prest. (m2 /jaar) weekend]]/Ruimtestaat[[#This Row],[Norm (m2/uur) weekend]],0)</f>
        <v>0</v>
      </c>
      <c r="AE397" s="94">
        <f>Ruimtestaat[[#This Row],[uren / jaar weekend]]*Tariefsopbouw!$D$40</f>
        <v>0</v>
      </c>
      <c r="AF397" s="66">
        <f>Ruimtestaat[[#This Row],[Prest. (m2 /jaar) weekend]]+Ruimtestaat[[#This Row],[Prest. (m2 /jaar) werkdagen]]</f>
        <v>0</v>
      </c>
      <c r="AG397" s="66">
        <f>Ruimtestaat[[#This Row],[uren / jaar weekend]]+Ruimtestaat[[#This Row],[uren / jaar werkdagen]]</f>
        <v>0</v>
      </c>
      <c r="AH397" s="67">
        <f>Ruimtestaat[[#This Row],[kosten / jaar weekend]]+Ruimtestaat[[#This Row],[kosten / jaar werkdagen]]</f>
        <v>0</v>
      </c>
    </row>
    <row r="398" spans="1:34" ht="15" customHeight="1">
      <c r="A398" s="112">
        <v>3</v>
      </c>
      <c r="B398" s="23" t="str">
        <f>VLOOKUP(Ruimtestaat[[#This Row],[Code]],Locaties[#All],2,FALSE)</f>
        <v>RSG N.O. Veluwe</v>
      </c>
      <c r="C398" s="23" t="str">
        <f>VLOOKUP(Ruimtestaat[[#This Row],[Code]],Locaties[#All],4,FALSE)</f>
        <v>Schotweg 1</v>
      </c>
      <c r="D398" s="23" t="str">
        <f>VLOOKUP(Ruimtestaat[[#This Row],[Code]],Locaties[#All],5,FALSE)</f>
        <v>8162 GM</v>
      </c>
      <c r="E398" s="23" t="str">
        <f>VLOOKUP(Ruimtestaat[[#This Row],[Code]],Locaties[#All],6,FALSE)</f>
        <v>Epe</v>
      </c>
      <c r="F398" s="23" t="s">
        <v>1108</v>
      </c>
      <c r="G398" s="60"/>
      <c r="H398" s="23" t="s">
        <v>1298</v>
      </c>
      <c r="I398" s="23" t="s">
        <v>1159</v>
      </c>
      <c r="J398" s="3" t="s">
        <v>1160</v>
      </c>
      <c r="K398" s="23">
        <v>23</v>
      </c>
      <c r="L398" s="60" t="str">
        <f>VLOOKUP(K398,Ruimtegroepen[],2,FALSE)</f>
        <v>Niet in onderhoud</v>
      </c>
      <c r="M398" s="23" t="s">
        <v>1300</v>
      </c>
      <c r="N398" s="23" t="s">
        <v>1301</v>
      </c>
      <c r="O398" s="86"/>
      <c r="P398" s="86">
        <v>0</v>
      </c>
      <c r="Q398" s="95" t="str">
        <f>LEFT(VLOOKUP(Ruimtestaat[[#This Row],[Ruimte code]],Ruimtegroepen[#All],4,1),2)</f>
        <v/>
      </c>
      <c r="R398" s="95"/>
      <c r="S398" s="87"/>
      <c r="T398" s="87"/>
      <c r="U398" s="88">
        <f>IF(S398&gt;0,IF(RIGHT(Ruimtestaat[[#This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98" s="88">
        <f>IF(U398&gt;0,VLOOKUP($K398,Ruimtegroepen[],3,FALSE)*VLOOKUP($M398,Vloersoorten[],3,FALSE)*VLOOKUP($T398,Frequenties[],3,FALSE)*VLOOKUP($A398,Locaties[],3,FALSE),0)</f>
        <v>0</v>
      </c>
      <c r="W398" s="89">
        <f>Ruimtestaat[[#This Row],[Uitvoeringen werkdagen]]*Ruimtestaat[[#This Row],[Oppervlak (netto)]]</f>
        <v>0</v>
      </c>
      <c r="X398" s="90">
        <f>IF(V398&gt;0,Ruimtestaat[[#This Row],[Prest. (m2 /jaar) werkdagen]]/Ruimtestaat[[#This Row],[Norm (m2/uur) werkdagen]],0)</f>
        <v>0</v>
      </c>
      <c r="Y398" s="91">
        <f>Ruimtestaat[[#This Row],[uren / jaar werkdagen]]*Tariefsopbouw!$E$35</f>
        <v>0</v>
      </c>
      <c r="Z398" s="88"/>
      <c r="AA398" s="92">
        <f>IF(Ruimtestaat[[#This Row],[Frequentie weekend]]&gt;0,VALUE(LEFT(Z398,1))*S398,0)</f>
        <v>0</v>
      </c>
      <c r="AB398" s="88">
        <f>IF($AA398&gt;0,VLOOKUP($K398,Ruimtegroepen[],3,FALSE)*VLOOKUP($M398,Vloersoorten[],3,FALSE)*VLOOKUP($Z398,Frequenties[],3,FALSE)*VLOOKUP(#REF!,Locaties[],3,FALSE),0)</f>
        <v>0</v>
      </c>
      <c r="AC398" s="90">
        <f>Ruimtestaat[[#This Row],[Uitvoeringen weekend]]*Ruimtestaat[[#This Row],[Oppervlak (netto)]]</f>
        <v>0</v>
      </c>
      <c r="AD398" s="93">
        <f>IF(AC398&gt;0,Ruimtestaat[[#This Row],[Prest. (m2 /jaar) weekend]]/Ruimtestaat[[#This Row],[Norm (m2/uur) weekend]],0)</f>
        <v>0</v>
      </c>
      <c r="AE398" s="94">
        <f>Ruimtestaat[[#This Row],[uren / jaar weekend]]*Tariefsopbouw!$D$40</f>
        <v>0</v>
      </c>
      <c r="AF398" s="66">
        <f>Ruimtestaat[[#This Row],[Prest. (m2 /jaar) weekend]]+Ruimtestaat[[#This Row],[Prest. (m2 /jaar) werkdagen]]</f>
        <v>0</v>
      </c>
      <c r="AG398" s="66">
        <f>Ruimtestaat[[#This Row],[uren / jaar weekend]]+Ruimtestaat[[#This Row],[uren / jaar werkdagen]]</f>
        <v>0</v>
      </c>
      <c r="AH398" s="67">
        <f>Ruimtestaat[[#This Row],[kosten / jaar weekend]]+Ruimtestaat[[#This Row],[kosten / jaar werkdagen]]</f>
        <v>0</v>
      </c>
    </row>
    <row r="399" spans="1:34" ht="15" customHeight="1">
      <c r="A399" s="112">
        <v>3</v>
      </c>
      <c r="B399" s="23" t="str">
        <f>VLOOKUP(Ruimtestaat[[#This Row],[Code]],Locaties[#All],2,FALSE)</f>
        <v>RSG N.O. Veluwe</v>
      </c>
      <c r="C399" s="23" t="str">
        <f>VLOOKUP(Ruimtestaat[[#This Row],[Code]],Locaties[#All],4,FALSE)</f>
        <v>Schotweg 1</v>
      </c>
      <c r="D399" s="23" t="str">
        <f>VLOOKUP(Ruimtestaat[[#This Row],[Code]],Locaties[#All],5,FALSE)</f>
        <v>8162 GM</v>
      </c>
      <c r="E399" s="23" t="str">
        <f>VLOOKUP(Ruimtestaat[[#This Row],[Code]],Locaties[#All],6,FALSE)</f>
        <v>Epe</v>
      </c>
      <c r="F399" s="23" t="s">
        <v>1108</v>
      </c>
      <c r="G399" s="60"/>
      <c r="H399" s="23" t="s">
        <v>1298</v>
      </c>
      <c r="I399" s="23" t="s">
        <v>1161</v>
      </c>
      <c r="J399" s="3" t="s">
        <v>1162</v>
      </c>
      <c r="K399" s="23">
        <v>2</v>
      </c>
      <c r="L399" s="60" t="str">
        <f>VLOOKUP(K399,Ruimtegroepen[],2,FALSE)</f>
        <v>Kantoren</v>
      </c>
      <c r="M399" s="23" t="s">
        <v>1094</v>
      </c>
      <c r="N399" s="23" t="s">
        <v>1095</v>
      </c>
      <c r="O399" s="86">
        <v>20</v>
      </c>
      <c r="P399" s="86"/>
      <c r="Q399" s="95" t="str">
        <f>LEFT(VLOOKUP(Ruimtestaat[[#This Row],[Ruimte code]],Ruimtegroepen[#All],4,1),2)</f>
        <v xml:space="preserve">B </v>
      </c>
      <c r="R399" s="95"/>
      <c r="S399" s="87">
        <v>42</v>
      </c>
      <c r="T399" s="87" t="s">
        <v>2</v>
      </c>
      <c r="U399" s="88">
        <f>IF(S399&gt;0,IF(RIGHT(Ruimtestaat[[#This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399" s="88">
        <f>IF(U399&gt;0,VLOOKUP($K399,Ruimtegroepen[],3,FALSE)*VLOOKUP($M399,Vloersoorten[],3,FALSE)*VLOOKUP($T399,Frequenties[],3,FALSE)*VLOOKUP($A399,Locaties[],3,FALSE),0)</f>
        <v>0</v>
      </c>
      <c r="W399" s="89">
        <f>Ruimtestaat[[#This Row],[Uitvoeringen werkdagen]]*Ruimtestaat[[#This Row],[Oppervlak (netto)]]</f>
        <v>4200</v>
      </c>
      <c r="X399" s="90">
        <f>IF(V399&gt;0,Ruimtestaat[[#This Row],[Prest. (m2 /jaar) werkdagen]]/Ruimtestaat[[#This Row],[Norm (m2/uur) werkdagen]],0)</f>
        <v>0</v>
      </c>
      <c r="Y399" s="91">
        <f>Ruimtestaat[[#This Row],[uren / jaar werkdagen]]*Tariefsopbouw!$E$35</f>
        <v>0</v>
      </c>
      <c r="Z399" s="88"/>
      <c r="AA399" s="92">
        <f>IF(Ruimtestaat[[#This Row],[Frequentie weekend]]&gt;0,VALUE(LEFT(Z399,1))*S399,0)</f>
        <v>0</v>
      </c>
      <c r="AB399" s="88">
        <f>IF($AA399&gt;0,VLOOKUP($K399,Ruimtegroepen[],3,FALSE)*VLOOKUP($M399,Vloersoorten[],3,FALSE)*VLOOKUP($Z399,Frequenties[],3,FALSE)*VLOOKUP(#REF!,Locaties[],3,FALSE),0)</f>
        <v>0</v>
      </c>
      <c r="AC399" s="90">
        <f>Ruimtestaat[[#This Row],[Uitvoeringen weekend]]*Ruimtestaat[[#This Row],[Oppervlak (netto)]]</f>
        <v>0</v>
      </c>
      <c r="AD399" s="93">
        <f>IF(AC399&gt;0,Ruimtestaat[[#This Row],[Prest. (m2 /jaar) weekend]]/Ruimtestaat[[#This Row],[Norm (m2/uur) weekend]],0)</f>
        <v>0</v>
      </c>
      <c r="AE399" s="94">
        <f>Ruimtestaat[[#This Row],[uren / jaar weekend]]*Tariefsopbouw!$D$40</f>
        <v>0</v>
      </c>
      <c r="AF399" s="66">
        <f>Ruimtestaat[[#This Row],[Prest. (m2 /jaar) weekend]]+Ruimtestaat[[#This Row],[Prest. (m2 /jaar) werkdagen]]</f>
        <v>4200</v>
      </c>
      <c r="AG399" s="66">
        <f>Ruimtestaat[[#This Row],[uren / jaar weekend]]+Ruimtestaat[[#This Row],[uren / jaar werkdagen]]</f>
        <v>0</v>
      </c>
      <c r="AH399" s="67">
        <f>Ruimtestaat[[#This Row],[kosten / jaar weekend]]+Ruimtestaat[[#This Row],[kosten / jaar werkdagen]]</f>
        <v>0</v>
      </c>
    </row>
    <row r="400" spans="1:34" ht="15" customHeight="1">
      <c r="A400" s="112">
        <v>3</v>
      </c>
      <c r="B400" s="23" t="str">
        <f>VLOOKUP(Ruimtestaat[[#This Row],[Code]],Locaties[#All],2,FALSE)</f>
        <v>RSG N.O. Veluwe</v>
      </c>
      <c r="C400" s="23" t="str">
        <f>VLOOKUP(Ruimtestaat[[#This Row],[Code]],Locaties[#All],4,FALSE)</f>
        <v>Schotweg 1</v>
      </c>
      <c r="D400" s="23" t="str">
        <f>VLOOKUP(Ruimtestaat[[#This Row],[Code]],Locaties[#All],5,FALSE)</f>
        <v>8162 GM</v>
      </c>
      <c r="E400" s="23" t="str">
        <f>VLOOKUP(Ruimtestaat[[#This Row],[Code]],Locaties[#All],6,FALSE)</f>
        <v>Epe</v>
      </c>
      <c r="F400" s="23" t="s">
        <v>1108</v>
      </c>
      <c r="G400" s="60"/>
      <c r="H400" s="23" t="s">
        <v>1298</v>
      </c>
      <c r="I400" s="23" t="s">
        <v>1163</v>
      </c>
      <c r="J400" s="3" t="s">
        <v>41</v>
      </c>
      <c r="K400" s="23">
        <v>7</v>
      </c>
      <c r="L400" s="60" t="str">
        <f>VLOOKUP(K400,Ruimtegroepen[],2,FALSE)</f>
        <v>Entree</v>
      </c>
      <c r="M400" s="23" t="s">
        <v>113</v>
      </c>
      <c r="N400" s="23" t="s">
        <v>1302</v>
      </c>
      <c r="O400" s="86">
        <v>12</v>
      </c>
      <c r="P400" s="86"/>
      <c r="Q400" s="95" t="str">
        <f>LEFT(VLOOKUP(Ruimtestaat[[#This Row],[Ruimte code]],Ruimtegroepen[#All],4,1),2)</f>
        <v xml:space="preserve">V </v>
      </c>
      <c r="R400" s="95"/>
      <c r="S400" s="87">
        <v>42</v>
      </c>
      <c r="T400" s="87" t="s">
        <v>2</v>
      </c>
      <c r="U400" s="88">
        <f>IF(S400&gt;0,IF(RIGHT(Ruimtestaat[[#This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00" s="88">
        <f>IF(U400&gt;0,VLOOKUP($K400,Ruimtegroepen[],3,FALSE)*VLOOKUP($M400,Vloersoorten[],3,FALSE)*VLOOKUP($T400,Frequenties[],3,FALSE)*VLOOKUP($A400,Locaties[],3,FALSE),0)</f>
        <v>0</v>
      </c>
      <c r="W400" s="89">
        <f>Ruimtestaat[[#This Row],[Uitvoeringen werkdagen]]*Ruimtestaat[[#This Row],[Oppervlak (netto)]]</f>
        <v>2520</v>
      </c>
      <c r="X400" s="90">
        <f>IF(V400&gt;0,Ruimtestaat[[#This Row],[Prest. (m2 /jaar) werkdagen]]/Ruimtestaat[[#This Row],[Norm (m2/uur) werkdagen]],0)</f>
        <v>0</v>
      </c>
      <c r="Y400" s="91">
        <f>Ruimtestaat[[#This Row],[uren / jaar werkdagen]]*Tariefsopbouw!$E$35</f>
        <v>0</v>
      </c>
      <c r="Z400" s="88"/>
      <c r="AA400" s="92">
        <f>IF(Ruimtestaat[[#This Row],[Frequentie weekend]]&gt;0,VALUE(LEFT(Z400,1))*S400,0)</f>
        <v>0</v>
      </c>
      <c r="AB400" s="88">
        <f>IF($AA400&gt;0,VLOOKUP($K400,Ruimtegroepen[],3,FALSE)*VLOOKUP($M400,Vloersoorten[],3,FALSE)*VLOOKUP($Z400,Frequenties[],3,FALSE)*VLOOKUP(#REF!,Locaties[],3,FALSE),0)</f>
        <v>0</v>
      </c>
      <c r="AC400" s="90">
        <f>Ruimtestaat[[#This Row],[Uitvoeringen weekend]]*Ruimtestaat[[#This Row],[Oppervlak (netto)]]</f>
        <v>0</v>
      </c>
      <c r="AD400" s="93">
        <f>IF(AC400&gt;0,Ruimtestaat[[#This Row],[Prest. (m2 /jaar) weekend]]/Ruimtestaat[[#This Row],[Norm (m2/uur) weekend]],0)</f>
        <v>0</v>
      </c>
      <c r="AE400" s="94">
        <f>Ruimtestaat[[#This Row],[uren / jaar weekend]]*Tariefsopbouw!$D$40</f>
        <v>0</v>
      </c>
      <c r="AF400" s="66">
        <f>Ruimtestaat[[#This Row],[Prest. (m2 /jaar) weekend]]+Ruimtestaat[[#This Row],[Prest. (m2 /jaar) werkdagen]]</f>
        <v>2520</v>
      </c>
      <c r="AG400" s="66">
        <f>Ruimtestaat[[#This Row],[uren / jaar weekend]]+Ruimtestaat[[#This Row],[uren / jaar werkdagen]]</f>
        <v>0</v>
      </c>
      <c r="AH400" s="67">
        <f>Ruimtestaat[[#This Row],[kosten / jaar weekend]]+Ruimtestaat[[#This Row],[kosten / jaar werkdagen]]</f>
        <v>0</v>
      </c>
    </row>
    <row r="401" spans="1:34" ht="15" customHeight="1">
      <c r="A401" s="112">
        <v>3</v>
      </c>
      <c r="B401" s="23" t="str">
        <f>VLOOKUP(Ruimtestaat[[#This Row],[Code]],Locaties[#All],2,FALSE)</f>
        <v>RSG N.O. Veluwe</v>
      </c>
      <c r="C401" s="23" t="str">
        <f>VLOOKUP(Ruimtestaat[[#This Row],[Code]],Locaties[#All],4,FALSE)</f>
        <v>Schotweg 1</v>
      </c>
      <c r="D401" s="23" t="str">
        <f>VLOOKUP(Ruimtestaat[[#This Row],[Code]],Locaties[#All],5,FALSE)</f>
        <v>8162 GM</v>
      </c>
      <c r="E401" s="23" t="str">
        <f>VLOOKUP(Ruimtestaat[[#This Row],[Code]],Locaties[#All],6,FALSE)</f>
        <v>Epe</v>
      </c>
      <c r="F401" s="23" t="s">
        <v>1108</v>
      </c>
      <c r="G401" s="60"/>
      <c r="H401" s="23" t="s">
        <v>1298</v>
      </c>
      <c r="I401" s="23" t="s">
        <v>1164</v>
      </c>
      <c r="J401" s="3" t="s">
        <v>1165</v>
      </c>
      <c r="K401" s="23">
        <v>16</v>
      </c>
      <c r="L401" s="60" t="str">
        <f>VLOOKUP(K401,Ruimtegroepen[],2,FALSE)</f>
        <v>Leslokalen theorie</v>
      </c>
      <c r="M401" s="23" t="s">
        <v>1094</v>
      </c>
      <c r="N401" s="23" t="s">
        <v>1095</v>
      </c>
      <c r="O401" s="86">
        <v>100</v>
      </c>
      <c r="P401" s="86"/>
      <c r="Q401" s="95" t="str">
        <f>LEFT(VLOOKUP(Ruimtestaat[[#This Row],[Ruimte code]],Ruimtegroepen[#All],4,1),2)</f>
        <v xml:space="preserve">L </v>
      </c>
      <c r="R401" s="95"/>
      <c r="S401" s="87">
        <v>40</v>
      </c>
      <c r="T401" s="87" t="s">
        <v>2</v>
      </c>
      <c r="U401" s="88">
        <f>IF(S401&gt;0,IF(RIGHT(Ruimtestaat[[#This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01" s="88">
        <f>IF(U401&gt;0,VLOOKUP($K401,Ruimtegroepen[],3,FALSE)*VLOOKUP($M401,Vloersoorten[],3,FALSE)*VLOOKUP($T401,Frequenties[],3,FALSE)*VLOOKUP($A401,Locaties[],3,FALSE),0)</f>
        <v>0</v>
      </c>
      <c r="W401" s="89">
        <f>Ruimtestaat[[#This Row],[Uitvoeringen werkdagen]]*Ruimtestaat[[#This Row],[Oppervlak (netto)]]</f>
        <v>20000</v>
      </c>
      <c r="X401" s="90">
        <f>IF(V401&gt;0,Ruimtestaat[[#This Row],[Prest. (m2 /jaar) werkdagen]]/Ruimtestaat[[#This Row],[Norm (m2/uur) werkdagen]],0)</f>
        <v>0</v>
      </c>
      <c r="Y401" s="91">
        <f>Ruimtestaat[[#This Row],[uren / jaar werkdagen]]*Tariefsopbouw!$E$35</f>
        <v>0</v>
      </c>
      <c r="Z401" s="88"/>
      <c r="AA401" s="92">
        <f>IF(Ruimtestaat[[#This Row],[Frequentie weekend]]&gt;0,VALUE(LEFT(Z401,1))*S401,0)</f>
        <v>0</v>
      </c>
      <c r="AB401" s="88">
        <f>IF($AA401&gt;0,VLOOKUP($K401,Ruimtegroepen[],3,FALSE)*VLOOKUP($M401,Vloersoorten[],3,FALSE)*VLOOKUP($Z401,Frequenties[],3,FALSE)*VLOOKUP(#REF!,Locaties[],3,FALSE),0)</f>
        <v>0</v>
      </c>
      <c r="AC401" s="90">
        <f>Ruimtestaat[[#This Row],[Uitvoeringen weekend]]*Ruimtestaat[[#This Row],[Oppervlak (netto)]]</f>
        <v>0</v>
      </c>
      <c r="AD401" s="93">
        <f>IF(AC401&gt;0,Ruimtestaat[[#This Row],[Prest. (m2 /jaar) weekend]]/Ruimtestaat[[#This Row],[Norm (m2/uur) weekend]],0)</f>
        <v>0</v>
      </c>
      <c r="AE401" s="94">
        <f>Ruimtestaat[[#This Row],[uren / jaar weekend]]*Tariefsopbouw!$D$40</f>
        <v>0</v>
      </c>
      <c r="AF401" s="66">
        <f>Ruimtestaat[[#This Row],[Prest. (m2 /jaar) weekend]]+Ruimtestaat[[#This Row],[Prest. (m2 /jaar) werkdagen]]</f>
        <v>20000</v>
      </c>
      <c r="AG401" s="66">
        <f>Ruimtestaat[[#This Row],[uren / jaar weekend]]+Ruimtestaat[[#This Row],[uren / jaar werkdagen]]</f>
        <v>0</v>
      </c>
      <c r="AH401" s="67">
        <f>Ruimtestaat[[#This Row],[kosten / jaar weekend]]+Ruimtestaat[[#This Row],[kosten / jaar werkdagen]]</f>
        <v>0</v>
      </c>
    </row>
    <row r="402" spans="1:34" ht="15" customHeight="1">
      <c r="A402" s="112">
        <v>3</v>
      </c>
      <c r="B402" s="23" t="str">
        <f>VLOOKUP(Ruimtestaat[[#This Row],[Code]],Locaties[#All],2,FALSE)</f>
        <v>RSG N.O. Veluwe</v>
      </c>
      <c r="C402" s="23" t="str">
        <f>VLOOKUP(Ruimtestaat[[#This Row],[Code]],Locaties[#All],4,FALSE)</f>
        <v>Schotweg 1</v>
      </c>
      <c r="D402" s="23" t="str">
        <f>VLOOKUP(Ruimtestaat[[#This Row],[Code]],Locaties[#All],5,FALSE)</f>
        <v>8162 GM</v>
      </c>
      <c r="E402" s="23" t="str">
        <f>VLOOKUP(Ruimtestaat[[#This Row],[Code]],Locaties[#All],6,FALSE)</f>
        <v>Epe</v>
      </c>
      <c r="F402" s="23" t="s">
        <v>1108</v>
      </c>
      <c r="G402" s="60"/>
      <c r="H402" s="23" t="s">
        <v>1298</v>
      </c>
      <c r="I402" s="23" t="s">
        <v>1166</v>
      </c>
      <c r="J402" s="3" t="s">
        <v>1167</v>
      </c>
      <c r="K402" s="23">
        <v>1</v>
      </c>
      <c r="L402" s="60" t="str">
        <f>VLOOKUP(K402,Ruimtegroepen[],2,FALSE)</f>
        <v>Magazijnen/bergingen</v>
      </c>
      <c r="M402" s="23" t="s">
        <v>1300</v>
      </c>
      <c r="N402" s="23" t="s">
        <v>1301</v>
      </c>
      <c r="O402" s="86">
        <v>12</v>
      </c>
      <c r="P402" s="86"/>
      <c r="Q402" s="95" t="str">
        <f>LEFT(VLOOKUP(Ruimtestaat[[#This Row],[Ruimte code]],Ruimtegroepen[#All],4,1),2)</f>
        <v xml:space="preserve">V </v>
      </c>
      <c r="R402" s="95"/>
      <c r="S402" s="87">
        <v>40</v>
      </c>
      <c r="T402" s="87" t="s">
        <v>15</v>
      </c>
      <c r="U402" s="88">
        <f>IF(S402&gt;0,IF(RIGHT(Ruimtestaat[[#This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V402" s="88">
        <f>IF(U402&gt;0,VLOOKUP($K402,Ruimtegroepen[],3,FALSE)*VLOOKUP($M402,Vloersoorten[],3,FALSE)*VLOOKUP($T402,Frequenties[],3,FALSE)*VLOOKUP($A402,Locaties[],3,FALSE),0)</f>
        <v>0</v>
      </c>
      <c r="W402" s="89">
        <f>Ruimtestaat[[#This Row],[Uitvoeringen werkdagen]]*Ruimtestaat[[#This Row],[Oppervlak (netto)]]</f>
        <v>480</v>
      </c>
      <c r="X402" s="90">
        <f>IF(V402&gt;0,Ruimtestaat[[#This Row],[Prest. (m2 /jaar) werkdagen]]/Ruimtestaat[[#This Row],[Norm (m2/uur) werkdagen]],0)</f>
        <v>0</v>
      </c>
      <c r="Y402" s="91">
        <f>Ruimtestaat[[#This Row],[uren / jaar werkdagen]]*Tariefsopbouw!$E$35</f>
        <v>0</v>
      </c>
      <c r="Z402" s="88"/>
      <c r="AA402" s="92">
        <f>IF(Ruimtestaat[[#This Row],[Frequentie weekend]]&gt;0,VALUE(LEFT(Z402,1))*S402,0)</f>
        <v>0</v>
      </c>
      <c r="AB402" s="88">
        <f>IF($AA402&gt;0,VLOOKUP($K402,Ruimtegroepen[],3,FALSE)*VLOOKUP($M402,Vloersoorten[],3,FALSE)*VLOOKUP($Z402,Frequenties[],3,FALSE)*VLOOKUP(#REF!,Locaties[],3,FALSE),0)</f>
        <v>0</v>
      </c>
      <c r="AC402" s="90">
        <f>Ruimtestaat[[#This Row],[Uitvoeringen weekend]]*Ruimtestaat[[#This Row],[Oppervlak (netto)]]</f>
        <v>0</v>
      </c>
      <c r="AD402" s="93">
        <f>IF(AC402&gt;0,Ruimtestaat[[#This Row],[Prest. (m2 /jaar) weekend]]/Ruimtestaat[[#This Row],[Norm (m2/uur) weekend]],0)</f>
        <v>0</v>
      </c>
      <c r="AE402" s="94">
        <f>Ruimtestaat[[#This Row],[uren / jaar weekend]]*Tariefsopbouw!$D$40</f>
        <v>0</v>
      </c>
      <c r="AF402" s="66">
        <f>Ruimtestaat[[#This Row],[Prest. (m2 /jaar) weekend]]+Ruimtestaat[[#This Row],[Prest. (m2 /jaar) werkdagen]]</f>
        <v>480</v>
      </c>
      <c r="AG402" s="66">
        <f>Ruimtestaat[[#This Row],[uren / jaar weekend]]+Ruimtestaat[[#This Row],[uren / jaar werkdagen]]</f>
        <v>0</v>
      </c>
      <c r="AH402" s="67">
        <f>Ruimtestaat[[#This Row],[kosten / jaar weekend]]+Ruimtestaat[[#This Row],[kosten / jaar werkdagen]]</f>
        <v>0</v>
      </c>
    </row>
    <row r="403" spans="1:34" ht="15" customHeight="1">
      <c r="A403" s="112">
        <v>3</v>
      </c>
      <c r="B403" s="23" t="str">
        <f>VLOOKUP(Ruimtestaat[[#This Row],[Code]],Locaties[#All],2,FALSE)</f>
        <v>RSG N.O. Veluwe</v>
      </c>
      <c r="C403" s="23" t="str">
        <f>VLOOKUP(Ruimtestaat[[#This Row],[Code]],Locaties[#All],4,FALSE)</f>
        <v>Schotweg 1</v>
      </c>
      <c r="D403" s="23" t="str">
        <f>VLOOKUP(Ruimtestaat[[#This Row],[Code]],Locaties[#All],5,FALSE)</f>
        <v>8162 GM</v>
      </c>
      <c r="E403" s="23" t="str">
        <f>VLOOKUP(Ruimtestaat[[#This Row],[Code]],Locaties[#All],6,FALSE)</f>
        <v>Epe</v>
      </c>
      <c r="F403" s="23" t="s">
        <v>1108</v>
      </c>
      <c r="G403" s="60"/>
      <c r="H403" s="23" t="s">
        <v>1298</v>
      </c>
      <c r="I403" s="23" t="s">
        <v>1168</v>
      </c>
      <c r="J403" s="3" t="s">
        <v>1136</v>
      </c>
      <c r="K403" s="23">
        <v>5</v>
      </c>
      <c r="L403" s="60" t="str">
        <f>VLOOKUP(K403,Ruimtegroepen[],2,FALSE)</f>
        <v>Sanitair</v>
      </c>
      <c r="M403" s="23" t="s">
        <v>113</v>
      </c>
      <c r="N403" s="23" t="s">
        <v>1091</v>
      </c>
      <c r="O403" s="86">
        <v>23</v>
      </c>
      <c r="P403" s="86"/>
      <c r="Q403" s="95" t="str">
        <f>LEFT(VLOOKUP(Ruimtestaat[[#This Row],[Ruimte code]],Ruimtegroepen[#All],4,1),2)</f>
        <v xml:space="preserve">S </v>
      </c>
      <c r="R403" s="95"/>
      <c r="S403" s="87">
        <v>40</v>
      </c>
      <c r="T403" s="87" t="s">
        <v>2</v>
      </c>
      <c r="U403" s="88">
        <f>IF(S403&gt;0,IF(RIGHT(Ruimtestaat[[#This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03" s="88">
        <f>IF(U403&gt;0,VLOOKUP($K403,Ruimtegroepen[],3,FALSE)*VLOOKUP($M403,Vloersoorten[],3,FALSE)*VLOOKUP($T403,Frequenties[],3,FALSE)*VLOOKUP($A403,Locaties[],3,FALSE),0)</f>
        <v>0</v>
      </c>
      <c r="W403" s="89">
        <f>Ruimtestaat[[#This Row],[Uitvoeringen werkdagen]]*Ruimtestaat[[#This Row],[Oppervlak (netto)]]</f>
        <v>4600</v>
      </c>
      <c r="X403" s="90">
        <f>IF(V403&gt;0,Ruimtestaat[[#This Row],[Prest. (m2 /jaar) werkdagen]]/Ruimtestaat[[#This Row],[Norm (m2/uur) werkdagen]],0)</f>
        <v>0</v>
      </c>
      <c r="Y403" s="91">
        <f>Ruimtestaat[[#This Row],[uren / jaar werkdagen]]*Tariefsopbouw!$E$35</f>
        <v>0</v>
      </c>
      <c r="Z403" s="88"/>
      <c r="AA403" s="92">
        <f>IF(Ruimtestaat[[#This Row],[Frequentie weekend]]&gt;0,VALUE(LEFT(Z403,1))*S403,0)</f>
        <v>0</v>
      </c>
      <c r="AB403" s="88">
        <f>IF($AA403&gt;0,VLOOKUP($K403,Ruimtegroepen[],3,FALSE)*VLOOKUP($M403,Vloersoorten[],3,FALSE)*VLOOKUP($Z403,Frequenties[],3,FALSE)*VLOOKUP(#REF!,Locaties[],3,FALSE),0)</f>
        <v>0</v>
      </c>
      <c r="AC403" s="90">
        <f>Ruimtestaat[[#This Row],[Uitvoeringen weekend]]*Ruimtestaat[[#This Row],[Oppervlak (netto)]]</f>
        <v>0</v>
      </c>
      <c r="AD403" s="93">
        <f>IF(AC403&gt;0,Ruimtestaat[[#This Row],[Prest. (m2 /jaar) weekend]]/Ruimtestaat[[#This Row],[Norm (m2/uur) weekend]],0)</f>
        <v>0</v>
      </c>
      <c r="AE403" s="94">
        <f>Ruimtestaat[[#This Row],[uren / jaar weekend]]*Tariefsopbouw!$D$40</f>
        <v>0</v>
      </c>
      <c r="AF403" s="66">
        <f>Ruimtestaat[[#This Row],[Prest. (m2 /jaar) weekend]]+Ruimtestaat[[#This Row],[Prest. (m2 /jaar) werkdagen]]</f>
        <v>4600</v>
      </c>
      <c r="AG403" s="66">
        <f>Ruimtestaat[[#This Row],[uren / jaar weekend]]+Ruimtestaat[[#This Row],[uren / jaar werkdagen]]</f>
        <v>0</v>
      </c>
      <c r="AH403" s="67">
        <f>Ruimtestaat[[#This Row],[kosten / jaar weekend]]+Ruimtestaat[[#This Row],[kosten / jaar werkdagen]]</f>
        <v>0</v>
      </c>
    </row>
    <row r="404" spans="1:34" ht="15" customHeight="1">
      <c r="A404" s="112">
        <v>3</v>
      </c>
      <c r="B404" s="23" t="str">
        <f>VLOOKUP(Ruimtestaat[[#This Row],[Code]],Locaties[#All],2,FALSE)</f>
        <v>RSG N.O. Veluwe</v>
      </c>
      <c r="C404" s="23" t="str">
        <f>VLOOKUP(Ruimtestaat[[#This Row],[Code]],Locaties[#All],4,FALSE)</f>
        <v>Schotweg 1</v>
      </c>
      <c r="D404" s="23" t="str">
        <f>VLOOKUP(Ruimtestaat[[#This Row],[Code]],Locaties[#All],5,FALSE)</f>
        <v>8162 GM</v>
      </c>
      <c r="E404" s="23" t="str">
        <f>VLOOKUP(Ruimtestaat[[#This Row],[Code]],Locaties[#All],6,FALSE)</f>
        <v>Epe</v>
      </c>
      <c r="F404" s="23" t="s">
        <v>1108</v>
      </c>
      <c r="G404" s="60"/>
      <c r="H404" s="23" t="s">
        <v>1298</v>
      </c>
      <c r="I404" s="23" t="s">
        <v>1169</v>
      </c>
      <c r="J404" s="3" t="s">
        <v>1149</v>
      </c>
      <c r="K404" s="23">
        <v>5</v>
      </c>
      <c r="L404" s="60" t="str">
        <f>VLOOKUP(K404,Ruimtegroepen[],2,FALSE)</f>
        <v>Sanitair</v>
      </c>
      <c r="M404" s="23" t="s">
        <v>113</v>
      </c>
      <c r="N404" s="23" t="s">
        <v>1091</v>
      </c>
      <c r="O404" s="86">
        <v>23</v>
      </c>
      <c r="P404" s="86"/>
      <c r="Q404" s="95" t="str">
        <f>LEFT(VLOOKUP(Ruimtestaat[[#This Row],[Ruimte code]],Ruimtegroepen[#All],4,1),2)</f>
        <v xml:space="preserve">S </v>
      </c>
      <c r="R404" s="95"/>
      <c r="S404" s="87">
        <v>40</v>
      </c>
      <c r="T404" s="87" t="s">
        <v>2</v>
      </c>
      <c r="U404" s="88">
        <f>IF(S404&gt;0,IF(RIGHT(Ruimtestaat[[#This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04" s="88">
        <f>IF(U404&gt;0,VLOOKUP($K404,Ruimtegroepen[],3,FALSE)*VLOOKUP($M404,Vloersoorten[],3,FALSE)*VLOOKUP($T404,Frequenties[],3,FALSE)*VLOOKUP($A404,Locaties[],3,FALSE),0)</f>
        <v>0</v>
      </c>
      <c r="W404" s="89">
        <f>Ruimtestaat[[#This Row],[Uitvoeringen werkdagen]]*Ruimtestaat[[#This Row],[Oppervlak (netto)]]</f>
        <v>4600</v>
      </c>
      <c r="X404" s="90">
        <f>IF(V404&gt;0,Ruimtestaat[[#This Row],[Prest. (m2 /jaar) werkdagen]]/Ruimtestaat[[#This Row],[Norm (m2/uur) werkdagen]],0)</f>
        <v>0</v>
      </c>
      <c r="Y404" s="91">
        <f>Ruimtestaat[[#This Row],[uren / jaar werkdagen]]*Tariefsopbouw!$E$35</f>
        <v>0</v>
      </c>
      <c r="Z404" s="88"/>
      <c r="AA404" s="92">
        <f>IF(Ruimtestaat[[#This Row],[Frequentie weekend]]&gt;0,VALUE(LEFT(Z404,1))*S404,0)</f>
        <v>0</v>
      </c>
      <c r="AB404" s="88">
        <f>IF($AA404&gt;0,VLOOKUP($K404,Ruimtegroepen[],3,FALSE)*VLOOKUP($M404,Vloersoorten[],3,FALSE)*VLOOKUP($Z404,Frequenties[],3,FALSE)*VLOOKUP(#REF!,Locaties[],3,FALSE),0)</f>
        <v>0</v>
      </c>
      <c r="AC404" s="90">
        <f>Ruimtestaat[[#This Row],[Uitvoeringen weekend]]*Ruimtestaat[[#This Row],[Oppervlak (netto)]]</f>
        <v>0</v>
      </c>
      <c r="AD404" s="93">
        <f>IF(AC404&gt;0,Ruimtestaat[[#This Row],[Prest. (m2 /jaar) weekend]]/Ruimtestaat[[#This Row],[Norm (m2/uur) weekend]],0)</f>
        <v>0</v>
      </c>
      <c r="AE404" s="94">
        <f>Ruimtestaat[[#This Row],[uren / jaar weekend]]*Tariefsopbouw!$D$40</f>
        <v>0</v>
      </c>
      <c r="AF404" s="66">
        <f>Ruimtestaat[[#This Row],[Prest. (m2 /jaar) weekend]]+Ruimtestaat[[#This Row],[Prest. (m2 /jaar) werkdagen]]</f>
        <v>4600</v>
      </c>
      <c r="AG404" s="66">
        <f>Ruimtestaat[[#This Row],[uren / jaar weekend]]+Ruimtestaat[[#This Row],[uren / jaar werkdagen]]</f>
        <v>0</v>
      </c>
      <c r="AH404" s="67">
        <f>Ruimtestaat[[#This Row],[kosten / jaar weekend]]+Ruimtestaat[[#This Row],[kosten / jaar werkdagen]]</f>
        <v>0</v>
      </c>
    </row>
    <row r="405" spans="1:34" ht="15" customHeight="1">
      <c r="A405" s="112">
        <v>3</v>
      </c>
      <c r="B405" s="23" t="str">
        <f>VLOOKUP(Ruimtestaat[[#This Row],[Code]],Locaties[#All],2,FALSE)</f>
        <v>RSG N.O. Veluwe</v>
      </c>
      <c r="C405" s="23" t="str">
        <f>VLOOKUP(Ruimtestaat[[#This Row],[Code]],Locaties[#All],4,FALSE)</f>
        <v>Schotweg 1</v>
      </c>
      <c r="D405" s="23" t="str">
        <f>VLOOKUP(Ruimtestaat[[#This Row],[Code]],Locaties[#All],5,FALSE)</f>
        <v>8162 GM</v>
      </c>
      <c r="E405" s="23" t="str">
        <f>VLOOKUP(Ruimtestaat[[#This Row],[Code]],Locaties[#All],6,FALSE)</f>
        <v>Epe</v>
      </c>
      <c r="F405" s="23" t="s">
        <v>1108</v>
      </c>
      <c r="G405" s="60"/>
      <c r="H405" s="23" t="s">
        <v>1298</v>
      </c>
      <c r="I405" s="23" t="s">
        <v>1170</v>
      </c>
      <c r="J405" s="3" t="s">
        <v>1171</v>
      </c>
      <c r="K405" s="23">
        <v>12</v>
      </c>
      <c r="L405" s="60" t="str">
        <f>VLOOKUP(K405,Ruimtegroepen[],2,FALSE)</f>
        <v>Kantine</v>
      </c>
      <c r="M405" s="23" t="s">
        <v>1300</v>
      </c>
      <c r="N405" s="23" t="s">
        <v>1301</v>
      </c>
      <c r="O405" s="86">
        <v>100</v>
      </c>
      <c r="P405" s="86"/>
      <c r="Q405" s="95" t="str">
        <f>LEFT(VLOOKUP(Ruimtestaat[[#This Row],[Ruimte code]],Ruimtegroepen[#All],4,1),2)</f>
        <v xml:space="preserve">V </v>
      </c>
      <c r="R405" s="95"/>
      <c r="S405" s="87">
        <v>40</v>
      </c>
      <c r="T405" s="87" t="s">
        <v>2</v>
      </c>
      <c r="U405" s="88">
        <f>IF(S405&gt;0,IF(RIGHT(Ruimtestaat[[#This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05" s="88">
        <f>IF(U405&gt;0,VLOOKUP($K405,Ruimtegroepen[],3,FALSE)*VLOOKUP($M405,Vloersoorten[],3,FALSE)*VLOOKUP($T405,Frequenties[],3,FALSE)*VLOOKUP($A405,Locaties[],3,FALSE),0)</f>
        <v>0</v>
      </c>
      <c r="W405" s="89">
        <f>Ruimtestaat[[#This Row],[Uitvoeringen werkdagen]]*Ruimtestaat[[#This Row],[Oppervlak (netto)]]</f>
        <v>20000</v>
      </c>
      <c r="X405" s="90">
        <f>IF(V405&gt;0,Ruimtestaat[[#This Row],[Prest. (m2 /jaar) werkdagen]]/Ruimtestaat[[#This Row],[Norm (m2/uur) werkdagen]],0)</f>
        <v>0</v>
      </c>
      <c r="Y405" s="91">
        <f>Ruimtestaat[[#This Row],[uren / jaar werkdagen]]*Tariefsopbouw!$E$35</f>
        <v>0</v>
      </c>
      <c r="Z405" s="88"/>
      <c r="AA405" s="92">
        <f>IF(Ruimtestaat[[#This Row],[Frequentie weekend]]&gt;0,VALUE(LEFT(Z405,1))*S405,0)</f>
        <v>0</v>
      </c>
      <c r="AB405" s="88">
        <f>IF($AA405&gt;0,VLOOKUP($K405,Ruimtegroepen[],3,FALSE)*VLOOKUP($M405,Vloersoorten[],3,FALSE)*VLOOKUP($Z405,Frequenties[],3,FALSE)*VLOOKUP(#REF!,Locaties[],3,FALSE),0)</f>
        <v>0</v>
      </c>
      <c r="AC405" s="90">
        <f>Ruimtestaat[[#This Row],[Uitvoeringen weekend]]*Ruimtestaat[[#This Row],[Oppervlak (netto)]]</f>
        <v>0</v>
      </c>
      <c r="AD405" s="93">
        <f>IF(AC405&gt;0,Ruimtestaat[[#This Row],[Prest. (m2 /jaar) weekend]]/Ruimtestaat[[#This Row],[Norm (m2/uur) weekend]],0)</f>
        <v>0</v>
      </c>
      <c r="AE405" s="94">
        <f>Ruimtestaat[[#This Row],[uren / jaar weekend]]*Tariefsopbouw!$D$40</f>
        <v>0</v>
      </c>
      <c r="AF405" s="66">
        <f>Ruimtestaat[[#This Row],[Prest. (m2 /jaar) weekend]]+Ruimtestaat[[#This Row],[Prest. (m2 /jaar) werkdagen]]</f>
        <v>20000</v>
      </c>
      <c r="AG405" s="66">
        <f>Ruimtestaat[[#This Row],[uren / jaar weekend]]+Ruimtestaat[[#This Row],[uren / jaar werkdagen]]</f>
        <v>0</v>
      </c>
      <c r="AH405" s="67">
        <f>Ruimtestaat[[#This Row],[kosten / jaar weekend]]+Ruimtestaat[[#This Row],[kosten / jaar werkdagen]]</f>
        <v>0</v>
      </c>
    </row>
    <row r="406" spans="1:34" ht="15" customHeight="1">
      <c r="A406" s="112">
        <v>3</v>
      </c>
      <c r="B406" s="23" t="str">
        <f>VLOOKUP(Ruimtestaat[[#This Row],[Code]],Locaties[#All],2,FALSE)</f>
        <v>RSG N.O. Veluwe</v>
      </c>
      <c r="C406" s="23" t="str">
        <f>VLOOKUP(Ruimtestaat[[#This Row],[Code]],Locaties[#All],4,FALSE)</f>
        <v>Schotweg 1</v>
      </c>
      <c r="D406" s="23" t="str">
        <f>VLOOKUP(Ruimtestaat[[#This Row],[Code]],Locaties[#All],5,FALSE)</f>
        <v>8162 GM</v>
      </c>
      <c r="E406" s="23" t="str">
        <f>VLOOKUP(Ruimtestaat[[#This Row],[Code]],Locaties[#All],6,FALSE)</f>
        <v>Epe</v>
      </c>
      <c r="F406" s="23" t="s">
        <v>1108</v>
      </c>
      <c r="G406" s="60"/>
      <c r="H406" s="23" t="s">
        <v>1298</v>
      </c>
      <c r="I406" s="23" t="s">
        <v>1172</v>
      </c>
      <c r="J406" s="3" t="s">
        <v>1039</v>
      </c>
      <c r="K406" s="23">
        <v>12</v>
      </c>
      <c r="L406" s="60" t="str">
        <f>VLOOKUP(K406,Ruimtegroepen[],2,FALSE)</f>
        <v>Kantine</v>
      </c>
      <c r="M406" s="23" t="s">
        <v>1300</v>
      </c>
      <c r="N406" s="23" t="s">
        <v>1301</v>
      </c>
      <c r="O406" s="86">
        <v>250</v>
      </c>
      <c r="P406" s="86"/>
      <c r="Q406" s="95" t="str">
        <f>LEFT(VLOOKUP(Ruimtestaat[[#This Row],[Ruimte code]],Ruimtegroepen[#All],4,1),2)</f>
        <v xml:space="preserve">V </v>
      </c>
      <c r="R406" s="95"/>
      <c r="S406" s="87">
        <v>40</v>
      </c>
      <c r="T406" s="87" t="s">
        <v>2</v>
      </c>
      <c r="U406" s="88">
        <f>IF(S406&gt;0,IF(RIGHT(Ruimtestaat[[#This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06" s="88">
        <f>IF(U406&gt;0,VLOOKUP($K406,Ruimtegroepen[],3,FALSE)*VLOOKUP($M406,Vloersoorten[],3,FALSE)*VLOOKUP($T406,Frequenties[],3,FALSE)*VLOOKUP($A406,Locaties[],3,FALSE),0)</f>
        <v>0</v>
      </c>
      <c r="W406" s="89">
        <f>Ruimtestaat[[#This Row],[Uitvoeringen werkdagen]]*Ruimtestaat[[#This Row],[Oppervlak (netto)]]</f>
        <v>50000</v>
      </c>
      <c r="X406" s="90">
        <f>IF(V406&gt;0,Ruimtestaat[[#This Row],[Prest. (m2 /jaar) werkdagen]]/Ruimtestaat[[#This Row],[Norm (m2/uur) werkdagen]],0)</f>
        <v>0</v>
      </c>
      <c r="Y406" s="91">
        <f>Ruimtestaat[[#This Row],[uren / jaar werkdagen]]*Tariefsopbouw!$E$35</f>
        <v>0</v>
      </c>
      <c r="Z406" s="88"/>
      <c r="AA406" s="92">
        <f>IF(Ruimtestaat[[#This Row],[Frequentie weekend]]&gt;0,VALUE(LEFT(Z406,1))*S406,0)</f>
        <v>0</v>
      </c>
      <c r="AB406" s="88">
        <f>IF($AA406&gt;0,VLOOKUP($K406,Ruimtegroepen[],3,FALSE)*VLOOKUP($M406,Vloersoorten[],3,FALSE)*VLOOKUP($Z406,Frequenties[],3,FALSE)*VLOOKUP(#REF!,Locaties[],3,FALSE),0)</f>
        <v>0</v>
      </c>
      <c r="AC406" s="90">
        <f>Ruimtestaat[[#This Row],[Uitvoeringen weekend]]*Ruimtestaat[[#This Row],[Oppervlak (netto)]]</f>
        <v>0</v>
      </c>
      <c r="AD406" s="93">
        <f>IF(AC406&gt;0,Ruimtestaat[[#This Row],[Prest. (m2 /jaar) weekend]]/Ruimtestaat[[#This Row],[Norm (m2/uur) weekend]],0)</f>
        <v>0</v>
      </c>
      <c r="AE406" s="94">
        <f>Ruimtestaat[[#This Row],[uren / jaar weekend]]*Tariefsopbouw!$D$40</f>
        <v>0</v>
      </c>
      <c r="AF406" s="66">
        <f>Ruimtestaat[[#This Row],[Prest. (m2 /jaar) weekend]]+Ruimtestaat[[#This Row],[Prest. (m2 /jaar) werkdagen]]</f>
        <v>50000</v>
      </c>
      <c r="AG406" s="66">
        <f>Ruimtestaat[[#This Row],[uren / jaar weekend]]+Ruimtestaat[[#This Row],[uren / jaar werkdagen]]</f>
        <v>0</v>
      </c>
      <c r="AH406" s="67">
        <f>Ruimtestaat[[#This Row],[kosten / jaar weekend]]+Ruimtestaat[[#This Row],[kosten / jaar werkdagen]]</f>
        <v>0</v>
      </c>
    </row>
    <row r="407" spans="1:34" ht="15" customHeight="1">
      <c r="A407" s="112">
        <v>3</v>
      </c>
      <c r="B407" s="23" t="str">
        <f>VLOOKUP(Ruimtestaat[[#This Row],[Code]],Locaties[#All],2,FALSE)</f>
        <v>RSG N.O. Veluwe</v>
      </c>
      <c r="C407" s="23" t="str">
        <f>VLOOKUP(Ruimtestaat[[#This Row],[Code]],Locaties[#All],4,FALSE)</f>
        <v>Schotweg 1</v>
      </c>
      <c r="D407" s="23" t="str">
        <f>VLOOKUP(Ruimtestaat[[#This Row],[Code]],Locaties[#All],5,FALSE)</f>
        <v>8162 GM</v>
      </c>
      <c r="E407" s="23" t="str">
        <f>VLOOKUP(Ruimtestaat[[#This Row],[Code]],Locaties[#All],6,FALSE)</f>
        <v>Epe</v>
      </c>
      <c r="F407" s="23" t="s">
        <v>1108</v>
      </c>
      <c r="G407" s="60"/>
      <c r="H407" s="23" t="s">
        <v>1298</v>
      </c>
      <c r="I407" s="23" t="s">
        <v>1173</v>
      </c>
      <c r="J407" s="3" t="s">
        <v>1119</v>
      </c>
      <c r="K407" s="23">
        <v>2</v>
      </c>
      <c r="L407" s="60" t="str">
        <f>VLOOKUP(K407,Ruimtegroepen[],2,FALSE)</f>
        <v>Kantoren</v>
      </c>
      <c r="M407" s="23" t="s">
        <v>1094</v>
      </c>
      <c r="N407" s="23" t="s">
        <v>1095</v>
      </c>
      <c r="O407" s="86">
        <v>13</v>
      </c>
      <c r="P407" s="86"/>
      <c r="Q407" s="95" t="str">
        <f>LEFT(VLOOKUP(Ruimtestaat[[#This Row],[Ruimte code]],Ruimtegroepen[#All],4,1),2)</f>
        <v xml:space="preserve">B </v>
      </c>
      <c r="R407" s="95"/>
      <c r="S407" s="87">
        <v>42</v>
      </c>
      <c r="T407" s="87" t="s">
        <v>2</v>
      </c>
      <c r="U407" s="88">
        <f>IF(S407&gt;0,IF(RIGHT(Ruimtestaat[[#This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07" s="88">
        <f>IF(U407&gt;0,VLOOKUP($K407,Ruimtegroepen[],3,FALSE)*VLOOKUP($M407,Vloersoorten[],3,FALSE)*VLOOKUP($T407,Frequenties[],3,FALSE)*VLOOKUP($A407,Locaties[],3,FALSE),0)</f>
        <v>0</v>
      </c>
      <c r="W407" s="89">
        <f>Ruimtestaat[[#This Row],[Uitvoeringen werkdagen]]*Ruimtestaat[[#This Row],[Oppervlak (netto)]]</f>
        <v>2730</v>
      </c>
      <c r="X407" s="90">
        <f>IF(V407&gt;0,Ruimtestaat[[#This Row],[Prest. (m2 /jaar) werkdagen]]/Ruimtestaat[[#This Row],[Norm (m2/uur) werkdagen]],0)</f>
        <v>0</v>
      </c>
      <c r="Y407" s="91">
        <f>Ruimtestaat[[#This Row],[uren / jaar werkdagen]]*Tariefsopbouw!$E$35</f>
        <v>0</v>
      </c>
      <c r="Z407" s="88"/>
      <c r="AA407" s="92">
        <f>IF(Ruimtestaat[[#This Row],[Frequentie weekend]]&gt;0,VALUE(LEFT(Z407,1))*S407,0)</f>
        <v>0</v>
      </c>
      <c r="AB407" s="88">
        <f>IF($AA407&gt;0,VLOOKUP($K407,Ruimtegroepen[],3,FALSE)*VLOOKUP($M407,Vloersoorten[],3,FALSE)*VLOOKUP($Z407,Frequenties[],3,FALSE)*VLOOKUP(#REF!,Locaties[],3,FALSE),0)</f>
        <v>0</v>
      </c>
      <c r="AC407" s="90">
        <f>Ruimtestaat[[#This Row],[Uitvoeringen weekend]]*Ruimtestaat[[#This Row],[Oppervlak (netto)]]</f>
        <v>0</v>
      </c>
      <c r="AD407" s="93">
        <f>IF(AC407&gt;0,Ruimtestaat[[#This Row],[Prest. (m2 /jaar) weekend]]/Ruimtestaat[[#This Row],[Norm (m2/uur) weekend]],0)</f>
        <v>0</v>
      </c>
      <c r="AE407" s="94">
        <f>Ruimtestaat[[#This Row],[uren / jaar weekend]]*Tariefsopbouw!$D$40</f>
        <v>0</v>
      </c>
      <c r="AF407" s="66">
        <f>Ruimtestaat[[#This Row],[Prest. (m2 /jaar) weekend]]+Ruimtestaat[[#This Row],[Prest. (m2 /jaar) werkdagen]]</f>
        <v>2730</v>
      </c>
      <c r="AG407" s="66">
        <f>Ruimtestaat[[#This Row],[uren / jaar weekend]]+Ruimtestaat[[#This Row],[uren / jaar werkdagen]]</f>
        <v>0</v>
      </c>
      <c r="AH407" s="67">
        <f>Ruimtestaat[[#This Row],[kosten / jaar weekend]]+Ruimtestaat[[#This Row],[kosten / jaar werkdagen]]</f>
        <v>0</v>
      </c>
    </row>
    <row r="408" spans="1:34" ht="15" customHeight="1">
      <c r="A408" s="112">
        <v>3</v>
      </c>
      <c r="B408" s="23" t="str">
        <f>VLOOKUP(Ruimtestaat[[#This Row],[Code]],Locaties[#All],2,FALSE)</f>
        <v>RSG N.O. Veluwe</v>
      </c>
      <c r="C408" s="23" t="str">
        <f>VLOOKUP(Ruimtestaat[[#This Row],[Code]],Locaties[#All],4,FALSE)</f>
        <v>Schotweg 1</v>
      </c>
      <c r="D408" s="23" t="str">
        <f>VLOOKUP(Ruimtestaat[[#This Row],[Code]],Locaties[#All],5,FALSE)</f>
        <v>8162 GM</v>
      </c>
      <c r="E408" s="23" t="str">
        <f>VLOOKUP(Ruimtestaat[[#This Row],[Code]],Locaties[#All],6,FALSE)</f>
        <v>Epe</v>
      </c>
      <c r="F408" s="23" t="s">
        <v>1108</v>
      </c>
      <c r="G408" s="60"/>
      <c r="H408" s="23" t="s">
        <v>1298</v>
      </c>
      <c r="J408" s="3" t="s">
        <v>1174</v>
      </c>
      <c r="K408" s="23">
        <v>6</v>
      </c>
      <c r="L408" s="60" t="str">
        <f>VLOOKUP(K408,Ruimtegroepen[],2,FALSE)</f>
        <v>Gangen/hallen</v>
      </c>
      <c r="M408" s="23" t="s">
        <v>113</v>
      </c>
      <c r="N408" s="23" t="s">
        <v>1302</v>
      </c>
      <c r="O408" s="86">
        <v>330</v>
      </c>
      <c r="P408" s="86"/>
      <c r="Q408" s="95" t="str">
        <f>LEFT(VLOOKUP(Ruimtestaat[[#This Row],[Ruimte code]],Ruimtegroepen[#All],4,1),2)</f>
        <v xml:space="preserve">V </v>
      </c>
      <c r="R408" s="95"/>
      <c r="S408" s="87">
        <v>42</v>
      </c>
      <c r="T408" s="87" t="s">
        <v>2</v>
      </c>
      <c r="U408" s="88">
        <f>IF(S408&gt;0,IF(RIGHT(Ruimtestaat[[#This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08" s="88">
        <f>IF(U408&gt;0,VLOOKUP($K408,Ruimtegroepen[],3,FALSE)*VLOOKUP($M408,Vloersoorten[],3,FALSE)*VLOOKUP($T408,Frequenties[],3,FALSE)*VLOOKUP($A408,Locaties[],3,FALSE),0)</f>
        <v>0</v>
      </c>
      <c r="W408" s="89">
        <f>Ruimtestaat[[#This Row],[Uitvoeringen werkdagen]]*Ruimtestaat[[#This Row],[Oppervlak (netto)]]</f>
        <v>69300</v>
      </c>
      <c r="X408" s="90">
        <f>IF(V408&gt;0,Ruimtestaat[[#This Row],[Prest. (m2 /jaar) werkdagen]]/Ruimtestaat[[#This Row],[Norm (m2/uur) werkdagen]],0)</f>
        <v>0</v>
      </c>
      <c r="Y408" s="91">
        <f>Ruimtestaat[[#This Row],[uren / jaar werkdagen]]*Tariefsopbouw!$E$35</f>
        <v>0</v>
      </c>
      <c r="Z408" s="88"/>
      <c r="AA408" s="92">
        <f>IF(Ruimtestaat[[#This Row],[Frequentie weekend]]&gt;0,VALUE(LEFT(Z408,1))*S408,0)</f>
        <v>0</v>
      </c>
      <c r="AB408" s="88">
        <f>IF($AA408&gt;0,VLOOKUP($K408,Ruimtegroepen[],3,FALSE)*VLOOKUP($M408,Vloersoorten[],3,FALSE)*VLOOKUP($Z408,Frequenties[],3,FALSE)*VLOOKUP(#REF!,Locaties[],3,FALSE),0)</f>
        <v>0</v>
      </c>
      <c r="AC408" s="90">
        <f>Ruimtestaat[[#This Row],[Uitvoeringen weekend]]*Ruimtestaat[[#This Row],[Oppervlak (netto)]]</f>
        <v>0</v>
      </c>
      <c r="AD408" s="93">
        <f>IF(AC408&gt;0,Ruimtestaat[[#This Row],[Prest. (m2 /jaar) weekend]]/Ruimtestaat[[#This Row],[Norm (m2/uur) weekend]],0)</f>
        <v>0</v>
      </c>
      <c r="AE408" s="94">
        <f>Ruimtestaat[[#This Row],[uren / jaar weekend]]*Tariefsopbouw!$D$40</f>
        <v>0</v>
      </c>
      <c r="AF408" s="66">
        <f>Ruimtestaat[[#This Row],[Prest. (m2 /jaar) weekend]]+Ruimtestaat[[#This Row],[Prest. (m2 /jaar) werkdagen]]</f>
        <v>69300</v>
      </c>
      <c r="AG408" s="66">
        <f>Ruimtestaat[[#This Row],[uren / jaar weekend]]+Ruimtestaat[[#This Row],[uren / jaar werkdagen]]</f>
        <v>0</v>
      </c>
      <c r="AH408" s="67">
        <f>Ruimtestaat[[#This Row],[kosten / jaar weekend]]+Ruimtestaat[[#This Row],[kosten / jaar werkdagen]]</f>
        <v>0</v>
      </c>
    </row>
    <row r="409" spans="1:34" ht="15" customHeight="1">
      <c r="A409" s="112">
        <v>3</v>
      </c>
      <c r="B409" s="23" t="str">
        <f>VLOOKUP(Ruimtestaat[[#This Row],[Code]],Locaties[#All],2,FALSE)</f>
        <v>RSG N.O. Veluwe</v>
      </c>
      <c r="C409" s="23" t="str">
        <f>VLOOKUP(Ruimtestaat[[#This Row],[Code]],Locaties[#All],4,FALSE)</f>
        <v>Schotweg 1</v>
      </c>
      <c r="D409" s="23" t="str">
        <f>VLOOKUP(Ruimtestaat[[#This Row],[Code]],Locaties[#All],5,FALSE)</f>
        <v>8162 GM</v>
      </c>
      <c r="E409" s="23" t="str">
        <f>VLOOKUP(Ruimtestaat[[#This Row],[Code]],Locaties[#All],6,FALSE)</f>
        <v>Epe</v>
      </c>
      <c r="F409" s="23" t="s">
        <v>1108</v>
      </c>
      <c r="G409" s="60"/>
      <c r="H409" s="23" t="s">
        <v>1298</v>
      </c>
      <c r="J409" s="3" t="s">
        <v>1175</v>
      </c>
      <c r="K409" s="23">
        <v>6</v>
      </c>
      <c r="L409" s="60" t="str">
        <f>VLOOKUP(K409,Ruimtegroepen[],2,FALSE)</f>
        <v>Gangen/hallen</v>
      </c>
      <c r="M409" s="23" t="s">
        <v>1300</v>
      </c>
      <c r="N409" s="23" t="s">
        <v>1301</v>
      </c>
      <c r="O409" s="86">
        <v>38</v>
      </c>
      <c r="P409" s="86"/>
      <c r="Q409" s="95" t="str">
        <f>LEFT(VLOOKUP(Ruimtestaat[[#This Row],[Ruimte code]],Ruimtegroepen[#All],4,1),2)</f>
        <v xml:space="preserve">V </v>
      </c>
      <c r="R409" s="95"/>
      <c r="S409" s="87">
        <v>42</v>
      </c>
      <c r="T409" s="87" t="s">
        <v>2</v>
      </c>
      <c r="U409" s="88">
        <f>IF(S409&gt;0,IF(RIGHT(Ruimtestaat[[#This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09" s="88">
        <f>IF(U409&gt;0,VLOOKUP($K409,Ruimtegroepen[],3,FALSE)*VLOOKUP($M409,Vloersoorten[],3,FALSE)*VLOOKUP($T409,Frequenties[],3,FALSE)*VLOOKUP($A409,Locaties[],3,FALSE),0)</f>
        <v>0</v>
      </c>
      <c r="W409" s="89">
        <f>Ruimtestaat[[#This Row],[Uitvoeringen werkdagen]]*Ruimtestaat[[#This Row],[Oppervlak (netto)]]</f>
        <v>7980</v>
      </c>
      <c r="X409" s="90">
        <f>IF(V409&gt;0,Ruimtestaat[[#This Row],[Prest. (m2 /jaar) werkdagen]]/Ruimtestaat[[#This Row],[Norm (m2/uur) werkdagen]],0)</f>
        <v>0</v>
      </c>
      <c r="Y409" s="91">
        <f>Ruimtestaat[[#This Row],[uren / jaar werkdagen]]*Tariefsopbouw!$E$35</f>
        <v>0</v>
      </c>
      <c r="Z409" s="88"/>
      <c r="AA409" s="92">
        <f>IF(Ruimtestaat[[#This Row],[Frequentie weekend]]&gt;0,VALUE(LEFT(Z409,1))*S409,0)</f>
        <v>0</v>
      </c>
      <c r="AB409" s="88">
        <f>IF($AA409&gt;0,VLOOKUP($K409,Ruimtegroepen[],3,FALSE)*VLOOKUP($M409,Vloersoorten[],3,FALSE)*VLOOKUP($Z409,Frequenties[],3,FALSE)*VLOOKUP(#REF!,Locaties[],3,FALSE),0)</f>
        <v>0</v>
      </c>
      <c r="AC409" s="90">
        <f>Ruimtestaat[[#This Row],[Uitvoeringen weekend]]*Ruimtestaat[[#This Row],[Oppervlak (netto)]]</f>
        <v>0</v>
      </c>
      <c r="AD409" s="93">
        <f>IF(AC409&gt;0,Ruimtestaat[[#This Row],[Prest. (m2 /jaar) weekend]]/Ruimtestaat[[#This Row],[Norm (m2/uur) weekend]],0)</f>
        <v>0</v>
      </c>
      <c r="AE409" s="94">
        <f>Ruimtestaat[[#This Row],[uren / jaar weekend]]*Tariefsopbouw!$D$40</f>
        <v>0</v>
      </c>
      <c r="AF409" s="66">
        <f>Ruimtestaat[[#This Row],[Prest. (m2 /jaar) weekend]]+Ruimtestaat[[#This Row],[Prest. (m2 /jaar) werkdagen]]</f>
        <v>7980</v>
      </c>
      <c r="AG409" s="66">
        <f>Ruimtestaat[[#This Row],[uren / jaar weekend]]+Ruimtestaat[[#This Row],[uren / jaar werkdagen]]</f>
        <v>0</v>
      </c>
      <c r="AH409" s="67">
        <f>Ruimtestaat[[#This Row],[kosten / jaar weekend]]+Ruimtestaat[[#This Row],[kosten / jaar werkdagen]]</f>
        <v>0</v>
      </c>
    </row>
    <row r="410" spans="1:34" ht="15" customHeight="1">
      <c r="A410" s="112">
        <v>3</v>
      </c>
      <c r="B410" s="23" t="str">
        <f>VLOOKUP(Ruimtestaat[[#This Row],[Code]],Locaties[#All],2,FALSE)</f>
        <v>RSG N.O. Veluwe</v>
      </c>
      <c r="C410" s="23" t="str">
        <f>VLOOKUP(Ruimtestaat[[#This Row],[Code]],Locaties[#All],4,FALSE)</f>
        <v>Schotweg 1</v>
      </c>
      <c r="D410" s="23" t="str">
        <f>VLOOKUP(Ruimtestaat[[#This Row],[Code]],Locaties[#All],5,FALSE)</f>
        <v>8162 GM</v>
      </c>
      <c r="E410" s="23" t="str">
        <f>VLOOKUP(Ruimtestaat[[#This Row],[Code]],Locaties[#All],6,FALSE)</f>
        <v>Epe</v>
      </c>
      <c r="F410" s="23" t="s">
        <v>1109</v>
      </c>
      <c r="G410" s="60"/>
      <c r="H410" s="23" t="s">
        <v>1298</v>
      </c>
      <c r="I410" s="23" t="s">
        <v>1176</v>
      </c>
      <c r="J410" s="3" t="s">
        <v>657</v>
      </c>
      <c r="K410" s="23">
        <v>22</v>
      </c>
      <c r="L410" s="60" t="str">
        <f>VLOOKUP(K410,Ruimtegroepen[],2,FALSE)</f>
        <v>Personeelskamer</v>
      </c>
      <c r="M410" s="23" t="s">
        <v>1094</v>
      </c>
      <c r="N410" s="23" t="s">
        <v>1095</v>
      </c>
      <c r="O410" s="86">
        <v>58</v>
      </c>
      <c r="P410" s="86"/>
      <c r="Q410" s="95" t="str">
        <f>LEFT(VLOOKUP(Ruimtestaat[[#This Row],[Ruimte code]],Ruimtegroepen[#All],4,1),2)</f>
        <v xml:space="preserve">V </v>
      </c>
      <c r="R410" s="95"/>
      <c r="S410" s="87">
        <v>42</v>
      </c>
      <c r="T410" s="87" t="s">
        <v>2</v>
      </c>
      <c r="U410" s="88">
        <f>IF(S410&gt;0,IF(RIGHT(Ruimtestaat[[#This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10" s="88">
        <f>IF(U410&gt;0,VLOOKUP($K410,Ruimtegroepen[],3,FALSE)*VLOOKUP($M410,Vloersoorten[],3,FALSE)*VLOOKUP($T410,Frequenties[],3,FALSE)*VLOOKUP($A410,Locaties[],3,FALSE),0)</f>
        <v>0</v>
      </c>
      <c r="W410" s="89">
        <f>Ruimtestaat[[#This Row],[Uitvoeringen werkdagen]]*Ruimtestaat[[#This Row],[Oppervlak (netto)]]</f>
        <v>12180</v>
      </c>
      <c r="X410" s="90">
        <f>IF(V410&gt;0,Ruimtestaat[[#This Row],[Prest. (m2 /jaar) werkdagen]]/Ruimtestaat[[#This Row],[Norm (m2/uur) werkdagen]],0)</f>
        <v>0</v>
      </c>
      <c r="Y410" s="91">
        <f>Ruimtestaat[[#This Row],[uren / jaar werkdagen]]*Tariefsopbouw!$E$35</f>
        <v>0</v>
      </c>
      <c r="Z410" s="88"/>
      <c r="AA410" s="92">
        <f>IF(Ruimtestaat[[#This Row],[Frequentie weekend]]&gt;0,VALUE(LEFT(Z410,1))*S410,0)</f>
        <v>0</v>
      </c>
      <c r="AB410" s="88">
        <f>IF($AA410&gt;0,VLOOKUP($K410,Ruimtegroepen[],3,FALSE)*VLOOKUP($M410,Vloersoorten[],3,FALSE)*VLOOKUP($Z410,Frequenties[],3,FALSE)*VLOOKUP(#REF!,Locaties[],3,FALSE),0)</f>
        <v>0</v>
      </c>
      <c r="AC410" s="90">
        <f>Ruimtestaat[[#This Row],[Uitvoeringen weekend]]*Ruimtestaat[[#This Row],[Oppervlak (netto)]]</f>
        <v>0</v>
      </c>
      <c r="AD410" s="93">
        <f>IF(AC410&gt;0,Ruimtestaat[[#This Row],[Prest. (m2 /jaar) weekend]]/Ruimtestaat[[#This Row],[Norm (m2/uur) weekend]],0)</f>
        <v>0</v>
      </c>
      <c r="AE410" s="94">
        <f>Ruimtestaat[[#This Row],[uren / jaar weekend]]*Tariefsopbouw!$D$40</f>
        <v>0</v>
      </c>
      <c r="AF410" s="66">
        <f>Ruimtestaat[[#This Row],[Prest. (m2 /jaar) weekend]]+Ruimtestaat[[#This Row],[Prest. (m2 /jaar) werkdagen]]</f>
        <v>12180</v>
      </c>
      <c r="AG410" s="66">
        <f>Ruimtestaat[[#This Row],[uren / jaar weekend]]+Ruimtestaat[[#This Row],[uren / jaar werkdagen]]</f>
        <v>0</v>
      </c>
      <c r="AH410" s="67">
        <f>Ruimtestaat[[#This Row],[kosten / jaar weekend]]+Ruimtestaat[[#This Row],[kosten / jaar werkdagen]]</f>
        <v>0</v>
      </c>
    </row>
    <row r="411" spans="1:34" ht="15" customHeight="1">
      <c r="A411" s="112">
        <v>3</v>
      </c>
      <c r="B411" s="23" t="str">
        <f>VLOOKUP(Ruimtestaat[[#This Row],[Code]],Locaties[#All],2,FALSE)</f>
        <v>RSG N.O. Veluwe</v>
      </c>
      <c r="C411" s="23" t="str">
        <f>VLOOKUP(Ruimtestaat[[#This Row],[Code]],Locaties[#All],4,FALSE)</f>
        <v>Schotweg 1</v>
      </c>
      <c r="D411" s="23" t="str">
        <f>VLOOKUP(Ruimtestaat[[#This Row],[Code]],Locaties[#All],5,FALSE)</f>
        <v>8162 GM</v>
      </c>
      <c r="E411" s="23" t="str">
        <f>VLOOKUP(Ruimtestaat[[#This Row],[Code]],Locaties[#All],6,FALSE)</f>
        <v>Epe</v>
      </c>
      <c r="F411" s="23" t="s">
        <v>1109</v>
      </c>
      <c r="G411" s="60"/>
      <c r="H411" s="23" t="s">
        <v>1298</v>
      </c>
      <c r="I411" s="23" t="s">
        <v>1177</v>
      </c>
      <c r="J411" s="3" t="s">
        <v>657</v>
      </c>
      <c r="K411" s="23">
        <v>22</v>
      </c>
      <c r="L411" s="60" t="str">
        <f>VLOOKUP(K411,Ruimtegroepen[],2,FALSE)</f>
        <v>Personeelskamer</v>
      </c>
      <c r="M411" s="23" t="s">
        <v>114</v>
      </c>
      <c r="N411" s="23" t="s">
        <v>1304</v>
      </c>
      <c r="O411" s="86">
        <v>53</v>
      </c>
      <c r="P411" s="86"/>
      <c r="Q411" s="95" t="str">
        <f>LEFT(VLOOKUP(Ruimtestaat[[#This Row],[Ruimte code]],Ruimtegroepen[#All],4,1),2)</f>
        <v xml:space="preserve">V </v>
      </c>
      <c r="R411" s="95"/>
      <c r="S411" s="87">
        <v>42</v>
      </c>
      <c r="T411" s="87" t="s">
        <v>2</v>
      </c>
      <c r="U411" s="88">
        <f>IF(S411&gt;0,IF(RIGHT(Ruimtestaat[[#This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11" s="88">
        <f>IF(U411&gt;0,VLOOKUP($K411,Ruimtegroepen[],3,FALSE)*VLOOKUP($M411,Vloersoorten[],3,FALSE)*VLOOKUP($T411,Frequenties[],3,FALSE)*VLOOKUP($A411,Locaties[],3,FALSE),0)</f>
        <v>0</v>
      </c>
      <c r="W411" s="89">
        <f>Ruimtestaat[[#This Row],[Uitvoeringen werkdagen]]*Ruimtestaat[[#This Row],[Oppervlak (netto)]]</f>
        <v>11130</v>
      </c>
      <c r="X411" s="90">
        <f>IF(V411&gt;0,Ruimtestaat[[#This Row],[Prest. (m2 /jaar) werkdagen]]/Ruimtestaat[[#This Row],[Norm (m2/uur) werkdagen]],0)</f>
        <v>0</v>
      </c>
      <c r="Y411" s="91">
        <f>Ruimtestaat[[#This Row],[uren / jaar werkdagen]]*Tariefsopbouw!$E$35</f>
        <v>0</v>
      </c>
      <c r="Z411" s="88"/>
      <c r="AA411" s="92">
        <f>IF(Ruimtestaat[[#This Row],[Frequentie weekend]]&gt;0,VALUE(LEFT(Z411,1))*S411,0)</f>
        <v>0</v>
      </c>
      <c r="AB411" s="88">
        <f>IF($AA411&gt;0,VLOOKUP($K411,Ruimtegroepen[],3,FALSE)*VLOOKUP($M411,Vloersoorten[],3,FALSE)*VLOOKUP($Z411,Frequenties[],3,FALSE)*VLOOKUP(#REF!,Locaties[],3,FALSE),0)</f>
        <v>0</v>
      </c>
      <c r="AC411" s="90">
        <f>Ruimtestaat[[#This Row],[Uitvoeringen weekend]]*Ruimtestaat[[#This Row],[Oppervlak (netto)]]</f>
        <v>0</v>
      </c>
      <c r="AD411" s="93">
        <f>IF(AC411&gt;0,Ruimtestaat[[#This Row],[Prest. (m2 /jaar) weekend]]/Ruimtestaat[[#This Row],[Norm (m2/uur) weekend]],0)</f>
        <v>0</v>
      </c>
      <c r="AE411" s="94">
        <f>Ruimtestaat[[#This Row],[uren / jaar weekend]]*Tariefsopbouw!$D$40</f>
        <v>0</v>
      </c>
      <c r="AF411" s="66">
        <f>Ruimtestaat[[#This Row],[Prest. (m2 /jaar) weekend]]+Ruimtestaat[[#This Row],[Prest. (m2 /jaar) werkdagen]]</f>
        <v>11130</v>
      </c>
      <c r="AG411" s="66">
        <f>Ruimtestaat[[#This Row],[uren / jaar weekend]]+Ruimtestaat[[#This Row],[uren / jaar werkdagen]]</f>
        <v>0</v>
      </c>
      <c r="AH411" s="67">
        <f>Ruimtestaat[[#This Row],[kosten / jaar weekend]]+Ruimtestaat[[#This Row],[kosten / jaar werkdagen]]</f>
        <v>0</v>
      </c>
    </row>
    <row r="412" spans="1:34" ht="15" customHeight="1">
      <c r="A412" s="112">
        <v>3</v>
      </c>
      <c r="B412" s="23" t="str">
        <f>VLOOKUP(Ruimtestaat[[#This Row],[Code]],Locaties[#All],2,FALSE)</f>
        <v>RSG N.O. Veluwe</v>
      </c>
      <c r="C412" s="23" t="str">
        <f>VLOOKUP(Ruimtestaat[[#This Row],[Code]],Locaties[#All],4,FALSE)</f>
        <v>Schotweg 1</v>
      </c>
      <c r="D412" s="23" t="str">
        <f>VLOOKUP(Ruimtestaat[[#This Row],[Code]],Locaties[#All],5,FALSE)</f>
        <v>8162 GM</v>
      </c>
      <c r="E412" s="23" t="str">
        <f>VLOOKUP(Ruimtestaat[[#This Row],[Code]],Locaties[#All],6,FALSE)</f>
        <v>Epe</v>
      </c>
      <c r="F412" s="23" t="s">
        <v>1109</v>
      </c>
      <c r="G412" s="60"/>
      <c r="H412" s="23" t="s">
        <v>1298</v>
      </c>
      <c r="I412" s="23" t="s">
        <v>1117</v>
      </c>
      <c r="J412" s="3" t="s">
        <v>1178</v>
      </c>
      <c r="K412" s="23">
        <v>2</v>
      </c>
      <c r="L412" s="60" t="str">
        <f>VLOOKUP(K412,Ruimtegroepen[],2,FALSE)</f>
        <v>Kantoren</v>
      </c>
      <c r="M412" s="23" t="s">
        <v>1094</v>
      </c>
      <c r="N412" s="23" t="s">
        <v>1095</v>
      </c>
      <c r="O412" s="86">
        <v>12</v>
      </c>
      <c r="P412" s="86"/>
      <c r="Q412" s="95" t="str">
        <f>LEFT(VLOOKUP(Ruimtestaat[[#This Row],[Ruimte code]],Ruimtegroepen[#All],4,1),2)</f>
        <v xml:space="preserve">B </v>
      </c>
      <c r="R412" s="95"/>
      <c r="S412" s="87">
        <v>42</v>
      </c>
      <c r="T412" s="87" t="s">
        <v>2</v>
      </c>
      <c r="U412" s="88">
        <f>IF(S412&gt;0,IF(RIGHT(Ruimtestaat[[#This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12" s="88">
        <f>IF(U412&gt;0,VLOOKUP($K412,Ruimtegroepen[],3,FALSE)*VLOOKUP($M412,Vloersoorten[],3,FALSE)*VLOOKUP($T412,Frequenties[],3,FALSE)*VLOOKUP($A412,Locaties[],3,FALSE),0)</f>
        <v>0</v>
      </c>
      <c r="W412" s="89">
        <f>Ruimtestaat[[#This Row],[Uitvoeringen werkdagen]]*Ruimtestaat[[#This Row],[Oppervlak (netto)]]</f>
        <v>2520</v>
      </c>
      <c r="X412" s="90">
        <f>IF(V412&gt;0,Ruimtestaat[[#This Row],[Prest. (m2 /jaar) werkdagen]]/Ruimtestaat[[#This Row],[Norm (m2/uur) werkdagen]],0)</f>
        <v>0</v>
      </c>
      <c r="Y412" s="91">
        <f>Ruimtestaat[[#This Row],[uren / jaar werkdagen]]*Tariefsopbouw!$E$35</f>
        <v>0</v>
      </c>
      <c r="Z412" s="88"/>
      <c r="AA412" s="92">
        <f>IF(Ruimtestaat[[#This Row],[Frequentie weekend]]&gt;0,VALUE(LEFT(Z412,1))*S412,0)</f>
        <v>0</v>
      </c>
      <c r="AB412" s="88">
        <f>IF($AA412&gt;0,VLOOKUP($K412,Ruimtegroepen[],3,FALSE)*VLOOKUP($M412,Vloersoorten[],3,FALSE)*VLOOKUP($Z412,Frequenties[],3,FALSE)*VLOOKUP(#REF!,Locaties[],3,FALSE),0)</f>
        <v>0</v>
      </c>
      <c r="AC412" s="90">
        <f>Ruimtestaat[[#This Row],[Uitvoeringen weekend]]*Ruimtestaat[[#This Row],[Oppervlak (netto)]]</f>
        <v>0</v>
      </c>
      <c r="AD412" s="93">
        <f>IF(AC412&gt;0,Ruimtestaat[[#This Row],[Prest. (m2 /jaar) weekend]]/Ruimtestaat[[#This Row],[Norm (m2/uur) weekend]],0)</f>
        <v>0</v>
      </c>
      <c r="AE412" s="94">
        <f>Ruimtestaat[[#This Row],[uren / jaar weekend]]*Tariefsopbouw!$D$40</f>
        <v>0</v>
      </c>
      <c r="AF412" s="66">
        <f>Ruimtestaat[[#This Row],[Prest. (m2 /jaar) weekend]]+Ruimtestaat[[#This Row],[Prest. (m2 /jaar) werkdagen]]</f>
        <v>2520</v>
      </c>
      <c r="AG412" s="66">
        <f>Ruimtestaat[[#This Row],[uren / jaar weekend]]+Ruimtestaat[[#This Row],[uren / jaar werkdagen]]</f>
        <v>0</v>
      </c>
      <c r="AH412" s="67">
        <f>Ruimtestaat[[#This Row],[kosten / jaar weekend]]+Ruimtestaat[[#This Row],[kosten / jaar werkdagen]]</f>
        <v>0</v>
      </c>
    </row>
    <row r="413" spans="1:34" ht="15" customHeight="1">
      <c r="A413" s="112">
        <v>3</v>
      </c>
      <c r="B413" s="23" t="str">
        <f>VLOOKUP(Ruimtestaat[[#This Row],[Code]],Locaties[#All],2,FALSE)</f>
        <v>RSG N.O. Veluwe</v>
      </c>
      <c r="C413" s="23" t="str">
        <f>VLOOKUP(Ruimtestaat[[#This Row],[Code]],Locaties[#All],4,FALSE)</f>
        <v>Schotweg 1</v>
      </c>
      <c r="D413" s="23" t="str">
        <f>VLOOKUP(Ruimtestaat[[#This Row],[Code]],Locaties[#All],5,FALSE)</f>
        <v>8162 GM</v>
      </c>
      <c r="E413" s="23" t="str">
        <f>VLOOKUP(Ruimtestaat[[#This Row],[Code]],Locaties[#All],6,FALSE)</f>
        <v>Epe</v>
      </c>
      <c r="F413" s="23" t="s">
        <v>1109</v>
      </c>
      <c r="G413" s="60"/>
      <c r="H413" s="23" t="s">
        <v>1298</v>
      </c>
      <c r="I413" s="23" t="s">
        <v>1118</v>
      </c>
      <c r="J413" s="3" t="s">
        <v>1119</v>
      </c>
      <c r="K413" s="23">
        <v>2</v>
      </c>
      <c r="L413" s="60" t="str">
        <f>VLOOKUP(K413,Ruimtegroepen[],2,FALSE)</f>
        <v>Kantoren</v>
      </c>
      <c r="M413" s="23" t="s">
        <v>1300</v>
      </c>
      <c r="N413" s="23" t="s">
        <v>1301</v>
      </c>
      <c r="O413" s="86">
        <v>25</v>
      </c>
      <c r="P413" s="86"/>
      <c r="Q413" s="95" t="str">
        <f>LEFT(VLOOKUP(Ruimtestaat[[#This Row],[Ruimte code]],Ruimtegroepen[#All],4,1),2)</f>
        <v xml:space="preserve">B </v>
      </c>
      <c r="R413" s="95"/>
      <c r="S413" s="87">
        <v>42</v>
      </c>
      <c r="T413" s="87" t="s">
        <v>2</v>
      </c>
      <c r="U413" s="88">
        <f>IF(S413&gt;0,IF(RIGHT(Ruimtestaat[[#This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13" s="88">
        <f>IF(U413&gt;0,VLOOKUP($K413,Ruimtegroepen[],3,FALSE)*VLOOKUP($M413,Vloersoorten[],3,FALSE)*VLOOKUP($T413,Frequenties[],3,FALSE)*VLOOKUP($A413,Locaties[],3,FALSE),0)</f>
        <v>0</v>
      </c>
      <c r="W413" s="89">
        <f>Ruimtestaat[[#This Row],[Uitvoeringen werkdagen]]*Ruimtestaat[[#This Row],[Oppervlak (netto)]]</f>
        <v>5250</v>
      </c>
      <c r="X413" s="90">
        <f>IF(V413&gt;0,Ruimtestaat[[#This Row],[Prest. (m2 /jaar) werkdagen]]/Ruimtestaat[[#This Row],[Norm (m2/uur) werkdagen]],0)</f>
        <v>0</v>
      </c>
      <c r="Y413" s="91">
        <f>Ruimtestaat[[#This Row],[uren / jaar werkdagen]]*Tariefsopbouw!$E$35</f>
        <v>0</v>
      </c>
      <c r="Z413" s="88"/>
      <c r="AA413" s="92">
        <f>IF(Ruimtestaat[[#This Row],[Frequentie weekend]]&gt;0,VALUE(LEFT(Z413,1))*S413,0)</f>
        <v>0</v>
      </c>
      <c r="AB413" s="88">
        <f>IF($AA413&gt;0,VLOOKUP($K413,Ruimtegroepen[],3,FALSE)*VLOOKUP($M413,Vloersoorten[],3,FALSE)*VLOOKUP($Z413,Frequenties[],3,FALSE)*VLOOKUP(#REF!,Locaties[],3,FALSE),0)</f>
        <v>0</v>
      </c>
      <c r="AC413" s="90">
        <f>Ruimtestaat[[#This Row],[Uitvoeringen weekend]]*Ruimtestaat[[#This Row],[Oppervlak (netto)]]</f>
        <v>0</v>
      </c>
      <c r="AD413" s="93">
        <f>IF(AC413&gt;0,Ruimtestaat[[#This Row],[Prest. (m2 /jaar) weekend]]/Ruimtestaat[[#This Row],[Norm (m2/uur) weekend]],0)</f>
        <v>0</v>
      </c>
      <c r="AE413" s="94">
        <f>Ruimtestaat[[#This Row],[uren / jaar weekend]]*Tariefsopbouw!$D$40</f>
        <v>0</v>
      </c>
      <c r="AF413" s="66">
        <f>Ruimtestaat[[#This Row],[Prest. (m2 /jaar) weekend]]+Ruimtestaat[[#This Row],[Prest. (m2 /jaar) werkdagen]]</f>
        <v>5250</v>
      </c>
      <c r="AG413" s="66">
        <f>Ruimtestaat[[#This Row],[uren / jaar weekend]]+Ruimtestaat[[#This Row],[uren / jaar werkdagen]]</f>
        <v>0</v>
      </c>
      <c r="AH413" s="67">
        <f>Ruimtestaat[[#This Row],[kosten / jaar weekend]]+Ruimtestaat[[#This Row],[kosten / jaar werkdagen]]</f>
        <v>0</v>
      </c>
    </row>
    <row r="414" spans="1:34" ht="15" customHeight="1">
      <c r="A414" s="112">
        <v>3</v>
      </c>
      <c r="B414" s="23" t="str">
        <f>VLOOKUP(Ruimtestaat[[#This Row],[Code]],Locaties[#All],2,FALSE)</f>
        <v>RSG N.O. Veluwe</v>
      </c>
      <c r="C414" s="23" t="str">
        <f>VLOOKUP(Ruimtestaat[[#This Row],[Code]],Locaties[#All],4,FALSE)</f>
        <v>Schotweg 1</v>
      </c>
      <c r="D414" s="23" t="str">
        <f>VLOOKUP(Ruimtestaat[[#This Row],[Code]],Locaties[#All],5,FALSE)</f>
        <v>8162 GM</v>
      </c>
      <c r="E414" s="23" t="str">
        <f>VLOOKUP(Ruimtestaat[[#This Row],[Code]],Locaties[#All],6,FALSE)</f>
        <v>Epe</v>
      </c>
      <c r="F414" s="23" t="s">
        <v>1109</v>
      </c>
      <c r="G414" s="60"/>
      <c r="H414" s="23" t="s">
        <v>1298</v>
      </c>
      <c r="I414" s="23" t="s">
        <v>1120</v>
      </c>
      <c r="J414" s="3" t="s">
        <v>1179</v>
      </c>
      <c r="K414" s="23">
        <v>16</v>
      </c>
      <c r="L414" s="60" t="str">
        <f>VLOOKUP(K414,Ruimtegroepen[],2,FALSE)</f>
        <v>Leslokalen theorie</v>
      </c>
      <c r="M414" s="23" t="s">
        <v>1300</v>
      </c>
      <c r="N414" s="23" t="s">
        <v>1301</v>
      </c>
      <c r="O414" s="86">
        <v>75</v>
      </c>
      <c r="P414" s="86"/>
      <c r="Q414" s="95" t="str">
        <f>LEFT(VLOOKUP(Ruimtestaat[[#This Row],[Ruimte code]],Ruimtegroepen[#All],4,1),2)</f>
        <v xml:space="preserve">L </v>
      </c>
      <c r="R414" s="95"/>
      <c r="S414" s="87">
        <v>40</v>
      </c>
      <c r="T414" s="87" t="s">
        <v>2</v>
      </c>
      <c r="U414" s="88">
        <f>IF(S414&gt;0,IF(RIGHT(Ruimtestaat[[#This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14" s="88">
        <f>IF(U414&gt;0,VLOOKUP($K414,Ruimtegroepen[],3,FALSE)*VLOOKUP($M414,Vloersoorten[],3,FALSE)*VLOOKUP($T414,Frequenties[],3,FALSE)*VLOOKUP($A414,Locaties[],3,FALSE),0)</f>
        <v>0</v>
      </c>
      <c r="W414" s="89">
        <f>Ruimtestaat[[#This Row],[Uitvoeringen werkdagen]]*Ruimtestaat[[#This Row],[Oppervlak (netto)]]</f>
        <v>15000</v>
      </c>
      <c r="X414" s="90">
        <f>IF(V414&gt;0,Ruimtestaat[[#This Row],[Prest. (m2 /jaar) werkdagen]]/Ruimtestaat[[#This Row],[Norm (m2/uur) werkdagen]],0)</f>
        <v>0</v>
      </c>
      <c r="Y414" s="91">
        <f>Ruimtestaat[[#This Row],[uren / jaar werkdagen]]*Tariefsopbouw!$E$35</f>
        <v>0</v>
      </c>
      <c r="Z414" s="88"/>
      <c r="AA414" s="92">
        <f>IF(Ruimtestaat[[#This Row],[Frequentie weekend]]&gt;0,VALUE(LEFT(Z414,1))*S414,0)</f>
        <v>0</v>
      </c>
      <c r="AB414" s="88">
        <f>IF($AA414&gt;0,VLOOKUP($K414,Ruimtegroepen[],3,FALSE)*VLOOKUP($M414,Vloersoorten[],3,FALSE)*VLOOKUP($Z414,Frequenties[],3,FALSE)*VLOOKUP(#REF!,Locaties[],3,FALSE),0)</f>
        <v>0</v>
      </c>
      <c r="AC414" s="90">
        <f>Ruimtestaat[[#This Row],[Uitvoeringen weekend]]*Ruimtestaat[[#This Row],[Oppervlak (netto)]]</f>
        <v>0</v>
      </c>
      <c r="AD414" s="93">
        <f>IF(AC414&gt;0,Ruimtestaat[[#This Row],[Prest. (m2 /jaar) weekend]]/Ruimtestaat[[#This Row],[Norm (m2/uur) weekend]],0)</f>
        <v>0</v>
      </c>
      <c r="AE414" s="94">
        <f>Ruimtestaat[[#This Row],[uren / jaar weekend]]*Tariefsopbouw!$D$40</f>
        <v>0</v>
      </c>
      <c r="AF414" s="66">
        <f>Ruimtestaat[[#This Row],[Prest. (m2 /jaar) weekend]]+Ruimtestaat[[#This Row],[Prest. (m2 /jaar) werkdagen]]</f>
        <v>15000</v>
      </c>
      <c r="AG414" s="66">
        <f>Ruimtestaat[[#This Row],[uren / jaar weekend]]+Ruimtestaat[[#This Row],[uren / jaar werkdagen]]</f>
        <v>0</v>
      </c>
      <c r="AH414" s="67">
        <f>Ruimtestaat[[#This Row],[kosten / jaar weekend]]+Ruimtestaat[[#This Row],[kosten / jaar werkdagen]]</f>
        <v>0</v>
      </c>
    </row>
    <row r="415" spans="1:34" ht="15" customHeight="1">
      <c r="A415" s="112">
        <v>3</v>
      </c>
      <c r="B415" s="23" t="str">
        <f>VLOOKUP(Ruimtestaat[[#This Row],[Code]],Locaties[#All],2,FALSE)</f>
        <v>RSG N.O. Veluwe</v>
      </c>
      <c r="C415" s="23" t="str">
        <f>VLOOKUP(Ruimtestaat[[#This Row],[Code]],Locaties[#All],4,FALSE)</f>
        <v>Schotweg 1</v>
      </c>
      <c r="D415" s="23" t="str">
        <f>VLOOKUP(Ruimtestaat[[#This Row],[Code]],Locaties[#All],5,FALSE)</f>
        <v>8162 GM</v>
      </c>
      <c r="E415" s="23" t="str">
        <f>VLOOKUP(Ruimtestaat[[#This Row],[Code]],Locaties[#All],6,FALSE)</f>
        <v>Epe</v>
      </c>
      <c r="F415" s="23" t="s">
        <v>1109</v>
      </c>
      <c r="G415" s="60"/>
      <c r="H415" s="23" t="s">
        <v>1298</v>
      </c>
      <c r="I415" s="23" t="s">
        <v>1121</v>
      </c>
      <c r="J415" s="3" t="s">
        <v>1180</v>
      </c>
      <c r="K415" s="23">
        <v>4</v>
      </c>
      <c r="L415" s="60" t="str">
        <f>VLOOKUP(K415,Ruimtegroepen[],2,FALSE)</f>
        <v>Kabinet Binas</v>
      </c>
      <c r="M415" s="23" t="s">
        <v>1300</v>
      </c>
      <c r="N415" s="23" t="s">
        <v>1301</v>
      </c>
      <c r="O415" s="86">
        <v>48</v>
      </c>
      <c r="P415" s="86"/>
      <c r="Q415" s="95" t="str">
        <f>LEFT(VLOOKUP(Ruimtestaat[[#This Row],[Ruimte code]],Ruimtegroepen[#All],4,1),2)</f>
        <v xml:space="preserve">V </v>
      </c>
      <c r="R415" s="95"/>
      <c r="S415" s="87">
        <v>42</v>
      </c>
      <c r="T415" s="87" t="s">
        <v>2</v>
      </c>
      <c r="U415" s="88">
        <f>IF(S415&gt;0,IF(RIGHT(Ruimtestaat[[#This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15" s="88">
        <f>IF(U415&gt;0,VLOOKUP($K415,Ruimtegroepen[],3,FALSE)*VLOOKUP($M415,Vloersoorten[],3,FALSE)*VLOOKUP($T415,Frequenties[],3,FALSE)*VLOOKUP($A415,Locaties[],3,FALSE),0)</f>
        <v>0</v>
      </c>
      <c r="W415" s="89">
        <f>Ruimtestaat[[#This Row],[Uitvoeringen werkdagen]]*Ruimtestaat[[#This Row],[Oppervlak (netto)]]</f>
        <v>10080</v>
      </c>
      <c r="X415" s="90">
        <f>IF(V415&gt;0,Ruimtestaat[[#This Row],[Prest. (m2 /jaar) werkdagen]]/Ruimtestaat[[#This Row],[Norm (m2/uur) werkdagen]],0)</f>
        <v>0</v>
      </c>
      <c r="Y415" s="91">
        <f>Ruimtestaat[[#This Row],[uren / jaar werkdagen]]*Tariefsopbouw!$E$35</f>
        <v>0</v>
      </c>
      <c r="Z415" s="88"/>
      <c r="AA415" s="92">
        <f>IF(Ruimtestaat[[#This Row],[Frequentie weekend]]&gt;0,VALUE(LEFT(Z415,1))*S415,0)</f>
        <v>0</v>
      </c>
      <c r="AB415" s="88">
        <f>IF($AA415&gt;0,VLOOKUP($K415,Ruimtegroepen[],3,FALSE)*VLOOKUP($M415,Vloersoorten[],3,FALSE)*VLOOKUP($Z415,Frequenties[],3,FALSE)*VLOOKUP(#REF!,Locaties[],3,FALSE),0)</f>
        <v>0</v>
      </c>
      <c r="AC415" s="90">
        <f>Ruimtestaat[[#This Row],[Uitvoeringen weekend]]*Ruimtestaat[[#This Row],[Oppervlak (netto)]]</f>
        <v>0</v>
      </c>
      <c r="AD415" s="93">
        <f>IF(AC415&gt;0,Ruimtestaat[[#This Row],[Prest. (m2 /jaar) weekend]]/Ruimtestaat[[#This Row],[Norm (m2/uur) weekend]],0)</f>
        <v>0</v>
      </c>
      <c r="AE415" s="94">
        <f>Ruimtestaat[[#This Row],[uren / jaar weekend]]*Tariefsopbouw!$D$40</f>
        <v>0</v>
      </c>
      <c r="AF415" s="66">
        <f>Ruimtestaat[[#This Row],[Prest. (m2 /jaar) weekend]]+Ruimtestaat[[#This Row],[Prest. (m2 /jaar) werkdagen]]</f>
        <v>10080</v>
      </c>
      <c r="AG415" s="66">
        <f>Ruimtestaat[[#This Row],[uren / jaar weekend]]+Ruimtestaat[[#This Row],[uren / jaar werkdagen]]</f>
        <v>0</v>
      </c>
      <c r="AH415" s="67">
        <f>Ruimtestaat[[#This Row],[kosten / jaar weekend]]+Ruimtestaat[[#This Row],[kosten / jaar werkdagen]]</f>
        <v>0</v>
      </c>
    </row>
    <row r="416" spans="1:34" ht="15" customHeight="1">
      <c r="A416" s="112">
        <v>3</v>
      </c>
      <c r="B416" s="23" t="str">
        <f>VLOOKUP(Ruimtestaat[[#This Row],[Code]],Locaties[#All],2,FALSE)</f>
        <v>RSG N.O. Veluwe</v>
      </c>
      <c r="C416" s="23" t="str">
        <f>VLOOKUP(Ruimtestaat[[#This Row],[Code]],Locaties[#All],4,FALSE)</f>
        <v>Schotweg 1</v>
      </c>
      <c r="D416" s="23" t="str">
        <f>VLOOKUP(Ruimtestaat[[#This Row],[Code]],Locaties[#All],5,FALSE)</f>
        <v>8162 GM</v>
      </c>
      <c r="E416" s="23" t="str">
        <f>VLOOKUP(Ruimtestaat[[#This Row],[Code]],Locaties[#All],6,FALSE)</f>
        <v>Epe</v>
      </c>
      <c r="F416" s="23" t="s">
        <v>1109</v>
      </c>
      <c r="G416" s="60"/>
      <c r="H416" s="23" t="s">
        <v>1298</v>
      </c>
      <c r="I416" s="23" t="s">
        <v>1122</v>
      </c>
      <c r="J416" s="3" t="s">
        <v>1181</v>
      </c>
      <c r="K416" s="23">
        <v>16</v>
      </c>
      <c r="L416" s="60" t="str">
        <f>VLOOKUP(K416,Ruimtegroepen[],2,FALSE)</f>
        <v>Leslokalen theorie</v>
      </c>
      <c r="M416" s="23" t="s">
        <v>1300</v>
      </c>
      <c r="N416" s="23" t="s">
        <v>1301</v>
      </c>
      <c r="O416" s="86">
        <v>88</v>
      </c>
      <c r="P416" s="86"/>
      <c r="Q416" s="95" t="str">
        <f>LEFT(VLOOKUP(Ruimtestaat[[#This Row],[Ruimte code]],Ruimtegroepen[#All],4,1),2)</f>
        <v xml:space="preserve">L </v>
      </c>
      <c r="R416" s="95"/>
      <c r="S416" s="87">
        <v>40</v>
      </c>
      <c r="T416" s="87" t="s">
        <v>2</v>
      </c>
      <c r="U416" s="88">
        <f>IF(S416&gt;0,IF(RIGHT(Ruimtestaat[[#This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16" s="88">
        <f>IF(U416&gt;0,VLOOKUP($K416,Ruimtegroepen[],3,FALSE)*VLOOKUP($M416,Vloersoorten[],3,FALSE)*VLOOKUP($T416,Frequenties[],3,FALSE)*VLOOKUP($A416,Locaties[],3,FALSE),0)</f>
        <v>0</v>
      </c>
      <c r="W416" s="89">
        <f>Ruimtestaat[[#This Row],[Uitvoeringen werkdagen]]*Ruimtestaat[[#This Row],[Oppervlak (netto)]]</f>
        <v>17600</v>
      </c>
      <c r="X416" s="90">
        <f>IF(V416&gt;0,Ruimtestaat[[#This Row],[Prest. (m2 /jaar) werkdagen]]/Ruimtestaat[[#This Row],[Norm (m2/uur) werkdagen]],0)</f>
        <v>0</v>
      </c>
      <c r="Y416" s="91">
        <f>Ruimtestaat[[#This Row],[uren / jaar werkdagen]]*Tariefsopbouw!$E$35</f>
        <v>0</v>
      </c>
      <c r="Z416" s="88"/>
      <c r="AA416" s="92">
        <f>IF(Ruimtestaat[[#This Row],[Frequentie weekend]]&gt;0,VALUE(LEFT(Z416,1))*S416,0)</f>
        <v>0</v>
      </c>
      <c r="AB416" s="88">
        <f>IF($AA416&gt;0,VLOOKUP($K416,Ruimtegroepen[],3,FALSE)*VLOOKUP($M416,Vloersoorten[],3,FALSE)*VLOOKUP($Z416,Frequenties[],3,FALSE)*VLOOKUP(#REF!,Locaties[],3,FALSE),0)</f>
        <v>0</v>
      </c>
      <c r="AC416" s="90">
        <f>Ruimtestaat[[#This Row],[Uitvoeringen weekend]]*Ruimtestaat[[#This Row],[Oppervlak (netto)]]</f>
        <v>0</v>
      </c>
      <c r="AD416" s="93">
        <f>IF(AC416&gt;0,Ruimtestaat[[#This Row],[Prest. (m2 /jaar) weekend]]/Ruimtestaat[[#This Row],[Norm (m2/uur) weekend]],0)</f>
        <v>0</v>
      </c>
      <c r="AE416" s="94">
        <f>Ruimtestaat[[#This Row],[uren / jaar weekend]]*Tariefsopbouw!$D$40</f>
        <v>0</v>
      </c>
      <c r="AF416" s="66">
        <f>Ruimtestaat[[#This Row],[Prest. (m2 /jaar) weekend]]+Ruimtestaat[[#This Row],[Prest. (m2 /jaar) werkdagen]]</f>
        <v>17600</v>
      </c>
      <c r="AG416" s="66">
        <f>Ruimtestaat[[#This Row],[uren / jaar weekend]]+Ruimtestaat[[#This Row],[uren / jaar werkdagen]]</f>
        <v>0</v>
      </c>
      <c r="AH416" s="67">
        <f>Ruimtestaat[[#This Row],[kosten / jaar weekend]]+Ruimtestaat[[#This Row],[kosten / jaar werkdagen]]</f>
        <v>0</v>
      </c>
    </row>
    <row r="417" spans="1:34" ht="15" customHeight="1">
      <c r="A417" s="112">
        <v>3</v>
      </c>
      <c r="B417" s="23" t="str">
        <f>VLOOKUP(Ruimtestaat[[#This Row],[Code]],Locaties[#All],2,FALSE)</f>
        <v>RSG N.O. Veluwe</v>
      </c>
      <c r="C417" s="23" t="str">
        <f>VLOOKUP(Ruimtestaat[[#This Row],[Code]],Locaties[#All],4,FALSE)</f>
        <v>Schotweg 1</v>
      </c>
      <c r="D417" s="23" t="str">
        <f>VLOOKUP(Ruimtestaat[[#This Row],[Code]],Locaties[#All],5,FALSE)</f>
        <v>8162 GM</v>
      </c>
      <c r="E417" s="23" t="str">
        <f>VLOOKUP(Ruimtestaat[[#This Row],[Code]],Locaties[#All],6,FALSE)</f>
        <v>Epe</v>
      </c>
      <c r="F417" s="23" t="s">
        <v>1109</v>
      </c>
      <c r="G417" s="60"/>
      <c r="H417" s="23" t="s">
        <v>1298</v>
      </c>
      <c r="I417" s="23" t="s">
        <v>1124</v>
      </c>
      <c r="J417" s="3" t="s">
        <v>1182</v>
      </c>
      <c r="K417" s="23">
        <v>10</v>
      </c>
      <c r="L417" s="60" t="str">
        <f>VLOOKUP(K417,Ruimtegroepen[],2,FALSE)</f>
        <v>Trappenhuizen/lift</v>
      </c>
      <c r="M417" s="23" t="s">
        <v>113</v>
      </c>
      <c r="N417" s="23" t="s">
        <v>1092</v>
      </c>
      <c r="O417" s="86">
        <v>20</v>
      </c>
      <c r="P417" s="86"/>
      <c r="Q417" s="95" t="str">
        <f>LEFT(VLOOKUP(Ruimtestaat[[#This Row],[Ruimte code]],Ruimtegroepen[#All],4,1),2)</f>
        <v xml:space="preserve">V </v>
      </c>
      <c r="R417" s="95"/>
      <c r="S417" s="87">
        <v>42</v>
      </c>
      <c r="T417" s="87" t="s">
        <v>2</v>
      </c>
      <c r="U417" s="88">
        <f>IF(S417&gt;0,IF(RIGHT(Ruimtestaat[[#This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17" s="88">
        <f>IF(U417&gt;0,VLOOKUP($K417,Ruimtegroepen[],3,FALSE)*VLOOKUP($M417,Vloersoorten[],3,FALSE)*VLOOKUP($T417,Frequenties[],3,FALSE)*VLOOKUP($A417,Locaties[],3,FALSE),0)</f>
        <v>0</v>
      </c>
      <c r="W417" s="89">
        <f>Ruimtestaat[[#This Row],[Uitvoeringen werkdagen]]*Ruimtestaat[[#This Row],[Oppervlak (netto)]]</f>
        <v>4200</v>
      </c>
      <c r="X417" s="90">
        <f>IF(V417&gt;0,Ruimtestaat[[#This Row],[Prest. (m2 /jaar) werkdagen]]/Ruimtestaat[[#This Row],[Norm (m2/uur) werkdagen]],0)</f>
        <v>0</v>
      </c>
      <c r="Y417" s="91">
        <f>Ruimtestaat[[#This Row],[uren / jaar werkdagen]]*Tariefsopbouw!$E$35</f>
        <v>0</v>
      </c>
      <c r="Z417" s="88"/>
      <c r="AA417" s="92">
        <f>IF(Ruimtestaat[[#This Row],[Frequentie weekend]]&gt;0,VALUE(LEFT(Z417,1))*S417,0)</f>
        <v>0</v>
      </c>
      <c r="AB417" s="88">
        <f>IF($AA417&gt;0,VLOOKUP($K417,Ruimtegroepen[],3,FALSE)*VLOOKUP($M417,Vloersoorten[],3,FALSE)*VLOOKUP($Z417,Frequenties[],3,FALSE)*VLOOKUP(#REF!,Locaties[],3,FALSE),0)</f>
        <v>0</v>
      </c>
      <c r="AC417" s="90">
        <f>Ruimtestaat[[#This Row],[Uitvoeringen weekend]]*Ruimtestaat[[#This Row],[Oppervlak (netto)]]</f>
        <v>0</v>
      </c>
      <c r="AD417" s="93">
        <f>IF(AC417&gt;0,Ruimtestaat[[#This Row],[Prest. (m2 /jaar) weekend]]/Ruimtestaat[[#This Row],[Norm (m2/uur) weekend]],0)</f>
        <v>0</v>
      </c>
      <c r="AE417" s="94">
        <f>Ruimtestaat[[#This Row],[uren / jaar weekend]]*Tariefsopbouw!$D$40</f>
        <v>0</v>
      </c>
      <c r="AF417" s="66">
        <f>Ruimtestaat[[#This Row],[Prest. (m2 /jaar) weekend]]+Ruimtestaat[[#This Row],[Prest. (m2 /jaar) werkdagen]]</f>
        <v>4200</v>
      </c>
      <c r="AG417" s="66">
        <f>Ruimtestaat[[#This Row],[uren / jaar weekend]]+Ruimtestaat[[#This Row],[uren / jaar werkdagen]]</f>
        <v>0</v>
      </c>
      <c r="AH417" s="67">
        <f>Ruimtestaat[[#This Row],[kosten / jaar weekend]]+Ruimtestaat[[#This Row],[kosten / jaar werkdagen]]</f>
        <v>0</v>
      </c>
    </row>
    <row r="418" spans="1:34" ht="15" customHeight="1">
      <c r="A418" s="112">
        <v>3</v>
      </c>
      <c r="B418" s="23" t="str">
        <f>VLOOKUP(Ruimtestaat[[#This Row],[Code]],Locaties[#All],2,FALSE)</f>
        <v>RSG N.O. Veluwe</v>
      </c>
      <c r="C418" s="23" t="str">
        <f>VLOOKUP(Ruimtestaat[[#This Row],[Code]],Locaties[#All],4,FALSE)</f>
        <v>Schotweg 1</v>
      </c>
      <c r="D418" s="23" t="str">
        <f>VLOOKUP(Ruimtestaat[[#This Row],[Code]],Locaties[#All],5,FALSE)</f>
        <v>8162 GM</v>
      </c>
      <c r="E418" s="23" t="str">
        <f>VLOOKUP(Ruimtestaat[[#This Row],[Code]],Locaties[#All],6,FALSE)</f>
        <v>Epe</v>
      </c>
      <c r="F418" s="23" t="s">
        <v>1109</v>
      </c>
      <c r="G418" s="60"/>
      <c r="H418" s="23" t="s">
        <v>1298</v>
      </c>
      <c r="I418" s="23" t="s">
        <v>1183</v>
      </c>
      <c r="J418" s="3" t="s">
        <v>1070</v>
      </c>
      <c r="K418" s="23">
        <v>6</v>
      </c>
      <c r="L418" s="60" t="str">
        <f>VLOOKUP(K418,Ruimtegroepen[],2,FALSE)</f>
        <v>Gangen/hallen</v>
      </c>
      <c r="M418" s="23" t="s">
        <v>1300</v>
      </c>
      <c r="N418" s="23" t="s">
        <v>1301</v>
      </c>
      <c r="O418" s="86">
        <v>16</v>
      </c>
      <c r="P418" s="86"/>
      <c r="Q418" s="95" t="str">
        <f>LEFT(VLOOKUP(Ruimtestaat[[#This Row],[Ruimte code]],Ruimtegroepen[#All],4,1),2)</f>
        <v xml:space="preserve">V </v>
      </c>
      <c r="R418" s="95"/>
      <c r="S418" s="87">
        <v>42</v>
      </c>
      <c r="T418" s="87" t="s">
        <v>2</v>
      </c>
      <c r="U418" s="88">
        <f>IF(S418&gt;0,IF(RIGHT(Ruimtestaat[[#This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18" s="88">
        <f>IF(U418&gt;0,VLOOKUP($K418,Ruimtegroepen[],3,FALSE)*VLOOKUP($M418,Vloersoorten[],3,FALSE)*VLOOKUP($T418,Frequenties[],3,FALSE)*VLOOKUP($A418,Locaties[],3,FALSE),0)</f>
        <v>0</v>
      </c>
      <c r="W418" s="89">
        <f>Ruimtestaat[[#This Row],[Uitvoeringen werkdagen]]*Ruimtestaat[[#This Row],[Oppervlak (netto)]]</f>
        <v>3360</v>
      </c>
      <c r="X418" s="90">
        <f>IF(V418&gt;0,Ruimtestaat[[#This Row],[Prest. (m2 /jaar) werkdagen]]/Ruimtestaat[[#This Row],[Norm (m2/uur) werkdagen]],0)</f>
        <v>0</v>
      </c>
      <c r="Y418" s="91">
        <f>Ruimtestaat[[#This Row],[uren / jaar werkdagen]]*Tariefsopbouw!$E$35</f>
        <v>0</v>
      </c>
      <c r="Z418" s="88"/>
      <c r="AA418" s="92">
        <f>IF(Ruimtestaat[[#This Row],[Frequentie weekend]]&gt;0,VALUE(LEFT(Z418,1))*S418,0)</f>
        <v>0</v>
      </c>
      <c r="AB418" s="88">
        <f>IF($AA418&gt;0,VLOOKUP($K418,Ruimtegroepen[],3,FALSE)*VLOOKUP($M418,Vloersoorten[],3,FALSE)*VLOOKUP($Z418,Frequenties[],3,FALSE)*VLOOKUP(#REF!,Locaties[],3,FALSE),0)</f>
        <v>0</v>
      </c>
      <c r="AC418" s="90">
        <f>Ruimtestaat[[#This Row],[Uitvoeringen weekend]]*Ruimtestaat[[#This Row],[Oppervlak (netto)]]</f>
        <v>0</v>
      </c>
      <c r="AD418" s="93">
        <f>IF(AC418&gt;0,Ruimtestaat[[#This Row],[Prest. (m2 /jaar) weekend]]/Ruimtestaat[[#This Row],[Norm (m2/uur) weekend]],0)</f>
        <v>0</v>
      </c>
      <c r="AE418" s="94">
        <f>Ruimtestaat[[#This Row],[uren / jaar weekend]]*Tariefsopbouw!$D$40</f>
        <v>0</v>
      </c>
      <c r="AF418" s="66">
        <f>Ruimtestaat[[#This Row],[Prest. (m2 /jaar) weekend]]+Ruimtestaat[[#This Row],[Prest. (m2 /jaar) werkdagen]]</f>
        <v>3360</v>
      </c>
      <c r="AG418" s="66">
        <f>Ruimtestaat[[#This Row],[uren / jaar weekend]]+Ruimtestaat[[#This Row],[uren / jaar werkdagen]]</f>
        <v>0</v>
      </c>
      <c r="AH418" s="67">
        <f>Ruimtestaat[[#This Row],[kosten / jaar weekend]]+Ruimtestaat[[#This Row],[kosten / jaar werkdagen]]</f>
        <v>0</v>
      </c>
    </row>
    <row r="419" spans="1:34" ht="15" customHeight="1">
      <c r="A419" s="112">
        <v>3</v>
      </c>
      <c r="B419" s="23" t="str">
        <f>VLOOKUP(Ruimtestaat[[#This Row],[Code]],Locaties[#All],2,FALSE)</f>
        <v>RSG N.O. Veluwe</v>
      </c>
      <c r="C419" s="23" t="str">
        <f>VLOOKUP(Ruimtestaat[[#This Row],[Code]],Locaties[#All],4,FALSE)</f>
        <v>Schotweg 1</v>
      </c>
      <c r="D419" s="23" t="str">
        <f>VLOOKUP(Ruimtestaat[[#This Row],[Code]],Locaties[#All],5,FALSE)</f>
        <v>8162 GM</v>
      </c>
      <c r="E419" s="23" t="str">
        <f>VLOOKUP(Ruimtestaat[[#This Row],[Code]],Locaties[#All],6,FALSE)</f>
        <v>Epe</v>
      </c>
      <c r="F419" s="23" t="s">
        <v>1109</v>
      </c>
      <c r="G419" s="60"/>
      <c r="H419" s="23" t="s">
        <v>1298</v>
      </c>
      <c r="I419" s="23" t="s">
        <v>1126</v>
      </c>
      <c r="J419" s="3" t="s">
        <v>1184</v>
      </c>
      <c r="K419" s="23">
        <v>13</v>
      </c>
      <c r="L419" s="60" t="str">
        <f>VLOOKUP(K419,Ruimtegroepen[],2,FALSE)</f>
        <v>HV/Technieklokaal</v>
      </c>
      <c r="M419" s="23" t="s">
        <v>1300</v>
      </c>
      <c r="N419" s="23" t="s">
        <v>1301</v>
      </c>
      <c r="O419" s="86">
        <v>94</v>
      </c>
      <c r="P419" s="86"/>
      <c r="Q419" s="95" t="str">
        <f>LEFT(VLOOKUP(Ruimtestaat[[#This Row],[Ruimte code]],Ruimtegroepen[#All],4,1),2)</f>
        <v xml:space="preserve">L </v>
      </c>
      <c r="R419" s="95"/>
      <c r="S419" s="87">
        <v>40</v>
      </c>
      <c r="T419" s="87" t="s">
        <v>2</v>
      </c>
      <c r="U419" s="88">
        <f>IF(S419&gt;0,IF(RIGHT(Ruimtestaat[[#This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19" s="88">
        <f>IF(U419&gt;0,VLOOKUP($K419,Ruimtegroepen[],3,FALSE)*VLOOKUP($M419,Vloersoorten[],3,FALSE)*VLOOKUP($T419,Frequenties[],3,FALSE)*VLOOKUP($A419,Locaties[],3,FALSE),0)</f>
        <v>0</v>
      </c>
      <c r="W419" s="89">
        <f>Ruimtestaat[[#This Row],[Uitvoeringen werkdagen]]*Ruimtestaat[[#This Row],[Oppervlak (netto)]]</f>
        <v>18800</v>
      </c>
      <c r="X419" s="90">
        <f>IF(V419&gt;0,Ruimtestaat[[#This Row],[Prest. (m2 /jaar) werkdagen]]/Ruimtestaat[[#This Row],[Norm (m2/uur) werkdagen]],0)</f>
        <v>0</v>
      </c>
      <c r="Y419" s="91">
        <f>Ruimtestaat[[#This Row],[uren / jaar werkdagen]]*Tariefsopbouw!$E$35</f>
        <v>0</v>
      </c>
      <c r="Z419" s="88"/>
      <c r="AA419" s="92">
        <f>IF(Ruimtestaat[[#This Row],[Frequentie weekend]]&gt;0,VALUE(LEFT(Z419,1))*S419,0)</f>
        <v>0</v>
      </c>
      <c r="AB419" s="88">
        <f>IF($AA419&gt;0,VLOOKUP($K419,Ruimtegroepen[],3,FALSE)*VLOOKUP($M419,Vloersoorten[],3,FALSE)*VLOOKUP($Z419,Frequenties[],3,FALSE)*VLOOKUP(#REF!,Locaties[],3,FALSE),0)</f>
        <v>0</v>
      </c>
      <c r="AC419" s="90">
        <f>Ruimtestaat[[#This Row],[Uitvoeringen weekend]]*Ruimtestaat[[#This Row],[Oppervlak (netto)]]</f>
        <v>0</v>
      </c>
      <c r="AD419" s="93">
        <f>IF(AC419&gt;0,Ruimtestaat[[#This Row],[Prest. (m2 /jaar) weekend]]/Ruimtestaat[[#This Row],[Norm (m2/uur) weekend]],0)</f>
        <v>0</v>
      </c>
      <c r="AE419" s="94">
        <f>Ruimtestaat[[#This Row],[uren / jaar weekend]]*Tariefsopbouw!$D$40</f>
        <v>0</v>
      </c>
      <c r="AF419" s="66">
        <f>Ruimtestaat[[#This Row],[Prest. (m2 /jaar) weekend]]+Ruimtestaat[[#This Row],[Prest. (m2 /jaar) werkdagen]]</f>
        <v>18800</v>
      </c>
      <c r="AG419" s="66">
        <f>Ruimtestaat[[#This Row],[uren / jaar weekend]]+Ruimtestaat[[#This Row],[uren / jaar werkdagen]]</f>
        <v>0</v>
      </c>
      <c r="AH419" s="67">
        <f>Ruimtestaat[[#This Row],[kosten / jaar weekend]]+Ruimtestaat[[#This Row],[kosten / jaar werkdagen]]</f>
        <v>0</v>
      </c>
    </row>
    <row r="420" spans="1:34" ht="15" customHeight="1">
      <c r="A420" s="112">
        <v>3</v>
      </c>
      <c r="B420" s="23" t="str">
        <f>VLOOKUP(Ruimtestaat[[#This Row],[Code]],Locaties[#All],2,FALSE)</f>
        <v>RSG N.O. Veluwe</v>
      </c>
      <c r="C420" s="23" t="str">
        <f>VLOOKUP(Ruimtestaat[[#This Row],[Code]],Locaties[#All],4,FALSE)</f>
        <v>Schotweg 1</v>
      </c>
      <c r="D420" s="23" t="str">
        <f>VLOOKUP(Ruimtestaat[[#This Row],[Code]],Locaties[#All],5,FALSE)</f>
        <v>8162 GM</v>
      </c>
      <c r="E420" s="23" t="str">
        <f>VLOOKUP(Ruimtestaat[[#This Row],[Code]],Locaties[#All],6,FALSE)</f>
        <v>Epe</v>
      </c>
      <c r="F420" s="23" t="s">
        <v>1109</v>
      </c>
      <c r="G420" s="60"/>
      <c r="H420" s="23" t="s">
        <v>1298</v>
      </c>
      <c r="I420" s="23" t="s">
        <v>1128</v>
      </c>
      <c r="J420" s="3" t="s">
        <v>1185</v>
      </c>
      <c r="K420" s="23">
        <v>1</v>
      </c>
      <c r="L420" s="60" t="str">
        <f>VLOOKUP(K420,Ruimtegroepen[],2,FALSE)</f>
        <v>Magazijnen/bergingen</v>
      </c>
      <c r="M420" s="23" t="s">
        <v>1300</v>
      </c>
      <c r="N420" s="23" t="s">
        <v>1301</v>
      </c>
      <c r="O420" s="86">
        <v>12</v>
      </c>
      <c r="P420" s="86"/>
      <c r="Q420" s="95" t="str">
        <f>LEFT(VLOOKUP(Ruimtestaat[[#This Row],[Ruimte code]],Ruimtegroepen[#All],4,1),2)</f>
        <v xml:space="preserve">V </v>
      </c>
      <c r="R420" s="95"/>
      <c r="S420" s="87">
        <v>40</v>
      </c>
      <c r="T420" s="87" t="s">
        <v>15</v>
      </c>
      <c r="U420" s="88">
        <f>IF(S420&gt;0,IF(RIGHT(Ruimtestaat[[#This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V420" s="88">
        <f>IF(U420&gt;0,VLOOKUP($K420,Ruimtegroepen[],3,FALSE)*VLOOKUP($M420,Vloersoorten[],3,FALSE)*VLOOKUP($T420,Frequenties[],3,FALSE)*VLOOKUP($A420,Locaties[],3,FALSE),0)</f>
        <v>0</v>
      </c>
      <c r="W420" s="89">
        <f>Ruimtestaat[[#This Row],[Uitvoeringen werkdagen]]*Ruimtestaat[[#This Row],[Oppervlak (netto)]]</f>
        <v>480</v>
      </c>
      <c r="X420" s="90">
        <f>IF(V420&gt;0,Ruimtestaat[[#This Row],[Prest. (m2 /jaar) werkdagen]]/Ruimtestaat[[#This Row],[Norm (m2/uur) werkdagen]],0)</f>
        <v>0</v>
      </c>
      <c r="Y420" s="91">
        <f>Ruimtestaat[[#This Row],[uren / jaar werkdagen]]*Tariefsopbouw!$E$35</f>
        <v>0</v>
      </c>
      <c r="Z420" s="88"/>
      <c r="AA420" s="92">
        <f>IF(Ruimtestaat[[#This Row],[Frequentie weekend]]&gt;0,VALUE(LEFT(Z420,1))*S420,0)</f>
        <v>0</v>
      </c>
      <c r="AB420" s="88">
        <f>IF($AA420&gt;0,VLOOKUP($K420,Ruimtegroepen[],3,FALSE)*VLOOKUP($M420,Vloersoorten[],3,FALSE)*VLOOKUP($Z420,Frequenties[],3,FALSE)*VLOOKUP(#REF!,Locaties[],3,FALSE),0)</f>
        <v>0</v>
      </c>
      <c r="AC420" s="90">
        <f>Ruimtestaat[[#This Row],[Uitvoeringen weekend]]*Ruimtestaat[[#This Row],[Oppervlak (netto)]]</f>
        <v>0</v>
      </c>
      <c r="AD420" s="93">
        <f>IF(AC420&gt;0,Ruimtestaat[[#This Row],[Prest. (m2 /jaar) weekend]]/Ruimtestaat[[#This Row],[Norm (m2/uur) weekend]],0)</f>
        <v>0</v>
      </c>
      <c r="AE420" s="94">
        <f>Ruimtestaat[[#This Row],[uren / jaar weekend]]*Tariefsopbouw!$D$40</f>
        <v>0</v>
      </c>
      <c r="AF420" s="66">
        <f>Ruimtestaat[[#This Row],[Prest. (m2 /jaar) weekend]]+Ruimtestaat[[#This Row],[Prest. (m2 /jaar) werkdagen]]</f>
        <v>480</v>
      </c>
      <c r="AG420" s="66">
        <f>Ruimtestaat[[#This Row],[uren / jaar weekend]]+Ruimtestaat[[#This Row],[uren / jaar werkdagen]]</f>
        <v>0</v>
      </c>
      <c r="AH420" s="67">
        <f>Ruimtestaat[[#This Row],[kosten / jaar weekend]]+Ruimtestaat[[#This Row],[kosten / jaar werkdagen]]</f>
        <v>0</v>
      </c>
    </row>
    <row r="421" spans="1:34" ht="15" customHeight="1">
      <c r="A421" s="112">
        <v>3</v>
      </c>
      <c r="B421" s="23" t="str">
        <f>VLOOKUP(Ruimtestaat[[#This Row],[Code]],Locaties[#All],2,FALSE)</f>
        <v>RSG N.O. Veluwe</v>
      </c>
      <c r="C421" s="23" t="str">
        <f>VLOOKUP(Ruimtestaat[[#This Row],[Code]],Locaties[#All],4,FALSE)</f>
        <v>Schotweg 1</v>
      </c>
      <c r="D421" s="23" t="str">
        <f>VLOOKUP(Ruimtestaat[[#This Row],[Code]],Locaties[#All],5,FALSE)</f>
        <v>8162 GM</v>
      </c>
      <c r="E421" s="23" t="str">
        <f>VLOOKUP(Ruimtestaat[[#This Row],[Code]],Locaties[#All],6,FALSE)</f>
        <v>Epe</v>
      </c>
      <c r="F421" s="23" t="s">
        <v>1109</v>
      </c>
      <c r="G421" s="60"/>
      <c r="H421" s="23" t="s">
        <v>1298</v>
      </c>
      <c r="I421" s="23" t="s">
        <v>1130</v>
      </c>
      <c r="J421" s="3" t="s">
        <v>1186</v>
      </c>
      <c r="K421" s="23">
        <v>5</v>
      </c>
      <c r="L421" s="60" t="str">
        <f>VLOOKUP(K421,Ruimtegroepen[],2,FALSE)</f>
        <v>Sanitair</v>
      </c>
      <c r="M421" s="23" t="s">
        <v>113</v>
      </c>
      <c r="N421" s="23" t="s">
        <v>1091</v>
      </c>
      <c r="O421" s="86">
        <v>5</v>
      </c>
      <c r="P421" s="86"/>
      <c r="Q421" s="95" t="str">
        <f>LEFT(VLOOKUP(Ruimtestaat[[#This Row],[Ruimte code]],Ruimtegroepen[#All],4,1),2)</f>
        <v xml:space="preserve">S </v>
      </c>
      <c r="R421" s="95"/>
      <c r="S421" s="87">
        <v>42</v>
      </c>
      <c r="T421" s="87" t="s">
        <v>2</v>
      </c>
      <c r="U421" s="88">
        <f>IF(S421&gt;0,IF(RIGHT(Ruimtestaat[[#This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21" s="88">
        <f>IF(U421&gt;0,VLOOKUP($K421,Ruimtegroepen[],3,FALSE)*VLOOKUP($M421,Vloersoorten[],3,FALSE)*VLOOKUP($T421,Frequenties[],3,FALSE)*VLOOKUP($A421,Locaties[],3,FALSE),0)</f>
        <v>0</v>
      </c>
      <c r="W421" s="89">
        <f>Ruimtestaat[[#This Row],[Uitvoeringen werkdagen]]*Ruimtestaat[[#This Row],[Oppervlak (netto)]]</f>
        <v>1050</v>
      </c>
      <c r="X421" s="90">
        <f>IF(V421&gt;0,Ruimtestaat[[#This Row],[Prest. (m2 /jaar) werkdagen]]/Ruimtestaat[[#This Row],[Norm (m2/uur) werkdagen]],0)</f>
        <v>0</v>
      </c>
      <c r="Y421" s="91">
        <f>Ruimtestaat[[#This Row],[uren / jaar werkdagen]]*Tariefsopbouw!$E$35</f>
        <v>0</v>
      </c>
      <c r="Z421" s="88"/>
      <c r="AA421" s="92">
        <f>IF(Ruimtestaat[[#This Row],[Frequentie weekend]]&gt;0,VALUE(LEFT(Z421,1))*S421,0)</f>
        <v>0</v>
      </c>
      <c r="AB421" s="88">
        <f>IF($AA421&gt;0,VLOOKUP($K421,Ruimtegroepen[],3,FALSE)*VLOOKUP($M421,Vloersoorten[],3,FALSE)*VLOOKUP($Z421,Frequenties[],3,FALSE)*VLOOKUP(#REF!,Locaties[],3,FALSE),0)</f>
        <v>0</v>
      </c>
      <c r="AC421" s="90">
        <f>Ruimtestaat[[#This Row],[Uitvoeringen weekend]]*Ruimtestaat[[#This Row],[Oppervlak (netto)]]</f>
        <v>0</v>
      </c>
      <c r="AD421" s="93">
        <f>IF(AC421&gt;0,Ruimtestaat[[#This Row],[Prest. (m2 /jaar) weekend]]/Ruimtestaat[[#This Row],[Norm (m2/uur) weekend]],0)</f>
        <v>0</v>
      </c>
      <c r="AE421" s="94">
        <f>Ruimtestaat[[#This Row],[uren / jaar weekend]]*Tariefsopbouw!$D$40</f>
        <v>0</v>
      </c>
      <c r="AF421" s="66">
        <f>Ruimtestaat[[#This Row],[Prest. (m2 /jaar) weekend]]+Ruimtestaat[[#This Row],[Prest. (m2 /jaar) werkdagen]]</f>
        <v>1050</v>
      </c>
      <c r="AG421" s="66">
        <f>Ruimtestaat[[#This Row],[uren / jaar weekend]]+Ruimtestaat[[#This Row],[uren / jaar werkdagen]]</f>
        <v>0</v>
      </c>
      <c r="AH421" s="67">
        <f>Ruimtestaat[[#This Row],[kosten / jaar weekend]]+Ruimtestaat[[#This Row],[kosten / jaar werkdagen]]</f>
        <v>0</v>
      </c>
    </row>
    <row r="422" spans="1:34" ht="15" customHeight="1">
      <c r="A422" s="112">
        <v>3</v>
      </c>
      <c r="B422" s="23" t="str">
        <f>VLOOKUP(Ruimtestaat[[#This Row],[Code]],Locaties[#All],2,FALSE)</f>
        <v>RSG N.O. Veluwe</v>
      </c>
      <c r="C422" s="23" t="str">
        <f>VLOOKUP(Ruimtestaat[[#This Row],[Code]],Locaties[#All],4,FALSE)</f>
        <v>Schotweg 1</v>
      </c>
      <c r="D422" s="23" t="str">
        <f>VLOOKUP(Ruimtestaat[[#This Row],[Code]],Locaties[#All],5,FALSE)</f>
        <v>8162 GM</v>
      </c>
      <c r="E422" s="23" t="str">
        <f>VLOOKUP(Ruimtestaat[[#This Row],[Code]],Locaties[#All],6,FALSE)</f>
        <v>Epe</v>
      </c>
      <c r="F422" s="23" t="s">
        <v>1109</v>
      </c>
      <c r="G422" s="60"/>
      <c r="H422" s="23" t="s">
        <v>1298</v>
      </c>
      <c r="I422" s="23" t="s">
        <v>1132</v>
      </c>
      <c r="J422" s="3" t="s">
        <v>684</v>
      </c>
      <c r="K422" s="23">
        <v>11</v>
      </c>
      <c r="L422" s="60" t="str">
        <f>VLOOKUP(K422,Ruimtegroepen[],2,FALSE)</f>
        <v>Kooklokaal/leskeuken</v>
      </c>
      <c r="M422" s="23" t="s">
        <v>113</v>
      </c>
      <c r="N422" s="23" t="s">
        <v>1091</v>
      </c>
      <c r="O422" s="86">
        <v>12</v>
      </c>
      <c r="P422" s="86"/>
      <c r="Q422" s="95" t="str">
        <f>LEFT(VLOOKUP(Ruimtestaat[[#This Row],[Ruimte code]],Ruimtegroepen[#All],4,1),2)</f>
        <v xml:space="preserve">L </v>
      </c>
      <c r="R422" s="95"/>
      <c r="S422" s="87">
        <v>42</v>
      </c>
      <c r="T422" s="87" t="s">
        <v>2</v>
      </c>
      <c r="U422" s="88">
        <f>IF(S422&gt;0,IF(RIGHT(Ruimtestaat[[#This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22" s="88">
        <f>IF(U422&gt;0,VLOOKUP($K422,Ruimtegroepen[],3,FALSE)*VLOOKUP($M422,Vloersoorten[],3,FALSE)*VLOOKUP($T422,Frequenties[],3,FALSE)*VLOOKUP($A422,Locaties[],3,FALSE),0)</f>
        <v>0</v>
      </c>
      <c r="W422" s="89">
        <f>Ruimtestaat[[#This Row],[Uitvoeringen werkdagen]]*Ruimtestaat[[#This Row],[Oppervlak (netto)]]</f>
        <v>2520</v>
      </c>
      <c r="X422" s="90">
        <f>IF(V422&gt;0,Ruimtestaat[[#This Row],[Prest. (m2 /jaar) werkdagen]]/Ruimtestaat[[#This Row],[Norm (m2/uur) werkdagen]],0)</f>
        <v>0</v>
      </c>
      <c r="Y422" s="91">
        <f>Ruimtestaat[[#This Row],[uren / jaar werkdagen]]*Tariefsopbouw!$E$35</f>
        <v>0</v>
      </c>
      <c r="Z422" s="88"/>
      <c r="AA422" s="92">
        <f>IF(Ruimtestaat[[#This Row],[Frequentie weekend]]&gt;0,VALUE(LEFT(Z422,1))*S422,0)</f>
        <v>0</v>
      </c>
      <c r="AB422" s="88">
        <f>IF($AA422&gt;0,VLOOKUP($K422,Ruimtegroepen[],3,FALSE)*VLOOKUP($M422,Vloersoorten[],3,FALSE)*VLOOKUP($Z422,Frequenties[],3,FALSE)*VLOOKUP(#REF!,Locaties[],3,FALSE),0)</f>
        <v>0</v>
      </c>
      <c r="AC422" s="90">
        <f>Ruimtestaat[[#This Row],[Uitvoeringen weekend]]*Ruimtestaat[[#This Row],[Oppervlak (netto)]]</f>
        <v>0</v>
      </c>
      <c r="AD422" s="93">
        <f>IF(AC422&gt;0,Ruimtestaat[[#This Row],[Prest. (m2 /jaar) weekend]]/Ruimtestaat[[#This Row],[Norm (m2/uur) weekend]],0)</f>
        <v>0</v>
      </c>
      <c r="AE422" s="94">
        <f>Ruimtestaat[[#This Row],[uren / jaar weekend]]*Tariefsopbouw!$D$40</f>
        <v>0</v>
      </c>
      <c r="AF422" s="66">
        <f>Ruimtestaat[[#This Row],[Prest. (m2 /jaar) weekend]]+Ruimtestaat[[#This Row],[Prest. (m2 /jaar) werkdagen]]</f>
        <v>2520</v>
      </c>
      <c r="AG422" s="66">
        <f>Ruimtestaat[[#This Row],[uren / jaar weekend]]+Ruimtestaat[[#This Row],[uren / jaar werkdagen]]</f>
        <v>0</v>
      </c>
      <c r="AH422" s="67">
        <f>Ruimtestaat[[#This Row],[kosten / jaar weekend]]+Ruimtestaat[[#This Row],[kosten / jaar werkdagen]]</f>
        <v>0</v>
      </c>
    </row>
    <row r="423" spans="1:34" ht="15" customHeight="1">
      <c r="A423" s="112">
        <v>3</v>
      </c>
      <c r="B423" s="23" t="str">
        <f>VLOOKUP(Ruimtestaat[[#This Row],[Code]],Locaties[#All],2,FALSE)</f>
        <v>RSG N.O. Veluwe</v>
      </c>
      <c r="C423" s="23" t="str">
        <f>VLOOKUP(Ruimtestaat[[#This Row],[Code]],Locaties[#All],4,FALSE)</f>
        <v>Schotweg 1</v>
      </c>
      <c r="D423" s="23" t="str">
        <f>VLOOKUP(Ruimtestaat[[#This Row],[Code]],Locaties[#All],5,FALSE)</f>
        <v>8162 GM</v>
      </c>
      <c r="E423" s="23" t="str">
        <f>VLOOKUP(Ruimtestaat[[#This Row],[Code]],Locaties[#All],6,FALSE)</f>
        <v>Epe</v>
      </c>
      <c r="F423" s="23" t="s">
        <v>1109</v>
      </c>
      <c r="G423" s="60"/>
      <c r="H423" s="23" t="s">
        <v>1298</v>
      </c>
      <c r="I423" s="23" t="s">
        <v>1134</v>
      </c>
      <c r="J423" s="3" t="s">
        <v>1186</v>
      </c>
      <c r="K423" s="23">
        <v>5</v>
      </c>
      <c r="L423" s="60" t="str">
        <f>VLOOKUP(K423,Ruimtegroepen[],2,FALSE)</f>
        <v>Sanitair</v>
      </c>
      <c r="M423" s="23" t="s">
        <v>113</v>
      </c>
      <c r="N423" s="23" t="s">
        <v>1091</v>
      </c>
      <c r="O423" s="86">
        <v>5</v>
      </c>
      <c r="P423" s="86"/>
      <c r="Q423" s="95" t="str">
        <f>LEFT(VLOOKUP(Ruimtestaat[[#This Row],[Ruimte code]],Ruimtegroepen[#All],4,1),2)</f>
        <v xml:space="preserve">S </v>
      </c>
      <c r="R423" s="95"/>
      <c r="S423" s="87">
        <v>42</v>
      </c>
      <c r="T423" s="87" t="s">
        <v>2</v>
      </c>
      <c r="U423" s="88">
        <f>IF(S423&gt;0,IF(RIGHT(Ruimtestaat[[#This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23" s="88">
        <f>IF(U423&gt;0,VLOOKUP($K423,Ruimtegroepen[],3,FALSE)*VLOOKUP($M423,Vloersoorten[],3,FALSE)*VLOOKUP($T423,Frequenties[],3,FALSE)*VLOOKUP($A423,Locaties[],3,FALSE),0)</f>
        <v>0</v>
      </c>
      <c r="W423" s="89">
        <f>Ruimtestaat[[#This Row],[Uitvoeringen werkdagen]]*Ruimtestaat[[#This Row],[Oppervlak (netto)]]</f>
        <v>1050</v>
      </c>
      <c r="X423" s="90">
        <f>IF(V423&gt;0,Ruimtestaat[[#This Row],[Prest. (m2 /jaar) werkdagen]]/Ruimtestaat[[#This Row],[Norm (m2/uur) werkdagen]],0)</f>
        <v>0</v>
      </c>
      <c r="Y423" s="91">
        <f>Ruimtestaat[[#This Row],[uren / jaar werkdagen]]*Tariefsopbouw!$E$35</f>
        <v>0</v>
      </c>
      <c r="Z423" s="88"/>
      <c r="AA423" s="92">
        <f>IF(Ruimtestaat[[#This Row],[Frequentie weekend]]&gt;0,VALUE(LEFT(Z423,1))*S423,0)</f>
        <v>0</v>
      </c>
      <c r="AB423" s="88">
        <f>IF($AA423&gt;0,VLOOKUP($K423,Ruimtegroepen[],3,FALSE)*VLOOKUP($M423,Vloersoorten[],3,FALSE)*VLOOKUP($Z423,Frequenties[],3,FALSE)*VLOOKUP(#REF!,Locaties[],3,FALSE),0)</f>
        <v>0</v>
      </c>
      <c r="AC423" s="90">
        <f>Ruimtestaat[[#This Row],[Uitvoeringen weekend]]*Ruimtestaat[[#This Row],[Oppervlak (netto)]]</f>
        <v>0</v>
      </c>
      <c r="AD423" s="93">
        <f>IF(AC423&gt;0,Ruimtestaat[[#This Row],[Prest. (m2 /jaar) weekend]]/Ruimtestaat[[#This Row],[Norm (m2/uur) weekend]],0)</f>
        <v>0</v>
      </c>
      <c r="AE423" s="94">
        <f>Ruimtestaat[[#This Row],[uren / jaar weekend]]*Tariefsopbouw!$D$40</f>
        <v>0</v>
      </c>
      <c r="AF423" s="66">
        <f>Ruimtestaat[[#This Row],[Prest. (m2 /jaar) weekend]]+Ruimtestaat[[#This Row],[Prest. (m2 /jaar) werkdagen]]</f>
        <v>1050</v>
      </c>
      <c r="AG423" s="66">
        <f>Ruimtestaat[[#This Row],[uren / jaar weekend]]+Ruimtestaat[[#This Row],[uren / jaar werkdagen]]</f>
        <v>0</v>
      </c>
      <c r="AH423" s="67">
        <f>Ruimtestaat[[#This Row],[kosten / jaar weekend]]+Ruimtestaat[[#This Row],[kosten / jaar werkdagen]]</f>
        <v>0</v>
      </c>
    </row>
    <row r="424" spans="1:34" ht="15" customHeight="1">
      <c r="A424" s="112">
        <v>3</v>
      </c>
      <c r="B424" s="23" t="str">
        <f>VLOOKUP(Ruimtestaat[[#This Row],[Code]],Locaties[#All],2,FALSE)</f>
        <v>RSG N.O. Veluwe</v>
      </c>
      <c r="C424" s="23" t="str">
        <f>VLOOKUP(Ruimtestaat[[#This Row],[Code]],Locaties[#All],4,FALSE)</f>
        <v>Schotweg 1</v>
      </c>
      <c r="D424" s="23" t="str">
        <f>VLOOKUP(Ruimtestaat[[#This Row],[Code]],Locaties[#All],5,FALSE)</f>
        <v>8162 GM</v>
      </c>
      <c r="E424" s="23" t="str">
        <f>VLOOKUP(Ruimtestaat[[#This Row],[Code]],Locaties[#All],6,FALSE)</f>
        <v>Epe</v>
      </c>
      <c r="F424" s="23" t="s">
        <v>1109</v>
      </c>
      <c r="G424" s="60"/>
      <c r="H424" s="23" t="s">
        <v>1298</v>
      </c>
      <c r="I424" s="23" t="s">
        <v>1135</v>
      </c>
      <c r="J424" s="3" t="s">
        <v>1187</v>
      </c>
      <c r="K424" s="23">
        <v>1</v>
      </c>
      <c r="L424" s="60" t="str">
        <f>VLOOKUP(K424,Ruimtegroepen[],2,FALSE)</f>
        <v>Magazijnen/bergingen</v>
      </c>
      <c r="M424" s="23" t="s">
        <v>1300</v>
      </c>
      <c r="N424" s="23" t="s">
        <v>1301</v>
      </c>
      <c r="O424" s="86">
        <v>16</v>
      </c>
      <c r="P424" s="86"/>
      <c r="Q424" s="95" t="str">
        <f>LEFT(VLOOKUP(Ruimtestaat[[#This Row],[Ruimte code]],Ruimtegroepen[#All],4,1),2)</f>
        <v xml:space="preserve">V </v>
      </c>
      <c r="R424" s="95"/>
      <c r="S424" s="87">
        <v>40</v>
      </c>
      <c r="T424" s="87" t="s">
        <v>15</v>
      </c>
      <c r="U424" s="88">
        <f>IF(S424&gt;0,IF(RIGHT(Ruimtestaat[[#This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V424" s="88">
        <f>IF(U424&gt;0,VLOOKUP($K424,Ruimtegroepen[],3,FALSE)*VLOOKUP($M424,Vloersoorten[],3,FALSE)*VLOOKUP($T424,Frequenties[],3,FALSE)*VLOOKUP($A424,Locaties[],3,FALSE),0)</f>
        <v>0</v>
      </c>
      <c r="W424" s="89">
        <f>Ruimtestaat[[#This Row],[Uitvoeringen werkdagen]]*Ruimtestaat[[#This Row],[Oppervlak (netto)]]</f>
        <v>640</v>
      </c>
      <c r="X424" s="90">
        <f>IF(V424&gt;0,Ruimtestaat[[#This Row],[Prest. (m2 /jaar) werkdagen]]/Ruimtestaat[[#This Row],[Norm (m2/uur) werkdagen]],0)</f>
        <v>0</v>
      </c>
      <c r="Y424" s="91">
        <f>Ruimtestaat[[#This Row],[uren / jaar werkdagen]]*Tariefsopbouw!$E$35</f>
        <v>0</v>
      </c>
      <c r="Z424" s="88"/>
      <c r="AA424" s="92">
        <f>IF(Ruimtestaat[[#This Row],[Frequentie weekend]]&gt;0,VALUE(LEFT(Z424,1))*S424,0)</f>
        <v>0</v>
      </c>
      <c r="AB424" s="88">
        <f>IF($AA424&gt;0,VLOOKUP($K424,Ruimtegroepen[],3,FALSE)*VLOOKUP($M424,Vloersoorten[],3,FALSE)*VLOOKUP($Z424,Frequenties[],3,FALSE)*VLOOKUP(#REF!,Locaties[],3,FALSE),0)</f>
        <v>0</v>
      </c>
      <c r="AC424" s="90">
        <f>Ruimtestaat[[#This Row],[Uitvoeringen weekend]]*Ruimtestaat[[#This Row],[Oppervlak (netto)]]</f>
        <v>0</v>
      </c>
      <c r="AD424" s="93">
        <f>IF(AC424&gt;0,Ruimtestaat[[#This Row],[Prest. (m2 /jaar) weekend]]/Ruimtestaat[[#This Row],[Norm (m2/uur) weekend]],0)</f>
        <v>0</v>
      </c>
      <c r="AE424" s="94">
        <f>Ruimtestaat[[#This Row],[uren / jaar weekend]]*Tariefsopbouw!$D$40</f>
        <v>0</v>
      </c>
      <c r="AF424" s="66">
        <f>Ruimtestaat[[#This Row],[Prest. (m2 /jaar) weekend]]+Ruimtestaat[[#This Row],[Prest. (m2 /jaar) werkdagen]]</f>
        <v>640</v>
      </c>
      <c r="AG424" s="66">
        <f>Ruimtestaat[[#This Row],[uren / jaar weekend]]+Ruimtestaat[[#This Row],[uren / jaar werkdagen]]</f>
        <v>0</v>
      </c>
      <c r="AH424" s="67">
        <f>Ruimtestaat[[#This Row],[kosten / jaar weekend]]+Ruimtestaat[[#This Row],[kosten / jaar werkdagen]]</f>
        <v>0</v>
      </c>
    </row>
    <row r="425" spans="1:34" ht="15" customHeight="1">
      <c r="A425" s="112">
        <v>3</v>
      </c>
      <c r="B425" s="23" t="str">
        <f>VLOOKUP(Ruimtestaat[[#This Row],[Code]],Locaties[#All],2,FALSE)</f>
        <v>RSG N.O. Veluwe</v>
      </c>
      <c r="C425" s="23" t="str">
        <f>VLOOKUP(Ruimtestaat[[#This Row],[Code]],Locaties[#All],4,FALSE)</f>
        <v>Schotweg 1</v>
      </c>
      <c r="D425" s="23" t="str">
        <f>VLOOKUP(Ruimtestaat[[#This Row],[Code]],Locaties[#All],5,FALSE)</f>
        <v>8162 GM</v>
      </c>
      <c r="E425" s="23" t="str">
        <f>VLOOKUP(Ruimtestaat[[#This Row],[Code]],Locaties[#All],6,FALSE)</f>
        <v>Epe</v>
      </c>
      <c r="F425" s="23" t="s">
        <v>1109</v>
      </c>
      <c r="G425" s="60"/>
      <c r="H425" s="23" t="s">
        <v>1298</v>
      </c>
      <c r="I425" s="23" t="s">
        <v>1137</v>
      </c>
      <c r="J425" s="3" t="s">
        <v>1184</v>
      </c>
      <c r="K425" s="23">
        <v>13</v>
      </c>
      <c r="L425" s="60" t="str">
        <f>VLOOKUP(K425,Ruimtegroepen[],2,FALSE)</f>
        <v>HV/Technieklokaal</v>
      </c>
      <c r="M425" s="23" t="s">
        <v>113</v>
      </c>
      <c r="N425" s="23" t="s">
        <v>1305</v>
      </c>
      <c r="O425" s="86">
        <v>100</v>
      </c>
      <c r="P425" s="86"/>
      <c r="Q425" s="95" t="str">
        <f>LEFT(VLOOKUP(Ruimtestaat[[#This Row],[Ruimte code]],Ruimtegroepen[#All],4,1),2)</f>
        <v xml:space="preserve">L </v>
      </c>
      <c r="R425" s="95"/>
      <c r="S425" s="87">
        <v>40</v>
      </c>
      <c r="T425" s="87" t="s">
        <v>2</v>
      </c>
      <c r="U425" s="88">
        <f>IF(S425&gt;0,IF(RIGHT(Ruimtestaat[[#This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25" s="88">
        <f>IF(U425&gt;0,VLOOKUP($K425,Ruimtegroepen[],3,FALSE)*VLOOKUP($M425,Vloersoorten[],3,FALSE)*VLOOKUP($T425,Frequenties[],3,FALSE)*VLOOKUP($A425,Locaties[],3,FALSE),0)</f>
        <v>0</v>
      </c>
      <c r="W425" s="89">
        <f>Ruimtestaat[[#This Row],[Uitvoeringen werkdagen]]*Ruimtestaat[[#This Row],[Oppervlak (netto)]]</f>
        <v>20000</v>
      </c>
      <c r="X425" s="90">
        <f>IF(V425&gt;0,Ruimtestaat[[#This Row],[Prest. (m2 /jaar) werkdagen]]/Ruimtestaat[[#This Row],[Norm (m2/uur) werkdagen]],0)</f>
        <v>0</v>
      </c>
      <c r="Y425" s="91">
        <f>Ruimtestaat[[#This Row],[uren / jaar werkdagen]]*Tariefsopbouw!$E$35</f>
        <v>0</v>
      </c>
      <c r="Z425" s="88"/>
      <c r="AA425" s="92">
        <f>IF(Ruimtestaat[[#This Row],[Frequentie weekend]]&gt;0,VALUE(LEFT(Z425,1))*S425,0)</f>
        <v>0</v>
      </c>
      <c r="AB425" s="88">
        <f>IF($AA425&gt;0,VLOOKUP($K425,Ruimtegroepen[],3,FALSE)*VLOOKUP($M425,Vloersoorten[],3,FALSE)*VLOOKUP($Z425,Frequenties[],3,FALSE)*VLOOKUP(#REF!,Locaties[],3,FALSE),0)</f>
        <v>0</v>
      </c>
      <c r="AC425" s="90">
        <f>Ruimtestaat[[#This Row],[Uitvoeringen weekend]]*Ruimtestaat[[#This Row],[Oppervlak (netto)]]</f>
        <v>0</v>
      </c>
      <c r="AD425" s="93">
        <f>IF(AC425&gt;0,Ruimtestaat[[#This Row],[Prest. (m2 /jaar) weekend]]/Ruimtestaat[[#This Row],[Norm (m2/uur) weekend]],0)</f>
        <v>0</v>
      </c>
      <c r="AE425" s="94">
        <f>Ruimtestaat[[#This Row],[uren / jaar weekend]]*Tariefsopbouw!$D$40</f>
        <v>0</v>
      </c>
      <c r="AF425" s="66">
        <f>Ruimtestaat[[#This Row],[Prest. (m2 /jaar) weekend]]+Ruimtestaat[[#This Row],[Prest. (m2 /jaar) werkdagen]]</f>
        <v>20000</v>
      </c>
      <c r="AG425" s="66">
        <f>Ruimtestaat[[#This Row],[uren / jaar weekend]]+Ruimtestaat[[#This Row],[uren / jaar werkdagen]]</f>
        <v>0</v>
      </c>
      <c r="AH425" s="67">
        <f>Ruimtestaat[[#This Row],[kosten / jaar weekend]]+Ruimtestaat[[#This Row],[kosten / jaar werkdagen]]</f>
        <v>0</v>
      </c>
    </row>
    <row r="426" spans="1:34" ht="15" customHeight="1">
      <c r="A426" s="112">
        <v>3</v>
      </c>
      <c r="B426" s="23" t="str">
        <f>VLOOKUP(Ruimtestaat[[#This Row],[Code]],Locaties[#All],2,FALSE)</f>
        <v>RSG N.O. Veluwe</v>
      </c>
      <c r="C426" s="23" t="str">
        <f>VLOOKUP(Ruimtestaat[[#This Row],[Code]],Locaties[#All],4,FALSE)</f>
        <v>Schotweg 1</v>
      </c>
      <c r="D426" s="23" t="str">
        <f>VLOOKUP(Ruimtestaat[[#This Row],[Code]],Locaties[#All],5,FALSE)</f>
        <v>8162 GM</v>
      </c>
      <c r="E426" s="23" t="str">
        <f>VLOOKUP(Ruimtestaat[[#This Row],[Code]],Locaties[#All],6,FALSE)</f>
        <v>Epe</v>
      </c>
      <c r="F426" s="23" t="s">
        <v>1109</v>
      </c>
      <c r="G426" s="60"/>
      <c r="H426" s="23" t="s">
        <v>1298</v>
      </c>
      <c r="I426" s="23" t="s">
        <v>1138</v>
      </c>
      <c r="J426" s="3" t="s">
        <v>1188</v>
      </c>
      <c r="K426" s="23">
        <v>5</v>
      </c>
      <c r="L426" s="60" t="str">
        <f>VLOOKUP(K426,Ruimtegroepen[],2,FALSE)</f>
        <v>Sanitair</v>
      </c>
      <c r="M426" s="23" t="s">
        <v>113</v>
      </c>
      <c r="N426" s="23" t="s">
        <v>1302</v>
      </c>
      <c r="O426" s="86">
        <v>4</v>
      </c>
      <c r="P426" s="86"/>
      <c r="Q426" s="95" t="str">
        <f>LEFT(VLOOKUP(Ruimtestaat[[#This Row],[Ruimte code]],Ruimtegroepen[#All],4,1),2)</f>
        <v xml:space="preserve">S </v>
      </c>
      <c r="R426" s="95"/>
      <c r="S426" s="87">
        <v>40</v>
      </c>
      <c r="T426" s="87" t="s">
        <v>2</v>
      </c>
      <c r="U426" s="88">
        <f>IF(S426&gt;0,IF(RIGHT(Ruimtestaat[[#This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26" s="88">
        <f>IF(U426&gt;0,VLOOKUP($K426,Ruimtegroepen[],3,FALSE)*VLOOKUP($M426,Vloersoorten[],3,FALSE)*VLOOKUP($T426,Frequenties[],3,FALSE)*VLOOKUP($A426,Locaties[],3,FALSE),0)</f>
        <v>0</v>
      </c>
      <c r="W426" s="89">
        <f>Ruimtestaat[[#This Row],[Uitvoeringen werkdagen]]*Ruimtestaat[[#This Row],[Oppervlak (netto)]]</f>
        <v>800</v>
      </c>
      <c r="X426" s="90">
        <f>IF(V426&gt;0,Ruimtestaat[[#This Row],[Prest. (m2 /jaar) werkdagen]]/Ruimtestaat[[#This Row],[Norm (m2/uur) werkdagen]],0)</f>
        <v>0</v>
      </c>
      <c r="Y426" s="91">
        <f>Ruimtestaat[[#This Row],[uren / jaar werkdagen]]*Tariefsopbouw!$E$35</f>
        <v>0</v>
      </c>
      <c r="Z426" s="88"/>
      <c r="AA426" s="92">
        <f>IF(Ruimtestaat[[#This Row],[Frequentie weekend]]&gt;0,VALUE(LEFT(Z426,1))*S426,0)</f>
        <v>0</v>
      </c>
      <c r="AB426" s="88">
        <f>IF($AA426&gt;0,VLOOKUP($K426,Ruimtegroepen[],3,FALSE)*VLOOKUP($M426,Vloersoorten[],3,FALSE)*VLOOKUP($Z426,Frequenties[],3,FALSE)*VLOOKUP(#REF!,Locaties[],3,FALSE),0)</f>
        <v>0</v>
      </c>
      <c r="AC426" s="90">
        <f>Ruimtestaat[[#This Row],[Uitvoeringen weekend]]*Ruimtestaat[[#This Row],[Oppervlak (netto)]]</f>
        <v>0</v>
      </c>
      <c r="AD426" s="93">
        <f>IF(AC426&gt;0,Ruimtestaat[[#This Row],[Prest. (m2 /jaar) weekend]]/Ruimtestaat[[#This Row],[Norm (m2/uur) weekend]],0)</f>
        <v>0</v>
      </c>
      <c r="AE426" s="94">
        <f>Ruimtestaat[[#This Row],[uren / jaar weekend]]*Tariefsopbouw!$D$40</f>
        <v>0</v>
      </c>
      <c r="AF426" s="66">
        <f>Ruimtestaat[[#This Row],[Prest. (m2 /jaar) weekend]]+Ruimtestaat[[#This Row],[Prest. (m2 /jaar) werkdagen]]</f>
        <v>800</v>
      </c>
      <c r="AG426" s="66">
        <f>Ruimtestaat[[#This Row],[uren / jaar weekend]]+Ruimtestaat[[#This Row],[uren / jaar werkdagen]]</f>
        <v>0</v>
      </c>
      <c r="AH426" s="67">
        <f>Ruimtestaat[[#This Row],[kosten / jaar weekend]]+Ruimtestaat[[#This Row],[kosten / jaar werkdagen]]</f>
        <v>0</v>
      </c>
    </row>
    <row r="427" spans="1:34" ht="15" customHeight="1">
      <c r="A427" s="112">
        <v>3</v>
      </c>
      <c r="B427" s="23" t="str">
        <f>VLOOKUP(Ruimtestaat[[#This Row],[Code]],Locaties[#All],2,FALSE)</f>
        <v>RSG N.O. Veluwe</v>
      </c>
      <c r="C427" s="23" t="str">
        <f>VLOOKUP(Ruimtestaat[[#This Row],[Code]],Locaties[#All],4,FALSE)</f>
        <v>Schotweg 1</v>
      </c>
      <c r="D427" s="23" t="str">
        <f>VLOOKUP(Ruimtestaat[[#This Row],[Code]],Locaties[#All],5,FALSE)</f>
        <v>8162 GM</v>
      </c>
      <c r="E427" s="23" t="str">
        <f>VLOOKUP(Ruimtestaat[[#This Row],[Code]],Locaties[#All],6,FALSE)</f>
        <v>Epe</v>
      </c>
      <c r="F427" s="23" t="s">
        <v>1109</v>
      </c>
      <c r="G427" s="60"/>
      <c r="H427" s="23" t="s">
        <v>1298</v>
      </c>
      <c r="I427" s="23" t="s">
        <v>1139</v>
      </c>
      <c r="J427" s="3" t="s">
        <v>264</v>
      </c>
      <c r="K427" s="23">
        <v>10</v>
      </c>
      <c r="L427" s="60" t="str">
        <f>VLOOKUP(K427,Ruimtegroepen[],2,FALSE)</f>
        <v>Trappenhuizen/lift</v>
      </c>
      <c r="M427" s="23" t="s">
        <v>1300</v>
      </c>
      <c r="N427" s="23" t="s">
        <v>1301</v>
      </c>
      <c r="O427" s="86">
        <v>2</v>
      </c>
      <c r="P427" s="86"/>
      <c r="Q427" s="95" t="str">
        <f>LEFT(VLOOKUP(Ruimtestaat[[#This Row],[Ruimte code]],Ruimtegroepen[#All],4,1),2)</f>
        <v xml:space="preserve">V </v>
      </c>
      <c r="R427" s="95"/>
      <c r="S427" s="87">
        <v>42</v>
      </c>
      <c r="T427" s="87" t="s">
        <v>2</v>
      </c>
      <c r="U427" s="88">
        <f>IF(S427&gt;0,IF(RIGHT(Ruimtestaat[[#This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27" s="88">
        <f>IF(U427&gt;0,VLOOKUP($K427,Ruimtegroepen[],3,FALSE)*VLOOKUP($M427,Vloersoorten[],3,FALSE)*VLOOKUP($T427,Frequenties[],3,FALSE)*VLOOKUP($A427,Locaties[],3,FALSE),0)</f>
        <v>0</v>
      </c>
      <c r="W427" s="89">
        <f>Ruimtestaat[[#This Row],[Uitvoeringen werkdagen]]*Ruimtestaat[[#This Row],[Oppervlak (netto)]]</f>
        <v>420</v>
      </c>
      <c r="X427" s="90">
        <f>IF(V427&gt;0,Ruimtestaat[[#This Row],[Prest. (m2 /jaar) werkdagen]]/Ruimtestaat[[#This Row],[Norm (m2/uur) werkdagen]],0)</f>
        <v>0</v>
      </c>
      <c r="Y427" s="91">
        <f>Ruimtestaat[[#This Row],[uren / jaar werkdagen]]*Tariefsopbouw!$E$35</f>
        <v>0</v>
      </c>
      <c r="Z427" s="88"/>
      <c r="AA427" s="92">
        <f>IF(Ruimtestaat[[#This Row],[Frequentie weekend]]&gt;0,VALUE(LEFT(Z427,1))*S427,0)</f>
        <v>0</v>
      </c>
      <c r="AB427" s="88">
        <f>IF($AA427&gt;0,VLOOKUP($K427,Ruimtegroepen[],3,FALSE)*VLOOKUP($M427,Vloersoorten[],3,FALSE)*VLOOKUP($Z427,Frequenties[],3,FALSE)*VLOOKUP(#REF!,Locaties[],3,FALSE),0)</f>
        <v>0</v>
      </c>
      <c r="AC427" s="90">
        <f>Ruimtestaat[[#This Row],[Uitvoeringen weekend]]*Ruimtestaat[[#This Row],[Oppervlak (netto)]]</f>
        <v>0</v>
      </c>
      <c r="AD427" s="93">
        <f>IF(AC427&gt;0,Ruimtestaat[[#This Row],[Prest. (m2 /jaar) weekend]]/Ruimtestaat[[#This Row],[Norm (m2/uur) weekend]],0)</f>
        <v>0</v>
      </c>
      <c r="AE427" s="94">
        <f>Ruimtestaat[[#This Row],[uren / jaar weekend]]*Tariefsopbouw!$D$40</f>
        <v>0</v>
      </c>
      <c r="AF427" s="66">
        <f>Ruimtestaat[[#This Row],[Prest. (m2 /jaar) weekend]]+Ruimtestaat[[#This Row],[Prest. (m2 /jaar) werkdagen]]</f>
        <v>420</v>
      </c>
      <c r="AG427" s="66">
        <f>Ruimtestaat[[#This Row],[uren / jaar weekend]]+Ruimtestaat[[#This Row],[uren / jaar werkdagen]]</f>
        <v>0</v>
      </c>
      <c r="AH427" s="67">
        <f>Ruimtestaat[[#This Row],[kosten / jaar weekend]]+Ruimtestaat[[#This Row],[kosten / jaar werkdagen]]</f>
        <v>0</v>
      </c>
    </row>
    <row r="428" spans="1:34" ht="15" customHeight="1">
      <c r="A428" s="112">
        <v>3</v>
      </c>
      <c r="B428" s="23" t="str">
        <f>VLOOKUP(Ruimtestaat[[#This Row],[Code]],Locaties[#All],2,FALSE)</f>
        <v>RSG N.O. Veluwe</v>
      </c>
      <c r="C428" s="23" t="str">
        <f>VLOOKUP(Ruimtestaat[[#This Row],[Code]],Locaties[#All],4,FALSE)</f>
        <v>Schotweg 1</v>
      </c>
      <c r="D428" s="23" t="str">
        <f>VLOOKUP(Ruimtestaat[[#This Row],[Code]],Locaties[#All],5,FALSE)</f>
        <v>8162 GM</v>
      </c>
      <c r="E428" s="23" t="str">
        <f>VLOOKUP(Ruimtestaat[[#This Row],[Code]],Locaties[#All],6,FALSE)</f>
        <v>Epe</v>
      </c>
      <c r="F428" s="23" t="s">
        <v>1109</v>
      </c>
      <c r="G428" s="60"/>
      <c r="H428" s="23" t="s">
        <v>1298</v>
      </c>
      <c r="J428" s="3" t="s">
        <v>1189</v>
      </c>
      <c r="K428" s="23">
        <v>6</v>
      </c>
      <c r="L428" s="60" t="str">
        <f>VLOOKUP(K428,Ruimtegroepen[],2,FALSE)</f>
        <v>Gangen/hallen</v>
      </c>
      <c r="M428" s="23" t="s">
        <v>1300</v>
      </c>
      <c r="N428" s="23" t="s">
        <v>1301</v>
      </c>
      <c r="O428" s="86">
        <v>172</v>
      </c>
      <c r="P428" s="86"/>
      <c r="Q428" s="95" t="str">
        <f>LEFT(VLOOKUP(Ruimtestaat[[#This Row],[Ruimte code]],Ruimtegroepen[#All],4,1),2)</f>
        <v xml:space="preserve">V </v>
      </c>
      <c r="R428" s="95"/>
      <c r="S428" s="87">
        <v>42</v>
      </c>
      <c r="T428" s="87" t="s">
        <v>2</v>
      </c>
      <c r="U428" s="88">
        <f>IF(S428&gt;0,IF(RIGHT(Ruimtestaat[[#This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28" s="88">
        <f>IF(U428&gt;0,VLOOKUP($K428,Ruimtegroepen[],3,FALSE)*VLOOKUP($M428,Vloersoorten[],3,FALSE)*VLOOKUP($T428,Frequenties[],3,FALSE)*VLOOKUP($A428,Locaties[],3,FALSE),0)</f>
        <v>0</v>
      </c>
      <c r="W428" s="89">
        <f>Ruimtestaat[[#This Row],[Uitvoeringen werkdagen]]*Ruimtestaat[[#This Row],[Oppervlak (netto)]]</f>
        <v>36120</v>
      </c>
      <c r="X428" s="90">
        <f>IF(V428&gt;0,Ruimtestaat[[#This Row],[Prest. (m2 /jaar) werkdagen]]/Ruimtestaat[[#This Row],[Norm (m2/uur) werkdagen]],0)</f>
        <v>0</v>
      </c>
      <c r="Y428" s="91">
        <f>Ruimtestaat[[#This Row],[uren / jaar werkdagen]]*Tariefsopbouw!$E$35</f>
        <v>0</v>
      </c>
      <c r="Z428" s="88"/>
      <c r="AA428" s="92">
        <f>IF(Ruimtestaat[[#This Row],[Frequentie weekend]]&gt;0,VALUE(LEFT(Z428,1))*S428,0)</f>
        <v>0</v>
      </c>
      <c r="AB428" s="88">
        <f>IF($AA428&gt;0,VLOOKUP($K428,Ruimtegroepen[],3,FALSE)*VLOOKUP($M428,Vloersoorten[],3,FALSE)*VLOOKUP($Z428,Frequenties[],3,FALSE)*VLOOKUP(#REF!,Locaties[],3,FALSE),0)</f>
        <v>0</v>
      </c>
      <c r="AC428" s="90">
        <f>Ruimtestaat[[#This Row],[Uitvoeringen weekend]]*Ruimtestaat[[#This Row],[Oppervlak (netto)]]</f>
        <v>0</v>
      </c>
      <c r="AD428" s="93">
        <f>IF(AC428&gt;0,Ruimtestaat[[#This Row],[Prest. (m2 /jaar) weekend]]/Ruimtestaat[[#This Row],[Norm (m2/uur) weekend]],0)</f>
        <v>0</v>
      </c>
      <c r="AE428" s="94">
        <f>Ruimtestaat[[#This Row],[uren / jaar weekend]]*Tariefsopbouw!$D$40</f>
        <v>0</v>
      </c>
      <c r="AF428" s="66">
        <f>Ruimtestaat[[#This Row],[Prest. (m2 /jaar) weekend]]+Ruimtestaat[[#This Row],[Prest. (m2 /jaar) werkdagen]]</f>
        <v>36120</v>
      </c>
      <c r="AG428" s="66">
        <f>Ruimtestaat[[#This Row],[uren / jaar weekend]]+Ruimtestaat[[#This Row],[uren / jaar werkdagen]]</f>
        <v>0</v>
      </c>
      <c r="AH428" s="67">
        <f>Ruimtestaat[[#This Row],[kosten / jaar weekend]]+Ruimtestaat[[#This Row],[kosten / jaar werkdagen]]</f>
        <v>0</v>
      </c>
    </row>
    <row r="429" spans="1:34" ht="15" customHeight="1">
      <c r="A429" s="112">
        <v>3</v>
      </c>
      <c r="B429" s="23" t="str">
        <f>VLOOKUP(Ruimtestaat[[#This Row],[Code]],Locaties[#All],2,FALSE)</f>
        <v>RSG N.O. Veluwe</v>
      </c>
      <c r="C429" s="23" t="str">
        <f>VLOOKUP(Ruimtestaat[[#This Row],[Code]],Locaties[#All],4,FALSE)</f>
        <v>Schotweg 1</v>
      </c>
      <c r="D429" s="23" t="str">
        <f>VLOOKUP(Ruimtestaat[[#This Row],[Code]],Locaties[#All],5,FALSE)</f>
        <v>8162 GM</v>
      </c>
      <c r="E429" s="23" t="str">
        <f>VLOOKUP(Ruimtestaat[[#This Row],[Code]],Locaties[#All],6,FALSE)</f>
        <v>Epe</v>
      </c>
      <c r="F429" s="23" t="s">
        <v>1110</v>
      </c>
      <c r="G429" s="60"/>
      <c r="H429" s="23" t="s">
        <v>1298</v>
      </c>
      <c r="I429" s="23" t="s">
        <v>1116</v>
      </c>
      <c r="J429" s="3" t="s">
        <v>1179</v>
      </c>
      <c r="K429" s="23">
        <v>16</v>
      </c>
      <c r="L429" s="60" t="str">
        <f>VLOOKUP(K429,Ruimtegroepen[],2,FALSE)</f>
        <v>Leslokalen theorie</v>
      </c>
      <c r="M429" s="23" t="s">
        <v>1300</v>
      </c>
      <c r="N429" s="23" t="s">
        <v>1301</v>
      </c>
      <c r="O429" s="86">
        <v>54</v>
      </c>
      <c r="P429" s="86"/>
      <c r="Q429" s="95" t="str">
        <f>LEFT(VLOOKUP(Ruimtestaat[[#This Row],[Ruimte code]],Ruimtegroepen[#All],4,1),2)</f>
        <v xml:space="preserve">L </v>
      </c>
      <c r="R429" s="95"/>
      <c r="S429" s="87">
        <v>40</v>
      </c>
      <c r="T429" s="87" t="s">
        <v>2</v>
      </c>
      <c r="U429" s="88">
        <f>IF(S429&gt;0,IF(RIGHT(Ruimtestaat[[#This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29" s="88">
        <f>IF(U429&gt;0,VLOOKUP($K429,Ruimtegroepen[],3,FALSE)*VLOOKUP($M429,Vloersoorten[],3,FALSE)*VLOOKUP($T429,Frequenties[],3,FALSE)*VLOOKUP($A429,Locaties[],3,FALSE),0)</f>
        <v>0</v>
      </c>
      <c r="W429" s="89">
        <f>Ruimtestaat[[#This Row],[Uitvoeringen werkdagen]]*Ruimtestaat[[#This Row],[Oppervlak (netto)]]</f>
        <v>10800</v>
      </c>
      <c r="X429" s="90">
        <f>IF(V429&gt;0,Ruimtestaat[[#This Row],[Prest. (m2 /jaar) werkdagen]]/Ruimtestaat[[#This Row],[Norm (m2/uur) werkdagen]],0)</f>
        <v>0</v>
      </c>
      <c r="Y429" s="91">
        <f>Ruimtestaat[[#This Row],[uren / jaar werkdagen]]*Tariefsopbouw!$E$35</f>
        <v>0</v>
      </c>
      <c r="Z429" s="88"/>
      <c r="AA429" s="92">
        <f>IF(Ruimtestaat[[#This Row],[Frequentie weekend]]&gt;0,VALUE(LEFT(Z429,1))*S429,0)</f>
        <v>0</v>
      </c>
      <c r="AB429" s="88">
        <f>IF($AA429&gt;0,VLOOKUP($K429,Ruimtegroepen[],3,FALSE)*VLOOKUP($M429,Vloersoorten[],3,FALSE)*VLOOKUP($Z429,Frequenties[],3,FALSE)*VLOOKUP(#REF!,Locaties[],3,FALSE),0)</f>
        <v>0</v>
      </c>
      <c r="AC429" s="90">
        <f>Ruimtestaat[[#This Row],[Uitvoeringen weekend]]*Ruimtestaat[[#This Row],[Oppervlak (netto)]]</f>
        <v>0</v>
      </c>
      <c r="AD429" s="93">
        <f>IF(AC429&gt;0,Ruimtestaat[[#This Row],[Prest. (m2 /jaar) weekend]]/Ruimtestaat[[#This Row],[Norm (m2/uur) weekend]],0)</f>
        <v>0</v>
      </c>
      <c r="AE429" s="94">
        <f>Ruimtestaat[[#This Row],[uren / jaar weekend]]*Tariefsopbouw!$D$40</f>
        <v>0</v>
      </c>
      <c r="AF429" s="66">
        <f>Ruimtestaat[[#This Row],[Prest. (m2 /jaar) weekend]]+Ruimtestaat[[#This Row],[Prest. (m2 /jaar) werkdagen]]</f>
        <v>10800</v>
      </c>
      <c r="AG429" s="66">
        <f>Ruimtestaat[[#This Row],[uren / jaar weekend]]+Ruimtestaat[[#This Row],[uren / jaar werkdagen]]</f>
        <v>0</v>
      </c>
      <c r="AH429" s="67">
        <f>Ruimtestaat[[#This Row],[kosten / jaar weekend]]+Ruimtestaat[[#This Row],[kosten / jaar werkdagen]]</f>
        <v>0</v>
      </c>
    </row>
    <row r="430" spans="1:34" ht="15" customHeight="1">
      <c r="A430" s="112">
        <v>3</v>
      </c>
      <c r="B430" s="23" t="str">
        <f>VLOOKUP(Ruimtestaat[[#This Row],[Code]],Locaties[#All],2,FALSE)</f>
        <v>RSG N.O. Veluwe</v>
      </c>
      <c r="C430" s="23" t="str">
        <f>VLOOKUP(Ruimtestaat[[#This Row],[Code]],Locaties[#All],4,FALSE)</f>
        <v>Schotweg 1</v>
      </c>
      <c r="D430" s="23" t="str">
        <f>VLOOKUP(Ruimtestaat[[#This Row],[Code]],Locaties[#All],5,FALSE)</f>
        <v>8162 GM</v>
      </c>
      <c r="E430" s="23" t="str">
        <f>VLOOKUP(Ruimtestaat[[#This Row],[Code]],Locaties[#All],6,FALSE)</f>
        <v>Epe</v>
      </c>
      <c r="F430" s="23" t="s">
        <v>1110</v>
      </c>
      <c r="G430" s="60"/>
      <c r="H430" s="23" t="s">
        <v>1298</v>
      </c>
      <c r="I430" s="23" t="s">
        <v>1117</v>
      </c>
      <c r="J430" s="3" t="s">
        <v>1179</v>
      </c>
      <c r="K430" s="23">
        <v>16</v>
      </c>
      <c r="L430" s="60" t="str">
        <f>VLOOKUP(K430,Ruimtegroepen[],2,FALSE)</f>
        <v>Leslokalen theorie</v>
      </c>
      <c r="M430" s="23" t="s">
        <v>1300</v>
      </c>
      <c r="N430" s="23" t="s">
        <v>1301</v>
      </c>
      <c r="O430" s="86">
        <v>54</v>
      </c>
      <c r="P430" s="86"/>
      <c r="Q430" s="95" t="str">
        <f>LEFT(VLOOKUP(Ruimtestaat[[#This Row],[Ruimte code]],Ruimtegroepen[#All],4,1),2)</f>
        <v xml:space="preserve">L </v>
      </c>
      <c r="R430" s="95"/>
      <c r="S430" s="87">
        <v>40</v>
      </c>
      <c r="T430" s="87" t="s">
        <v>2</v>
      </c>
      <c r="U430" s="88">
        <f>IF(S430&gt;0,IF(RIGHT(Ruimtestaat[[#This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30" s="88">
        <f>IF(U430&gt;0,VLOOKUP($K430,Ruimtegroepen[],3,FALSE)*VLOOKUP($M430,Vloersoorten[],3,FALSE)*VLOOKUP($T430,Frequenties[],3,FALSE)*VLOOKUP($A430,Locaties[],3,FALSE),0)</f>
        <v>0</v>
      </c>
      <c r="W430" s="89">
        <f>Ruimtestaat[[#This Row],[Uitvoeringen werkdagen]]*Ruimtestaat[[#This Row],[Oppervlak (netto)]]</f>
        <v>10800</v>
      </c>
      <c r="X430" s="90">
        <f>IF(V430&gt;0,Ruimtestaat[[#This Row],[Prest. (m2 /jaar) werkdagen]]/Ruimtestaat[[#This Row],[Norm (m2/uur) werkdagen]],0)</f>
        <v>0</v>
      </c>
      <c r="Y430" s="91">
        <f>Ruimtestaat[[#This Row],[uren / jaar werkdagen]]*Tariefsopbouw!$E$35</f>
        <v>0</v>
      </c>
      <c r="Z430" s="88"/>
      <c r="AA430" s="92">
        <f>IF(Ruimtestaat[[#This Row],[Frequentie weekend]]&gt;0,VALUE(LEFT(Z430,1))*S430,0)</f>
        <v>0</v>
      </c>
      <c r="AB430" s="88">
        <f>IF($AA430&gt;0,VLOOKUP($K430,Ruimtegroepen[],3,FALSE)*VLOOKUP($M430,Vloersoorten[],3,FALSE)*VLOOKUP($Z430,Frequenties[],3,FALSE)*VLOOKUP(#REF!,Locaties[],3,FALSE),0)</f>
        <v>0</v>
      </c>
      <c r="AC430" s="90">
        <f>Ruimtestaat[[#This Row],[Uitvoeringen weekend]]*Ruimtestaat[[#This Row],[Oppervlak (netto)]]</f>
        <v>0</v>
      </c>
      <c r="AD430" s="93">
        <f>IF(AC430&gt;0,Ruimtestaat[[#This Row],[Prest. (m2 /jaar) weekend]]/Ruimtestaat[[#This Row],[Norm (m2/uur) weekend]],0)</f>
        <v>0</v>
      </c>
      <c r="AE430" s="94">
        <f>Ruimtestaat[[#This Row],[uren / jaar weekend]]*Tariefsopbouw!$D$40</f>
        <v>0</v>
      </c>
      <c r="AF430" s="66">
        <f>Ruimtestaat[[#This Row],[Prest. (m2 /jaar) weekend]]+Ruimtestaat[[#This Row],[Prest. (m2 /jaar) werkdagen]]</f>
        <v>10800</v>
      </c>
      <c r="AG430" s="66">
        <f>Ruimtestaat[[#This Row],[uren / jaar weekend]]+Ruimtestaat[[#This Row],[uren / jaar werkdagen]]</f>
        <v>0</v>
      </c>
      <c r="AH430" s="67">
        <f>Ruimtestaat[[#This Row],[kosten / jaar weekend]]+Ruimtestaat[[#This Row],[kosten / jaar werkdagen]]</f>
        <v>0</v>
      </c>
    </row>
    <row r="431" spans="1:34" ht="15" customHeight="1">
      <c r="A431" s="112">
        <v>3</v>
      </c>
      <c r="B431" s="23" t="str">
        <f>VLOOKUP(Ruimtestaat[[#This Row],[Code]],Locaties[#All],2,FALSE)</f>
        <v>RSG N.O. Veluwe</v>
      </c>
      <c r="C431" s="23" t="str">
        <f>VLOOKUP(Ruimtestaat[[#This Row],[Code]],Locaties[#All],4,FALSE)</f>
        <v>Schotweg 1</v>
      </c>
      <c r="D431" s="23" t="str">
        <f>VLOOKUP(Ruimtestaat[[#This Row],[Code]],Locaties[#All],5,FALSE)</f>
        <v>8162 GM</v>
      </c>
      <c r="E431" s="23" t="str">
        <f>VLOOKUP(Ruimtestaat[[#This Row],[Code]],Locaties[#All],6,FALSE)</f>
        <v>Epe</v>
      </c>
      <c r="F431" s="23" t="s">
        <v>1110</v>
      </c>
      <c r="G431" s="60"/>
      <c r="H431" s="23" t="s">
        <v>1298</v>
      </c>
      <c r="I431" s="23" t="s">
        <v>1118</v>
      </c>
      <c r="J431" s="3" t="s">
        <v>1179</v>
      </c>
      <c r="K431" s="23">
        <v>16</v>
      </c>
      <c r="L431" s="60" t="str">
        <f>VLOOKUP(K431,Ruimtegroepen[],2,FALSE)</f>
        <v>Leslokalen theorie</v>
      </c>
      <c r="M431" s="23" t="s">
        <v>1300</v>
      </c>
      <c r="N431" s="23" t="s">
        <v>1301</v>
      </c>
      <c r="O431" s="86">
        <v>54</v>
      </c>
      <c r="P431" s="86"/>
      <c r="Q431" s="95" t="str">
        <f>LEFT(VLOOKUP(Ruimtestaat[[#This Row],[Ruimte code]],Ruimtegroepen[#All],4,1),2)</f>
        <v xml:space="preserve">L </v>
      </c>
      <c r="R431" s="95"/>
      <c r="S431" s="87">
        <v>40</v>
      </c>
      <c r="T431" s="87" t="s">
        <v>2</v>
      </c>
      <c r="U431" s="88">
        <f>IF(S431&gt;0,IF(RIGHT(Ruimtestaat[[#This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31" s="88">
        <f>IF(U431&gt;0,VLOOKUP($K431,Ruimtegroepen[],3,FALSE)*VLOOKUP($M431,Vloersoorten[],3,FALSE)*VLOOKUP($T431,Frequenties[],3,FALSE)*VLOOKUP($A431,Locaties[],3,FALSE),0)</f>
        <v>0</v>
      </c>
      <c r="W431" s="89">
        <f>Ruimtestaat[[#This Row],[Uitvoeringen werkdagen]]*Ruimtestaat[[#This Row],[Oppervlak (netto)]]</f>
        <v>10800</v>
      </c>
      <c r="X431" s="90">
        <f>IF(V431&gt;0,Ruimtestaat[[#This Row],[Prest. (m2 /jaar) werkdagen]]/Ruimtestaat[[#This Row],[Norm (m2/uur) werkdagen]],0)</f>
        <v>0</v>
      </c>
      <c r="Y431" s="91">
        <f>Ruimtestaat[[#This Row],[uren / jaar werkdagen]]*Tariefsopbouw!$E$35</f>
        <v>0</v>
      </c>
      <c r="Z431" s="88"/>
      <c r="AA431" s="92">
        <f>IF(Ruimtestaat[[#This Row],[Frequentie weekend]]&gt;0,VALUE(LEFT(Z431,1))*S431,0)</f>
        <v>0</v>
      </c>
      <c r="AB431" s="88">
        <f>IF($AA431&gt;0,VLOOKUP($K431,Ruimtegroepen[],3,FALSE)*VLOOKUP($M431,Vloersoorten[],3,FALSE)*VLOOKUP($Z431,Frequenties[],3,FALSE)*VLOOKUP(#REF!,Locaties[],3,FALSE),0)</f>
        <v>0</v>
      </c>
      <c r="AC431" s="90">
        <f>Ruimtestaat[[#This Row],[Uitvoeringen weekend]]*Ruimtestaat[[#This Row],[Oppervlak (netto)]]</f>
        <v>0</v>
      </c>
      <c r="AD431" s="93">
        <f>IF(AC431&gt;0,Ruimtestaat[[#This Row],[Prest. (m2 /jaar) weekend]]/Ruimtestaat[[#This Row],[Norm (m2/uur) weekend]],0)</f>
        <v>0</v>
      </c>
      <c r="AE431" s="94">
        <f>Ruimtestaat[[#This Row],[uren / jaar weekend]]*Tariefsopbouw!$D$40</f>
        <v>0</v>
      </c>
      <c r="AF431" s="66">
        <f>Ruimtestaat[[#This Row],[Prest. (m2 /jaar) weekend]]+Ruimtestaat[[#This Row],[Prest. (m2 /jaar) werkdagen]]</f>
        <v>10800</v>
      </c>
      <c r="AG431" s="66">
        <f>Ruimtestaat[[#This Row],[uren / jaar weekend]]+Ruimtestaat[[#This Row],[uren / jaar werkdagen]]</f>
        <v>0</v>
      </c>
      <c r="AH431" s="67">
        <f>Ruimtestaat[[#This Row],[kosten / jaar weekend]]+Ruimtestaat[[#This Row],[kosten / jaar werkdagen]]</f>
        <v>0</v>
      </c>
    </row>
    <row r="432" spans="1:34" ht="15" customHeight="1">
      <c r="A432" s="112">
        <v>3</v>
      </c>
      <c r="B432" s="23" t="str">
        <f>VLOOKUP(Ruimtestaat[[#This Row],[Code]],Locaties[#All],2,FALSE)</f>
        <v>RSG N.O. Veluwe</v>
      </c>
      <c r="C432" s="23" t="str">
        <f>VLOOKUP(Ruimtestaat[[#This Row],[Code]],Locaties[#All],4,FALSE)</f>
        <v>Schotweg 1</v>
      </c>
      <c r="D432" s="23" t="str">
        <f>VLOOKUP(Ruimtestaat[[#This Row],[Code]],Locaties[#All],5,FALSE)</f>
        <v>8162 GM</v>
      </c>
      <c r="E432" s="23" t="str">
        <f>VLOOKUP(Ruimtestaat[[#This Row],[Code]],Locaties[#All],6,FALSE)</f>
        <v>Epe</v>
      </c>
      <c r="F432" s="23" t="s">
        <v>1110</v>
      </c>
      <c r="G432" s="60"/>
      <c r="H432" s="23" t="s">
        <v>1298</v>
      </c>
      <c r="I432" s="23" t="s">
        <v>1120</v>
      </c>
      <c r="J432" s="3" t="s">
        <v>1119</v>
      </c>
      <c r="K432" s="23">
        <v>2</v>
      </c>
      <c r="L432" s="60" t="str">
        <f>VLOOKUP(K432,Ruimtegroepen[],2,FALSE)</f>
        <v>Kantoren</v>
      </c>
      <c r="M432" s="23" t="s">
        <v>1094</v>
      </c>
      <c r="N432" s="23" t="s">
        <v>1095</v>
      </c>
      <c r="O432" s="86">
        <v>19</v>
      </c>
      <c r="P432" s="86"/>
      <c r="Q432" s="95" t="str">
        <f>LEFT(VLOOKUP(Ruimtestaat[[#This Row],[Ruimte code]],Ruimtegroepen[#All],4,1),2)</f>
        <v xml:space="preserve">B </v>
      </c>
      <c r="R432" s="95"/>
      <c r="S432" s="87">
        <v>42</v>
      </c>
      <c r="T432" s="87" t="s">
        <v>2</v>
      </c>
      <c r="U432" s="88">
        <f>IF(S432&gt;0,IF(RIGHT(Ruimtestaat[[#This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32" s="88">
        <f>IF(U432&gt;0,VLOOKUP($K432,Ruimtegroepen[],3,FALSE)*VLOOKUP($M432,Vloersoorten[],3,FALSE)*VLOOKUP($T432,Frequenties[],3,FALSE)*VLOOKUP($A432,Locaties[],3,FALSE),0)</f>
        <v>0</v>
      </c>
      <c r="W432" s="89">
        <f>Ruimtestaat[[#This Row],[Uitvoeringen werkdagen]]*Ruimtestaat[[#This Row],[Oppervlak (netto)]]</f>
        <v>3990</v>
      </c>
      <c r="X432" s="90">
        <f>IF(V432&gt;0,Ruimtestaat[[#This Row],[Prest. (m2 /jaar) werkdagen]]/Ruimtestaat[[#This Row],[Norm (m2/uur) werkdagen]],0)</f>
        <v>0</v>
      </c>
      <c r="Y432" s="91">
        <f>Ruimtestaat[[#This Row],[uren / jaar werkdagen]]*Tariefsopbouw!$E$35</f>
        <v>0</v>
      </c>
      <c r="Z432" s="88"/>
      <c r="AA432" s="92">
        <f>IF(Ruimtestaat[[#This Row],[Frequentie weekend]]&gt;0,VALUE(LEFT(Z432,1))*S432,0)</f>
        <v>0</v>
      </c>
      <c r="AB432" s="88">
        <f>IF($AA432&gt;0,VLOOKUP($K432,Ruimtegroepen[],3,FALSE)*VLOOKUP($M432,Vloersoorten[],3,FALSE)*VLOOKUP($Z432,Frequenties[],3,FALSE)*VLOOKUP(#REF!,Locaties[],3,FALSE),0)</f>
        <v>0</v>
      </c>
      <c r="AC432" s="90">
        <f>Ruimtestaat[[#This Row],[Uitvoeringen weekend]]*Ruimtestaat[[#This Row],[Oppervlak (netto)]]</f>
        <v>0</v>
      </c>
      <c r="AD432" s="93">
        <f>IF(AC432&gt;0,Ruimtestaat[[#This Row],[Prest. (m2 /jaar) weekend]]/Ruimtestaat[[#This Row],[Norm (m2/uur) weekend]],0)</f>
        <v>0</v>
      </c>
      <c r="AE432" s="94">
        <f>Ruimtestaat[[#This Row],[uren / jaar weekend]]*Tariefsopbouw!$D$40</f>
        <v>0</v>
      </c>
      <c r="AF432" s="66">
        <f>Ruimtestaat[[#This Row],[Prest. (m2 /jaar) weekend]]+Ruimtestaat[[#This Row],[Prest. (m2 /jaar) werkdagen]]</f>
        <v>3990</v>
      </c>
      <c r="AG432" s="66">
        <f>Ruimtestaat[[#This Row],[uren / jaar weekend]]+Ruimtestaat[[#This Row],[uren / jaar werkdagen]]</f>
        <v>0</v>
      </c>
      <c r="AH432" s="67">
        <f>Ruimtestaat[[#This Row],[kosten / jaar weekend]]+Ruimtestaat[[#This Row],[kosten / jaar werkdagen]]</f>
        <v>0</v>
      </c>
    </row>
    <row r="433" spans="1:34" ht="15" customHeight="1">
      <c r="A433" s="112">
        <v>3</v>
      </c>
      <c r="B433" s="23" t="str">
        <f>VLOOKUP(Ruimtestaat[[#This Row],[Code]],Locaties[#All],2,FALSE)</f>
        <v>RSG N.O. Veluwe</v>
      </c>
      <c r="C433" s="23" t="str">
        <f>VLOOKUP(Ruimtestaat[[#This Row],[Code]],Locaties[#All],4,FALSE)</f>
        <v>Schotweg 1</v>
      </c>
      <c r="D433" s="23" t="str">
        <f>VLOOKUP(Ruimtestaat[[#This Row],[Code]],Locaties[#All],5,FALSE)</f>
        <v>8162 GM</v>
      </c>
      <c r="E433" s="23" t="str">
        <f>VLOOKUP(Ruimtestaat[[#This Row],[Code]],Locaties[#All],6,FALSE)</f>
        <v>Epe</v>
      </c>
      <c r="F433" s="23" t="s">
        <v>1110</v>
      </c>
      <c r="G433" s="60"/>
      <c r="H433" s="23" t="s">
        <v>1298</v>
      </c>
      <c r="I433" s="23" t="s">
        <v>1121</v>
      </c>
      <c r="J433" s="3" t="s">
        <v>1182</v>
      </c>
      <c r="K433" s="23">
        <v>10</v>
      </c>
      <c r="L433" s="60" t="str">
        <f>VLOOKUP(K433,Ruimtegroepen[],2,FALSE)</f>
        <v>Trappenhuizen/lift</v>
      </c>
      <c r="M433" s="23" t="s">
        <v>113</v>
      </c>
      <c r="N433" s="23" t="s">
        <v>1306</v>
      </c>
      <c r="O433" s="86">
        <v>18</v>
      </c>
      <c r="P433" s="86"/>
      <c r="Q433" s="95" t="str">
        <f>LEFT(VLOOKUP(Ruimtestaat[[#This Row],[Ruimte code]],Ruimtegroepen[#All],4,1),2)</f>
        <v xml:space="preserve">V </v>
      </c>
      <c r="R433" s="95"/>
      <c r="S433" s="87">
        <v>42</v>
      </c>
      <c r="T433" s="87" t="s">
        <v>2</v>
      </c>
      <c r="U433" s="88">
        <f>IF(S433&gt;0,IF(RIGHT(Ruimtestaat[[#This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33" s="88">
        <f>IF(U433&gt;0,VLOOKUP($K433,Ruimtegroepen[],3,FALSE)*VLOOKUP($M433,Vloersoorten[],3,FALSE)*VLOOKUP($T433,Frequenties[],3,FALSE)*VLOOKUP($A433,Locaties[],3,FALSE),0)</f>
        <v>0</v>
      </c>
      <c r="W433" s="89">
        <f>Ruimtestaat[[#This Row],[Uitvoeringen werkdagen]]*Ruimtestaat[[#This Row],[Oppervlak (netto)]]</f>
        <v>3780</v>
      </c>
      <c r="X433" s="90">
        <f>IF(V433&gt;0,Ruimtestaat[[#This Row],[Prest. (m2 /jaar) werkdagen]]/Ruimtestaat[[#This Row],[Norm (m2/uur) werkdagen]],0)</f>
        <v>0</v>
      </c>
      <c r="Y433" s="91">
        <f>Ruimtestaat[[#This Row],[uren / jaar werkdagen]]*Tariefsopbouw!$E$35</f>
        <v>0</v>
      </c>
      <c r="Z433" s="88"/>
      <c r="AA433" s="92">
        <f>IF(Ruimtestaat[[#This Row],[Frequentie weekend]]&gt;0,VALUE(LEFT(Z433,1))*S433,0)</f>
        <v>0</v>
      </c>
      <c r="AB433" s="88">
        <f>IF($AA433&gt;0,VLOOKUP($K433,Ruimtegroepen[],3,FALSE)*VLOOKUP($M433,Vloersoorten[],3,FALSE)*VLOOKUP($Z433,Frequenties[],3,FALSE)*VLOOKUP(#REF!,Locaties[],3,FALSE),0)</f>
        <v>0</v>
      </c>
      <c r="AC433" s="90">
        <f>Ruimtestaat[[#This Row],[Uitvoeringen weekend]]*Ruimtestaat[[#This Row],[Oppervlak (netto)]]</f>
        <v>0</v>
      </c>
      <c r="AD433" s="93">
        <f>IF(AC433&gt;0,Ruimtestaat[[#This Row],[Prest. (m2 /jaar) weekend]]/Ruimtestaat[[#This Row],[Norm (m2/uur) weekend]],0)</f>
        <v>0</v>
      </c>
      <c r="AE433" s="94">
        <f>Ruimtestaat[[#This Row],[uren / jaar weekend]]*Tariefsopbouw!$D$40</f>
        <v>0</v>
      </c>
      <c r="AF433" s="66">
        <f>Ruimtestaat[[#This Row],[Prest. (m2 /jaar) weekend]]+Ruimtestaat[[#This Row],[Prest. (m2 /jaar) werkdagen]]</f>
        <v>3780</v>
      </c>
      <c r="AG433" s="66">
        <f>Ruimtestaat[[#This Row],[uren / jaar weekend]]+Ruimtestaat[[#This Row],[uren / jaar werkdagen]]</f>
        <v>0</v>
      </c>
      <c r="AH433" s="67">
        <f>Ruimtestaat[[#This Row],[kosten / jaar weekend]]+Ruimtestaat[[#This Row],[kosten / jaar werkdagen]]</f>
        <v>0</v>
      </c>
    </row>
    <row r="434" spans="1:34" ht="15" customHeight="1">
      <c r="A434" s="112">
        <v>3</v>
      </c>
      <c r="B434" s="23" t="str">
        <f>VLOOKUP(Ruimtestaat[[#This Row],[Code]],Locaties[#All],2,FALSE)</f>
        <v>RSG N.O. Veluwe</v>
      </c>
      <c r="C434" s="23" t="str">
        <f>VLOOKUP(Ruimtestaat[[#This Row],[Code]],Locaties[#All],4,FALSE)</f>
        <v>Schotweg 1</v>
      </c>
      <c r="D434" s="23" t="str">
        <f>VLOOKUP(Ruimtestaat[[#This Row],[Code]],Locaties[#All],5,FALSE)</f>
        <v>8162 GM</v>
      </c>
      <c r="E434" s="23" t="str">
        <f>VLOOKUP(Ruimtestaat[[#This Row],[Code]],Locaties[#All],6,FALSE)</f>
        <v>Epe</v>
      </c>
      <c r="F434" s="23" t="s">
        <v>1110</v>
      </c>
      <c r="G434" s="60"/>
      <c r="H434" s="23" t="s">
        <v>1298</v>
      </c>
      <c r="I434" s="23" t="s">
        <v>1121</v>
      </c>
      <c r="J434" s="3" t="s">
        <v>1070</v>
      </c>
      <c r="K434" s="23">
        <v>6</v>
      </c>
      <c r="L434" s="60" t="str">
        <f>VLOOKUP(K434,Ruimtegroepen[],2,FALSE)</f>
        <v>Gangen/hallen</v>
      </c>
      <c r="M434" s="23" t="s">
        <v>1300</v>
      </c>
      <c r="N434" s="23" t="s">
        <v>1301</v>
      </c>
      <c r="O434" s="86">
        <v>16</v>
      </c>
      <c r="P434" s="86"/>
      <c r="Q434" s="95" t="str">
        <f>LEFT(VLOOKUP(Ruimtestaat[[#This Row],[Ruimte code]],Ruimtegroepen[#All],4,1),2)</f>
        <v xml:space="preserve">V </v>
      </c>
      <c r="R434" s="95"/>
      <c r="S434" s="87">
        <v>42</v>
      </c>
      <c r="T434" s="87" t="s">
        <v>2</v>
      </c>
      <c r="U434" s="88">
        <f>IF(S434&gt;0,IF(RIGHT(Ruimtestaat[[#This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34" s="88">
        <f>IF(U434&gt;0,VLOOKUP($K434,Ruimtegroepen[],3,FALSE)*VLOOKUP($M434,Vloersoorten[],3,FALSE)*VLOOKUP($T434,Frequenties[],3,FALSE)*VLOOKUP($A434,Locaties[],3,FALSE),0)</f>
        <v>0</v>
      </c>
      <c r="W434" s="89">
        <f>Ruimtestaat[[#This Row],[Uitvoeringen werkdagen]]*Ruimtestaat[[#This Row],[Oppervlak (netto)]]</f>
        <v>3360</v>
      </c>
      <c r="X434" s="90">
        <f>IF(V434&gt;0,Ruimtestaat[[#This Row],[Prest. (m2 /jaar) werkdagen]]/Ruimtestaat[[#This Row],[Norm (m2/uur) werkdagen]],0)</f>
        <v>0</v>
      </c>
      <c r="Y434" s="91">
        <f>Ruimtestaat[[#This Row],[uren / jaar werkdagen]]*Tariefsopbouw!$E$35</f>
        <v>0</v>
      </c>
      <c r="Z434" s="88"/>
      <c r="AA434" s="92">
        <f>IF(Ruimtestaat[[#This Row],[Frequentie weekend]]&gt;0,VALUE(LEFT(Z434,1))*S434,0)</f>
        <v>0</v>
      </c>
      <c r="AB434" s="88">
        <f>IF($AA434&gt;0,VLOOKUP($K434,Ruimtegroepen[],3,FALSE)*VLOOKUP($M434,Vloersoorten[],3,FALSE)*VLOOKUP($Z434,Frequenties[],3,FALSE)*VLOOKUP(#REF!,Locaties[],3,FALSE),0)</f>
        <v>0</v>
      </c>
      <c r="AC434" s="90">
        <f>Ruimtestaat[[#This Row],[Uitvoeringen weekend]]*Ruimtestaat[[#This Row],[Oppervlak (netto)]]</f>
        <v>0</v>
      </c>
      <c r="AD434" s="93">
        <f>IF(AC434&gt;0,Ruimtestaat[[#This Row],[Prest. (m2 /jaar) weekend]]/Ruimtestaat[[#This Row],[Norm (m2/uur) weekend]],0)</f>
        <v>0</v>
      </c>
      <c r="AE434" s="94">
        <f>Ruimtestaat[[#This Row],[uren / jaar weekend]]*Tariefsopbouw!$D$40</f>
        <v>0</v>
      </c>
      <c r="AF434" s="66">
        <f>Ruimtestaat[[#This Row],[Prest. (m2 /jaar) weekend]]+Ruimtestaat[[#This Row],[Prest. (m2 /jaar) werkdagen]]</f>
        <v>3360</v>
      </c>
      <c r="AG434" s="66">
        <f>Ruimtestaat[[#This Row],[uren / jaar weekend]]+Ruimtestaat[[#This Row],[uren / jaar werkdagen]]</f>
        <v>0</v>
      </c>
      <c r="AH434" s="67">
        <f>Ruimtestaat[[#This Row],[kosten / jaar weekend]]+Ruimtestaat[[#This Row],[kosten / jaar werkdagen]]</f>
        <v>0</v>
      </c>
    </row>
    <row r="435" spans="1:34" ht="15" customHeight="1">
      <c r="A435" s="112">
        <v>3</v>
      </c>
      <c r="B435" s="23" t="str">
        <f>VLOOKUP(Ruimtestaat[[#This Row],[Code]],Locaties[#All],2,FALSE)</f>
        <v>RSG N.O. Veluwe</v>
      </c>
      <c r="C435" s="23" t="str">
        <f>VLOOKUP(Ruimtestaat[[#This Row],[Code]],Locaties[#All],4,FALSE)</f>
        <v>Schotweg 1</v>
      </c>
      <c r="D435" s="23" t="str">
        <f>VLOOKUP(Ruimtestaat[[#This Row],[Code]],Locaties[#All],5,FALSE)</f>
        <v>8162 GM</v>
      </c>
      <c r="E435" s="23" t="str">
        <f>VLOOKUP(Ruimtestaat[[#This Row],[Code]],Locaties[#All],6,FALSE)</f>
        <v>Epe</v>
      </c>
      <c r="F435" s="23" t="s">
        <v>1110</v>
      </c>
      <c r="G435" s="60"/>
      <c r="H435" s="23" t="s">
        <v>1298</v>
      </c>
      <c r="I435" s="23" t="s">
        <v>1122</v>
      </c>
      <c r="J435" s="3" t="s">
        <v>1179</v>
      </c>
      <c r="K435" s="23">
        <v>16</v>
      </c>
      <c r="L435" s="60" t="str">
        <f>VLOOKUP(K435,Ruimtegroepen[],2,FALSE)</f>
        <v>Leslokalen theorie</v>
      </c>
      <c r="M435" s="23" t="s">
        <v>1300</v>
      </c>
      <c r="N435" s="23" t="s">
        <v>1301</v>
      </c>
      <c r="O435" s="86">
        <v>54</v>
      </c>
      <c r="P435" s="86"/>
      <c r="Q435" s="95" t="str">
        <f>LEFT(VLOOKUP(Ruimtestaat[[#This Row],[Ruimte code]],Ruimtegroepen[#All],4,1),2)</f>
        <v xml:space="preserve">L </v>
      </c>
      <c r="R435" s="95"/>
      <c r="S435" s="87">
        <v>40</v>
      </c>
      <c r="T435" s="87" t="s">
        <v>2</v>
      </c>
      <c r="U435" s="88">
        <f>IF(S435&gt;0,IF(RIGHT(Ruimtestaat[[#This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35" s="88">
        <f>IF(U435&gt;0,VLOOKUP($K435,Ruimtegroepen[],3,FALSE)*VLOOKUP($M435,Vloersoorten[],3,FALSE)*VLOOKUP($T435,Frequenties[],3,FALSE)*VLOOKUP($A435,Locaties[],3,FALSE),0)</f>
        <v>0</v>
      </c>
      <c r="W435" s="89">
        <f>Ruimtestaat[[#This Row],[Uitvoeringen werkdagen]]*Ruimtestaat[[#This Row],[Oppervlak (netto)]]</f>
        <v>10800</v>
      </c>
      <c r="X435" s="90">
        <f>IF(V435&gt;0,Ruimtestaat[[#This Row],[Prest. (m2 /jaar) werkdagen]]/Ruimtestaat[[#This Row],[Norm (m2/uur) werkdagen]],0)</f>
        <v>0</v>
      </c>
      <c r="Y435" s="91">
        <f>Ruimtestaat[[#This Row],[uren / jaar werkdagen]]*Tariefsopbouw!$E$35</f>
        <v>0</v>
      </c>
      <c r="Z435" s="88"/>
      <c r="AA435" s="92">
        <f>IF(Ruimtestaat[[#This Row],[Frequentie weekend]]&gt;0,VALUE(LEFT(Z435,1))*S435,0)</f>
        <v>0</v>
      </c>
      <c r="AB435" s="88">
        <f>IF($AA435&gt;0,VLOOKUP($K435,Ruimtegroepen[],3,FALSE)*VLOOKUP($M435,Vloersoorten[],3,FALSE)*VLOOKUP($Z435,Frequenties[],3,FALSE)*VLOOKUP(#REF!,Locaties[],3,FALSE),0)</f>
        <v>0</v>
      </c>
      <c r="AC435" s="90">
        <f>Ruimtestaat[[#This Row],[Uitvoeringen weekend]]*Ruimtestaat[[#This Row],[Oppervlak (netto)]]</f>
        <v>0</v>
      </c>
      <c r="AD435" s="93">
        <f>IF(AC435&gt;0,Ruimtestaat[[#This Row],[Prest. (m2 /jaar) weekend]]/Ruimtestaat[[#This Row],[Norm (m2/uur) weekend]],0)</f>
        <v>0</v>
      </c>
      <c r="AE435" s="94">
        <f>Ruimtestaat[[#This Row],[uren / jaar weekend]]*Tariefsopbouw!$D$40</f>
        <v>0</v>
      </c>
      <c r="AF435" s="66">
        <f>Ruimtestaat[[#This Row],[Prest. (m2 /jaar) weekend]]+Ruimtestaat[[#This Row],[Prest. (m2 /jaar) werkdagen]]</f>
        <v>10800</v>
      </c>
      <c r="AG435" s="66">
        <f>Ruimtestaat[[#This Row],[uren / jaar weekend]]+Ruimtestaat[[#This Row],[uren / jaar werkdagen]]</f>
        <v>0</v>
      </c>
      <c r="AH435" s="67">
        <f>Ruimtestaat[[#This Row],[kosten / jaar weekend]]+Ruimtestaat[[#This Row],[kosten / jaar werkdagen]]</f>
        <v>0</v>
      </c>
    </row>
    <row r="436" spans="1:34" ht="15" customHeight="1">
      <c r="A436" s="112">
        <v>3</v>
      </c>
      <c r="B436" s="23" t="str">
        <f>VLOOKUP(Ruimtestaat[[#This Row],[Code]],Locaties[#All],2,FALSE)</f>
        <v>RSG N.O. Veluwe</v>
      </c>
      <c r="C436" s="23" t="str">
        <f>VLOOKUP(Ruimtestaat[[#This Row],[Code]],Locaties[#All],4,FALSE)</f>
        <v>Schotweg 1</v>
      </c>
      <c r="D436" s="23" t="str">
        <f>VLOOKUP(Ruimtestaat[[#This Row],[Code]],Locaties[#All],5,FALSE)</f>
        <v>8162 GM</v>
      </c>
      <c r="E436" s="23" t="str">
        <f>VLOOKUP(Ruimtestaat[[#This Row],[Code]],Locaties[#All],6,FALSE)</f>
        <v>Epe</v>
      </c>
      <c r="F436" s="23" t="s">
        <v>1110</v>
      </c>
      <c r="G436" s="60"/>
      <c r="H436" s="23" t="s">
        <v>1298</v>
      </c>
      <c r="I436" s="23" t="s">
        <v>1124</v>
      </c>
      <c r="J436" s="3" t="s">
        <v>1179</v>
      </c>
      <c r="K436" s="23">
        <v>16</v>
      </c>
      <c r="L436" s="60" t="str">
        <f>VLOOKUP(K436,Ruimtegroepen[],2,FALSE)</f>
        <v>Leslokalen theorie</v>
      </c>
      <c r="M436" s="23" t="s">
        <v>1300</v>
      </c>
      <c r="N436" s="23" t="s">
        <v>1301</v>
      </c>
      <c r="O436" s="86">
        <v>40</v>
      </c>
      <c r="P436" s="86"/>
      <c r="Q436" s="95" t="str">
        <f>LEFT(VLOOKUP(Ruimtestaat[[#This Row],[Ruimte code]],Ruimtegroepen[#All],4,1),2)</f>
        <v xml:space="preserve">L </v>
      </c>
      <c r="R436" s="95"/>
      <c r="S436" s="87">
        <v>40</v>
      </c>
      <c r="T436" s="87" t="s">
        <v>2</v>
      </c>
      <c r="U436" s="88">
        <f>IF(S436&gt;0,IF(RIGHT(Ruimtestaat[[#This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36" s="88">
        <f>IF(U436&gt;0,VLOOKUP($K436,Ruimtegroepen[],3,FALSE)*VLOOKUP($M436,Vloersoorten[],3,FALSE)*VLOOKUP($T436,Frequenties[],3,FALSE)*VLOOKUP($A436,Locaties[],3,FALSE),0)</f>
        <v>0</v>
      </c>
      <c r="W436" s="89">
        <f>Ruimtestaat[[#This Row],[Uitvoeringen werkdagen]]*Ruimtestaat[[#This Row],[Oppervlak (netto)]]</f>
        <v>8000</v>
      </c>
      <c r="X436" s="90">
        <f>IF(V436&gt;0,Ruimtestaat[[#This Row],[Prest. (m2 /jaar) werkdagen]]/Ruimtestaat[[#This Row],[Norm (m2/uur) werkdagen]],0)</f>
        <v>0</v>
      </c>
      <c r="Y436" s="91">
        <f>Ruimtestaat[[#This Row],[uren / jaar werkdagen]]*Tariefsopbouw!$E$35</f>
        <v>0</v>
      </c>
      <c r="Z436" s="88"/>
      <c r="AA436" s="92">
        <f>IF(Ruimtestaat[[#This Row],[Frequentie weekend]]&gt;0,VALUE(LEFT(Z436,1))*S436,0)</f>
        <v>0</v>
      </c>
      <c r="AB436" s="88">
        <f>IF($AA436&gt;0,VLOOKUP($K436,Ruimtegroepen[],3,FALSE)*VLOOKUP($M436,Vloersoorten[],3,FALSE)*VLOOKUP($Z436,Frequenties[],3,FALSE)*VLOOKUP(#REF!,Locaties[],3,FALSE),0)</f>
        <v>0</v>
      </c>
      <c r="AC436" s="90">
        <f>Ruimtestaat[[#This Row],[Uitvoeringen weekend]]*Ruimtestaat[[#This Row],[Oppervlak (netto)]]</f>
        <v>0</v>
      </c>
      <c r="AD436" s="93">
        <f>IF(AC436&gt;0,Ruimtestaat[[#This Row],[Prest. (m2 /jaar) weekend]]/Ruimtestaat[[#This Row],[Norm (m2/uur) weekend]],0)</f>
        <v>0</v>
      </c>
      <c r="AE436" s="94">
        <f>Ruimtestaat[[#This Row],[uren / jaar weekend]]*Tariefsopbouw!$D$40</f>
        <v>0</v>
      </c>
      <c r="AF436" s="66">
        <f>Ruimtestaat[[#This Row],[Prest. (m2 /jaar) weekend]]+Ruimtestaat[[#This Row],[Prest. (m2 /jaar) werkdagen]]</f>
        <v>8000</v>
      </c>
      <c r="AG436" s="66">
        <f>Ruimtestaat[[#This Row],[uren / jaar weekend]]+Ruimtestaat[[#This Row],[uren / jaar werkdagen]]</f>
        <v>0</v>
      </c>
      <c r="AH436" s="67">
        <f>Ruimtestaat[[#This Row],[kosten / jaar weekend]]+Ruimtestaat[[#This Row],[kosten / jaar werkdagen]]</f>
        <v>0</v>
      </c>
    </row>
    <row r="437" spans="1:34" ht="15" customHeight="1">
      <c r="A437" s="112">
        <v>3</v>
      </c>
      <c r="B437" s="23" t="str">
        <f>VLOOKUP(Ruimtestaat[[#This Row],[Code]],Locaties[#All],2,FALSE)</f>
        <v>RSG N.O. Veluwe</v>
      </c>
      <c r="C437" s="23" t="str">
        <f>VLOOKUP(Ruimtestaat[[#This Row],[Code]],Locaties[#All],4,FALSE)</f>
        <v>Schotweg 1</v>
      </c>
      <c r="D437" s="23" t="str">
        <f>VLOOKUP(Ruimtestaat[[#This Row],[Code]],Locaties[#All],5,FALSE)</f>
        <v>8162 GM</v>
      </c>
      <c r="E437" s="23" t="str">
        <f>VLOOKUP(Ruimtestaat[[#This Row],[Code]],Locaties[#All],6,FALSE)</f>
        <v>Epe</v>
      </c>
      <c r="F437" s="23" t="s">
        <v>1110</v>
      </c>
      <c r="G437" s="60"/>
      <c r="H437" s="23" t="s">
        <v>1298</v>
      </c>
      <c r="I437" s="23" t="s">
        <v>1126</v>
      </c>
      <c r="J437" s="3" t="s">
        <v>1119</v>
      </c>
      <c r="K437" s="23">
        <v>2</v>
      </c>
      <c r="L437" s="60" t="str">
        <f>VLOOKUP(K437,Ruimtegroepen[],2,FALSE)</f>
        <v>Kantoren</v>
      </c>
      <c r="M437" s="23" t="s">
        <v>1094</v>
      </c>
      <c r="N437" s="23" t="s">
        <v>1095</v>
      </c>
      <c r="O437" s="86">
        <v>20</v>
      </c>
      <c r="P437" s="86"/>
      <c r="Q437" s="95" t="str">
        <f>LEFT(VLOOKUP(Ruimtestaat[[#This Row],[Ruimte code]],Ruimtegroepen[#All],4,1),2)</f>
        <v xml:space="preserve">B </v>
      </c>
      <c r="R437" s="95"/>
      <c r="S437" s="87">
        <v>42</v>
      </c>
      <c r="T437" s="87" t="s">
        <v>2</v>
      </c>
      <c r="U437" s="88">
        <f>IF(S437&gt;0,IF(RIGHT(Ruimtestaat[[#This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37" s="88">
        <f>IF(U437&gt;0,VLOOKUP($K437,Ruimtegroepen[],3,FALSE)*VLOOKUP($M437,Vloersoorten[],3,FALSE)*VLOOKUP($T437,Frequenties[],3,FALSE)*VLOOKUP($A437,Locaties[],3,FALSE),0)</f>
        <v>0</v>
      </c>
      <c r="W437" s="89">
        <f>Ruimtestaat[[#This Row],[Uitvoeringen werkdagen]]*Ruimtestaat[[#This Row],[Oppervlak (netto)]]</f>
        <v>4200</v>
      </c>
      <c r="X437" s="90">
        <f>IF(V437&gt;0,Ruimtestaat[[#This Row],[Prest. (m2 /jaar) werkdagen]]/Ruimtestaat[[#This Row],[Norm (m2/uur) werkdagen]],0)</f>
        <v>0</v>
      </c>
      <c r="Y437" s="91">
        <f>Ruimtestaat[[#This Row],[uren / jaar werkdagen]]*Tariefsopbouw!$E$35</f>
        <v>0</v>
      </c>
      <c r="Z437" s="88"/>
      <c r="AA437" s="92">
        <f>IF(Ruimtestaat[[#This Row],[Frequentie weekend]]&gt;0,VALUE(LEFT(Z437,1))*S437,0)</f>
        <v>0</v>
      </c>
      <c r="AB437" s="88">
        <f>IF($AA437&gt;0,VLOOKUP($K437,Ruimtegroepen[],3,FALSE)*VLOOKUP($M437,Vloersoorten[],3,FALSE)*VLOOKUP($Z437,Frequenties[],3,FALSE)*VLOOKUP(#REF!,Locaties[],3,FALSE),0)</f>
        <v>0</v>
      </c>
      <c r="AC437" s="90">
        <f>Ruimtestaat[[#This Row],[Uitvoeringen weekend]]*Ruimtestaat[[#This Row],[Oppervlak (netto)]]</f>
        <v>0</v>
      </c>
      <c r="AD437" s="93">
        <f>IF(AC437&gt;0,Ruimtestaat[[#This Row],[Prest. (m2 /jaar) weekend]]/Ruimtestaat[[#This Row],[Norm (m2/uur) weekend]],0)</f>
        <v>0</v>
      </c>
      <c r="AE437" s="94">
        <f>Ruimtestaat[[#This Row],[uren / jaar weekend]]*Tariefsopbouw!$D$40</f>
        <v>0</v>
      </c>
      <c r="AF437" s="66">
        <f>Ruimtestaat[[#This Row],[Prest. (m2 /jaar) weekend]]+Ruimtestaat[[#This Row],[Prest. (m2 /jaar) werkdagen]]</f>
        <v>4200</v>
      </c>
      <c r="AG437" s="66">
        <f>Ruimtestaat[[#This Row],[uren / jaar weekend]]+Ruimtestaat[[#This Row],[uren / jaar werkdagen]]</f>
        <v>0</v>
      </c>
      <c r="AH437" s="67">
        <f>Ruimtestaat[[#This Row],[kosten / jaar weekend]]+Ruimtestaat[[#This Row],[kosten / jaar werkdagen]]</f>
        <v>0</v>
      </c>
    </row>
    <row r="438" spans="1:34" ht="15" customHeight="1">
      <c r="A438" s="112">
        <v>3</v>
      </c>
      <c r="B438" s="23" t="str">
        <f>VLOOKUP(Ruimtestaat[[#This Row],[Code]],Locaties[#All],2,FALSE)</f>
        <v>RSG N.O. Veluwe</v>
      </c>
      <c r="C438" s="23" t="str">
        <f>VLOOKUP(Ruimtestaat[[#This Row],[Code]],Locaties[#All],4,FALSE)</f>
        <v>Schotweg 1</v>
      </c>
      <c r="D438" s="23" t="str">
        <f>VLOOKUP(Ruimtestaat[[#This Row],[Code]],Locaties[#All],5,FALSE)</f>
        <v>8162 GM</v>
      </c>
      <c r="E438" s="23" t="str">
        <f>VLOOKUP(Ruimtestaat[[#This Row],[Code]],Locaties[#All],6,FALSE)</f>
        <v>Epe</v>
      </c>
      <c r="F438" s="23" t="s">
        <v>1110</v>
      </c>
      <c r="G438" s="60"/>
      <c r="H438" s="23" t="s">
        <v>1298</v>
      </c>
      <c r="I438" s="23" t="s">
        <v>1128</v>
      </c>
      <c r="J438" s="3" t="s">
        <v>1179</v>
      </c>
      <c r="K438" s="23">
        <v>16</v>
      </c>
      <c r="L438" s="60" t="str">
        <f>VLOOKUP(K438,Ruimtegroepen[],2,FALSE)</f>
        <v>Leslokalen theorie</v>
      </c>
      <c r="M438" s="23" t="s">
        <v>1300</v>
      </c>
      <c r="N438" s="23" t="s">
        <v>1301</v>
      </c>
      <c r="O438" s="86">
        <v>54</v>
      </c>
      <c r="P438" s="86"/>
      <c r="Q438" s="95" t="str">
        <f>LEFT(VLOOKUP(Ruimtestaat[[#This Row],[Ruimte code]],Ruimtegroepen[#All],4,1),2)</f>
        <v xml:space="preserve">L </v>
      </c>
      <c r="R438" s="95"/>
      <c r="S438" s="87">
        <v>40</v>
      </c>
      <c r="T438" s="87" t="s">
        <v>2</v>
      </c>
      <c r="U438" s="88">
        <f>IF(S438&gt;0,IF(RIGHT(Ruimtestaat[[#This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38" s="88">
        <f>IF(U438&gt;0,VLOOKUP($K438,Ruimtegroepen[],3,FALSE)*VLOOKUP($M438,Vloersoorten[],3,FALSE)*VLOOKUP($T438,Frequenties[],3,FALSE)*VLOOKUP($A438,Locaties[],3,FALSE),0)</f>
        <v>0</v>
      </c>
      <c r="W438" s="89">
        <f>Ruimtestaat[[#This Row],[Uitvoeringen werkdagen]]*Ruimtestaat[[#This Row],[Oppervlak (netto)]]</f>
        <v>10800</v>
      </c>
      <c r="X438" s="90">
        <f>IF(V438&gt;0,Ruimtestaat[[#This Row],[Prest. (m2 /jaar) werkdagen]]/Ruimtestaat[[#This Row],[Norm (m2/uur) werkdagen]],0)</f>
        <v>0</v>
      </c>
      <c r="Y438" s="91">
        <f>Ruimtestaat[[#This Row],[uren / jaar werkdagen]]*Tariefsopbouw!$E$35</f>
        <v>0</v>
      </c>
      <c r="Z438" s="88"/>
      <c r="AA438" s="92">
        <f>IF(Ruimtestaat[[#This Row],[Frequentie weekend]]&gt;0,VALUE(LEFT(Z438,1))*S438,0)</f>
        <v>0</v>
      </c>
      <c r="AB438" s="88">
        <f>IF($AA438&gt;0,VLOOKUP($K438,Ruimtegroepen[],3,FALSE)*VLOOKUP($M438,Vloersoorten[],3,FALSE)*VLOOKUP($Z438,Frequenties[],3,FALSE)*VLOOKUP(#REF!,Locaties[],3,FALSE),0)</f>
        <v>0</v>
      </c>
      <c r="AC438" s="90">
        <f>Ruimtestaat[[#This Row],[Uitvoeringen weekend]]*Ruimtestaat[[#This Row],[Oppervlak (netto)]]</f>
        <v>0</v>
      </c>
      <c r="AD438" s="93">
        <f>IF(AC438&gt;0,Ruimtestaat[[#This Row],[Prest. (m2 /jaar) weekend]]/Ruimtestaat[[#This Row],[Norm (m2/uur) weekend]],0)</f>
        <v>0</v>
      </c>
      <c r="AE438" s="94">
        <f>Ruimtestaat[[#This Row],[uren / jaar weekend]]*Tariefsopbouw!$D$40</f>
        <v>0</v>
      </c>
      <c r="AF438" s="66">
        <f>Ruimtestaat[[#This Row],[Prest. (m2 /jaar) weekend]]+Ruimtestaat[[#This Row],[Prest. (m2 /jaar) werkdagen]]</f>
        <v>10800</v>
      </c>
      <c r="AG438" s="66">
        <f>Ruimtestaat[[#This Row],[uren / jaar weekend]]+Ruimtestaat[[#This Row],[uren / jaar werkdagen]]</f>
        <v>0</v>
      </c>
      <c r="AH438" s="67">
        <f>Ruimtestaat[[#This Row],[kosten / jaar weekend]]+Ruimtestaat[[#This Row],[kosten / jaar werkdagen]]</f>
        <v>0</v>
      </c>
    </row>
    <row r="439" spans="1:34" ht="15" customHeight="1">
      <c r="A439" s="112">
        <v>3</v>
      </c>
      <c r="B439" s="23" t="str">
        <f>VLOOKUP(Ruimtestaat[[#This Row],[Code]],Locaties[#All],2,FALSE)</f>
        <v>RSG N.O. Veluwe</v>
      </c>
      <c r="C439" s="23" t="str">
        <f>VLOOKUP(Ruimtestaat[[#This Row],[Code]],Locaties[#All],4,FALSE)</f>
        <v>Schotweg 1</v>
      </c>
      <c r="D439" s="23" t="str">
        <f>VLOOKUP(Ruimtestaat[[#This Row],[Code]],Locaties[#All],5,FALSE)</f>
        <v>8162 GM</v>
      </c>
      <c r="E439" s="23" t="str">
        <f>VLOOKUP(Ruimtestaat[[#This Row],[Code]],Locaties[#All],6,FALSE)</f>
        <v>Epe</v>
      </c>
      <c r="F439" s="23" t="s">
        <v>1110</v>
      </c>
      <c r="G439" s="60"/>
      <c r="H439" s="23" t="s">
        <v>1298</v>
      </c>
      <c r="I439" s="23" t="s">
        <v>1130</v>
      </c>
      <c r="J439" s="3" t="s">
        <v>1179</v>
      </c>
      <c r="K439" s="23">
        <v>16</v>
      </c>
      <c r="L439" s="60" t="str">
        <f>VLOOKUP(K439,Ruimtegroepen[],2,FALSE)</f>
        <v>Leslokalen theorie</v>
      </c>
      <c r="M439" s="23" t="s">
        <v>1300</v>
      </c>
      <c r="N439" s="23" t="s">
        <v>1301</v>
      </c>
      <c r="O439" s="86">
        <v>54</v>
      </c>
      <c r="P439" s="86"/>
      <c r="Q439" s="95" t="str">
        <f>LEFT(VLOOKUP(Ruimtestaat[[#This Row],[Ruimte code]],Ruimtegroepen[#All],4,1),2)</f>
        <v xml:space="preserve">L </v>
      </c>
      <c r="R439" s="95"/>
      <c r="S439" s="87">
        <v>40</v>
      </c>
      <c r="T439" s="87" t="s">
        <v>2</v>
      </c>
      <c r="U439" s="88">
        <f>IF(S439&gt;0,IF(RIGHT(Ruimtestaat[[#This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39" s="88">
        <f>IF(U439&gt;0,VLOOKUP($K439,Ruimtegroepen[],3,FALSE)*VLOOKUP($M439,Vloersoorten[],3,FALSE)*VLOOKUP($T439,Frequenties[],3,FALSE)*VLOOKUP($A439,Locaties[],3,FALSE),0)</f>
        <v>0</v>
      </c>
      <c r="W439" s="89">
        <f>Ruimtestaat[[#This Row],[Uitvoeringen werkdagen]]*Ruimtestaat[[#This Row],[Oppervlak (netto)]]</f>
        <v>10800</v>
      </c>
      <c r="X439" s="90">
        <f>IF(V439&gt;0,Ruimtestaat[[#This Row],[Prest. (m2 /jaar) werkdagen]]/Ruimtestaat[[#This Row],[Norm (m2/uur) werkdagen]],0)</f>
        <v>0</v>
      </c>
      <c r="Y439" s="91">
        <f>Ruimtestaat[[#This Row],[uren / jaar werkdagen]]*Tariefsopbouw!$E$35</f>
        <v>0</v>
      </c>
      <c r="Z439" s="88"/>
      <c r="AA439" s="92">
        <f>IF(Ruimtestaat[[#This Row],[Frequentie weekend]]&gt;0,VALUE(LEFT(Z439,1))*S439,0)</f>
        <v>0</v>
      </c>
      <c r="AB439" s="88">
        <f>IF($AA439&gt;0,VLOOKUP($K439,Ruimtegroepen[],3,FALSE)*VLOOKUP($M439,Vloersoorten[],3,FALSE)*VLOOKUP($Z439,Frequenties[],3,FALSE)*VLOOKUP(#REF!,Locaties[],3,FALSE),0)</f>
        <v>0</v>
      </c>
      <c r="AC439" s="90">
        <f>Ruimtestaat[[#This Row],[Uitvoeringen weekend]]*Ruimtestaat[[#This Row],[Oppervlak (netto)]]</f>
        <v>0</v>
      </c>
      <c r="AD439" s="93">
        <f>IF(AC439&gt;0,Ruimtestaat[[#This Row],[Prest. (m2 /jaar) weekend]]/Ruimtestaat[[#This Row],[Norm (m2/uur) weekend]],0)</f>
        <v>0</v>
      </c>
      <c r="AE439" s="94">
        <f>Ruimtestaat[[#This Row],[uren / jaar weekend]]*Tariefsopbouw!$D$40</f>
        <v>0</v>
      </c>
      <c r="AF439" s="66">
        <f>Ruimtestaat[[#This Row],[Prest. (m2 /jaar) weekend]]+Ruimtestaat[[#This Row],[Prest. (m2 /jaar) werkdagen]]</f>
        <v>10800</v>
      </c>
      <c r="AG439" s="66">
        <f>Ruimtestaat[[#This Row],[uren / jaar weekend]]+Ruimtestaat[[#This Row],[uren / jaar werkdagen]]</f>
        <v>0</v>
      </c>
      <c r="AH439" s="67">
        <f>Ruimtestaat[[#This Row],[kosten / jaar weekend]]+Ruimtestaat[[#This Row],[kosten / jaar werkdagen]]</f>
        <v>0</v>
      </c>
    </row>
    <row r="440" spans="1:34" ht="15" customHeight="1">
      <c r="A440" s="112">
        <v>3</v>
      </c>
      <c r="B440" s="23" t="str">
        <f>VLOOKUP(Ruimtestaat[[#This Row],[Code]],Locaties[#All],2,FALSE)</f>
        <v>RSG N.O. Veluwe</v>
      </c>
      <c r="C440" s="23" t="str">
        <f>VLOOKUP(Ruimtestaat[[#This Row],[Code]],Locaties[#All],4,FALSE)</f>
        <v>Schotweg 1</v>
      </c>
      <c r="D440" s="23" t="str">
        <f>VLOOKUP(Ruimtestaat[[#This Row],[Code]],Locaties[#All],5,FALSE)</f>
        <v>8162 GM</v>
      </c>
      <c r="E440" s="23" t="str">
        <f>VLOOKUP(Ruimtestaat[[#This Row],[Code]],Locaties[#All],6,FALSE)</f>
        <v>Epe</v>
      </c>
      <c r="F440" s="23" t="s">
        <v>1110</v>
      </c>
      <c r="G440" s="60"/>
      <c r="H440" s="23" t="s">
        <v>1298</v>
      </c>
      <c r="I440" s="23" t="s">
        <v>1134</v>
      </c>
      <c r="J440" s="3" t="s">
        <v>1179</v>
      </c>
      <c r="K440" s="23">
        <v>16</v>
      </c>
      <c r="L440" s="60" t="str">
        <f>VLOOKUP(K440,Ruimtegroepen[],2,FALSE)</f>
        <v>Leslokalen theorie</v>
      </c>
      <c r="M440" s="23" t="s">
        <v>1300</v>
      </c>
      <c r="N440" s="23" t="s">
        <v>1301</v>
      </c>
      <c r="O440" s="86">
        <v>81</v>
      </c>
      <c r="P440" s="86"/>
      <c r="Q440" s="95" t="str">
        <f>LEFT(VLOOKUP(Ruimtestaat[[#This Row],[Ruimte code]],Ruimtegroepen[#All],4,1),2)</f>
        <v xml:space="preserve">L </v>
      </c>
      <c r="R440" s="95"/>
      <c r="S440" s="87">
        <v>40</v>
      </c>
      <c r="T440" s="87" t="s">
        <v>2</v>
      </c>
      <c r="U440" s="88">
        <f>IF(S440&gt;0,IF(RIGHT(Ruimtestaat[[#This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40" s="88">
        <f>IF(U440&gt;0,VLOOKUP($K440,Ruimtegroepen[],3,FALSE)*VLOOKUP($M440,Vloersoorten[],3,FALSE)*VLOOKUP($T440,Frequenties[],3,FALSE)*VLOOKUP($A440,Locaties[],3,FALSE),0)</f>
        <v>0</v>
      </c>
      <c r="W440" s="89">
        <f>Ruimtestaat[[#This Row],[Uitvoeringen werkdagen]]*Ruimtestaat[[#This Row],[Oppervlak (netto)]]</f>
        <v>16200</v>
      </c>
      <c r="X440" s="90">
        <f>IF(V440&gt;0,Ruimtestaat[[#This Row],[Prest. (m2 /jaar) werkdagen]]/Ruimtestaat[[#This Row],[Norm (m2/uur) werkdagen]],0)</f>
        <v>0</v>
      </c>
      <c r="Y440" s="91">
        <f>Ruimtestaat[[#This Row],[uren / jaar werkdagen]]*Tariefsopbouw!$E$35</f>
        <v>0</v>
      </c>
      <c r="Z440" s="88"/>
      <c r="AA440" s="92">
        <f>IF(Ruimtestaat[[#This Row],[Frequentie weekend]]&gt;0,VALUE(LEFT(Z440,1))*S440,0)</f>
        <v>0</v>
      </c>
      <c r="AB440" s="88">
        <f>IF($AA440&gt;0,VLOOKUP($K440,Ruimtegroepen[],3,FALSE)*VLOOKUP($M440,Vloersoorten[],3,FALSE)*VLOOKUP($Z440,Frequenties[],3,FALSE)*VLOOKUP(#REF!,Locaties[],3,FALSE),0)</f>
        <v>0</v>
      </c>
      <c r="AC440" s="90">
        <f>Ruimtestaat[[#This Row],[Uitvoeringen weekend]]*Ruimtestaat[[#This Row],[Oppervlak (netto)]]</f>
        <v>0</v>
      </c>
      <c r="AD440" s="93">
        <f>IF(AC440&gt;0,Ruimtestaat[[#This Row],[Prest. (m2 /jaar) weekend]]/Ruimtestaat[[#This Row],[Norm (m2/uur) weekend]],0)</f>
        <v>0</v>
      </c>
      <c r="AE440" s="94">
        <f>Ruimtestaat[[#This Row],[uren / jaar weekend]]*Tariefsopbouw!$D$40</f>
        <v>0</v>
      </c>
      <c r="AF440" s="66">
        <f>Ruimtestaat[[#This Row],[Prest. (m2 /jaar) weekend]]+Ruimtestaat[[#This Row],[Prest. (m2 /jaar) werkdagen]]</f>
        <v>16200</v>
      </c>
      <c r="AG440" s="66">
        <f>Ruimtestaat[[#This Row],[uren / jaar weekend]]+Ruimtestaat[[#This Row],[uren / jaar werkdagen]]</f>
        <v>0</v>
      </c>
      <c r="AH440" s="67">
        <f>Ruimtestaat[[#This Row],[kosten / jaar weekend]]+Ruimtestaat[[#This Row],[kosten / jaar werkdagen]]</f>
        <v>0</v>
      </c>
    </row>
    <row r="441" spans="1:34" ht="15" customHeight="1">
      <c r="A441" s="112">
        <v>3</v>
      </c>
      <c r="B441" s="23" t="str">
        <f>VLOOKUP(Ruimtestaat[[#This Row],[Code]],Locaties[#All],2,FALSE)</f>
        <v>RSG N.O. Veluwe</v>
      </c>
      <c r="C441" s="23" t="str">
        <f>VLOOKUP(Ruimtestaat[[#This Row],[Code]],Locaties[#All],4,FALSE)</f>
        <v>Schotweg 1</v>
      </c>
      <c r="D441" s="23" t="str">
        <f>VLOOKUP(Ruimtestaat[[#This Row],[Code]],Locaties[#All],5,FALSE)</f>
        <v>8162 GM</v>
      </c>
      <c r="E441" s="23" t="str">
        <f>VLOOKUP(Ruimtestaat[[#This Row],[Code]],Locaties[#All],6,FALSE)</f>
        <v>Epe</v>
      </c>
      <c r="F441" s="23" t="s">
        <v>1110</v>
      </c>
      <c r="G441" s="60"/>
      <c r="H441" s="23" t="s">
        <v>1298</v>
      </c>
      <c r="I441" s="23" t="s">
        <v>1190</v>
      </c>
      <c r="J441" s="3" t="s">
        <v>1191</v>
      </c>
      <c r="K441" s="23">
        <v>8</v>
      </c>
      <c r="L441" s="60" t="str">
        <f>VLOOKUP(K441,Ruimtegroepen[],2,FALSE)</f>
        <v>Mediatheek / OLC</v>
      </c>
      <c r="M441" s="23" t="s">
        <v>1094</v>
      </c>
      <c r="N441" s="23" t="s">
        <v>1095</v>
      </c>
      <c r="O441" s="86">
        <v>299</v>
      </c>
      <c r="P441" s="86"/>
      <c r="Q441" s="95" t="str">
        <f>LEFT(VLOOKUP(Ruimtestaat[[#This Row],[Ruimte code]],Ruimtegroepen[#All],4,1),2)</f>
        <v xml:space="preserve">L </v>
      </c>
      <c r="R441" s="95"/>
      <c r="S441" s="87">
        <v>40</v>
      </c>
      <c r="T441" s="87" t="s">
        <v>2</v>
      </c>
      <c r="U441" s="88">
        <f>IF(S441&gt;0,IF(RIGHT(Ruimtestaat[[#This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41" s="88">
        <f>IF(U441&gt;0,VLOOKUP($K441,Ruimtegroepen[],3,FALSE)*VLOOKUP($M441,Vloersoorten[],3,FALSE)*VLOOKUP($T441,Frequenties[],3,FALSE)*VLOOKUP($A441,Locaties[],3,FALSE),0)</f>
        <v>0</v>
      </c>
      <c r="W441" s="89">
        <f>Ruimtestaat[[#This Row],[Uitvoeringen werkdagen]]*Ruimtestaat[[#This Row],[Oppervlak (netto)]]</f>
        <v>59800</v>
      </c>
      <c r="X441" s="90">
        <f>IF(V441&gt;0,Ruimtestaat[[#This Row],[Prest. (m2 /jaar) werkdagen]]/Ruimtestaat[[#This Row],[Norm (m2/uur) werkdagen]],0)</f>
        <v>0</v>
      </c>
      <c r="Y441" s="91">
        <f>Ruimtestaat[[#This Row],[uren / jaar werkdagen]]*Tariefsopbouw!$E$35</f>
        <v>0</v>
      </c>
      <c r="Z441" s="88"/>
      <c r="AA441" s="92">
        <f>IF(Ruimtestaat[[#This Row],[Frequentie weekend]]&gt;0,VALUE(LEFT(Z441,1))*S441,0)</f>
        <v>0</v>
      </c>
      <c r="AB441" s="88">
        <f>IF($AA441&gt;0,VLOOKUP($K441,Ruimtegroepen[],3,FALSE)*VLOOKUP($M441,Vloersoorten[],3,FALSE)*VLOOKUP($Z441,Frequenties[],3,FALSE)*VLOOKUP(#REF!,Locaties[],3,FALSE),0)</f>
        <v>0</v>
      </c>
      <c r="AC441" s="90">
        <f>Ruimtestaat[[#This Row],[Uitvoeringen weekend]]*Ruimtestaat[[#This Row],[Oppervlak (netto)]]</f>
        <v>0</v>
      </c>
      <c r="AD441" s="93">
        <f>IF(AC441&gt;0,Ruimtestaat[[#This Row],[Prest. (m2 /jaar) weekend]]/Ruimtestaat[[#This Row],[Norm (m2/uur) weekend]],0)</f>
        <v>0</v>
      </c>
      <c r="AE441" s="94">
        <f>Ruimtestaat[[#This Row],[uren / jaar weekend]]*Tariefsopbouw!$D$40</f>
        <v>0</v>
      </c>
      <c r="AF441" s="66">
        <f>Ruimtestaat[[#This Row],[Prest. (m2 /jaar) weekend]]+Ruimtestaat[[#This Row],[Prest. (m2 /jaar) werkdagen]]</f>
        <v>59800</v>
      </c>
      <c r="AG441" s="66">
        <f>Ruimtestaat[[#This Row],[uren / jaar weekend]]+Ruimtestaat[[#This Row],[uren / jaar werkdagen]]</f>
        <v>0</v>
      </c>
      <c r="AH441" s="67">
        <f>Ruimtestaat[[#This Row],[kosten / jaar weekend]]+Ruimtestaat[[#This Row],[kosten / jaar werkdagen]]</f>
        <v>0</v>
      </c>
    </row>
    <row r="442" spans="1:34" ht="15" customHeight="1">
      <c r="A442" s="112">
        <v>3</v>
      </c>
      <c r="B442" s="23" t="str">
        <f>VLOOKUP(Ruimtestaat[[#This Row],[Code]],Locaties[#All],2,FALSE)</f>
        <v>RSG N.O. Veluwe</v>
      </c>
      <c r="C442" s="23" t="str">
        <f>VLOOKUP(Ruimtestaat[[#This Row],[Code]],Locaties[#All],4,FALSE)</f>
        <v>Schotweg 1</v>
      </c>
      <c r="D442" s="23" t="str">
        <f>VLOOKUP(Ruimtestaat[[#This Row],[Code]],Locaties[#All],5,FALSE)</f>
        <v>8162 GM</v>
      </c>
      <c r="E442" s="23" t="str">
        <f>VLOOKUP(Ruimtestaat[[#This Row],[Code]],Locaties[#All],6,FALSE)</f>
        <v>Epe</v>
      </c>
      <c r="F442" s="23" t="s">
        <v>1110</v>
      </c>
      <c r="G442" s="60"/>
      <c r="H442" s="23" t="s">
        <v>1298</v>
      </c>
      <c r="I442" s="23" t="s">
        <v>1140</v>
      </c>
      <c r="J442" s="3" t="s">
        <v>1192</v>
      </c>
      <c r="K442" s="23">
        <v>23</v>
      </c>
      <c r="L442" s="60" t="str">
        <f>VLOOKUP(K442,Ruimtegroepen[],2,FALSE)</f>
        <v>Niet in onderhoud</v>
      </c>
      <c r="M442" s="23" t="s">
        <v>1300</v>
      </c>
      <c r="N442" s="23" t="s">
        <v>1301</v>
      </c>
      <c r="O442" s="86"/>
      <c r="P442" s="86">
        <v>1</v>
      </c>
      <c r="Q442" s="95" t="str">
        <f>LEFT(VLOOKUP(Ruimtestaat[[#This Row],[Ruimte code]],Ruimtegroepen[#All],4,1),2)</f>
        <v/>
      </c>
      <c r="R442" s="95"/>
      <c r="S442" s="87"/>
      <c r="T442" s="87"/>
      <c r="U442" s="88">
        <f>IF(S442&gt;0,IF(RIGHT(Ruimtestaat[[#This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442" s="88">
        <f>IF(U442&gt;0,VLOOKUP($K442,Ruimtegroepen[],3,FALSE)*VLOOKUP($M442,Vloersoorten[],3,FALSE)*VLOOKUP($T442,Frequenties[],3,FALSE)*VLOOKUP($A442,Locaties[],3,FALSE),0)</f>
        <v>0</v>
      </c>
      <c r="W442" s="89">
        <f>Ruimtestaat[[#This Row],[Uitvoeringen werkdagen]]*Ruimtestaat[[#This Row],[Oppervlak (netto)]]</f>
        <v>0</v>
      </c>
      <c r="X442" s="90">
        <f>IF(V442&gt;0,Ruimtestaat[[#This Row],[Prest. (m2 /jaar) werkdagen]]/Ruimtestaat[[#This Row],[Norm (m2/uur) werkdagen]],0)</f>
        <v>0</v>
      </c>
      <c r="Y442" s="91">
        <f>Ruimtestaat[[#This Row],[uren / jaar werkdagen]]*Tariefsopbouw!$E$35</f>
        <v>0</v>
      </c>
      <c r="Z442" s="88"/>
      <c r="AA442" s="92">
        <f>IF(Ruimtestaat[[#This Row],[Frequentie weekend]]&gt;0,VALUE(LEFT(Z442,1))*S442,0)</f>
        <v>0</v>
      </c>
      <c r="AB442" s="88">
        <f>IF($AA442&gt;0,VLOOKUP($K442,Ruimtegroepen[],3,FALSE)*VLOOKUP($M442,Vloersoorten[],3,FALSE)*VLOOKUP($Z442,Frequenties[],3,FALSE)*VLOOKUP(#REF!,Locaties[],3,FALSE),0)</f>
        <v>0</v>
      </c>
      <c r="AC442" s="90">
        <f>Ruimtestaat[[#This Row],[Uitvoeringen weekend]]*Ruimtestaat[[#This Row],[Oppervlak (netto)]]</f>
        <v>0</v>
      </c>
      <c r="AD442" s="93">
        <f>IF(AC442&gt;0,Ruimtestaat[[#This Row],[Prest. (m2 /jaar) weekend]]/Ruimtestaat[[#This Row],[Norm (m2/uur) weekend]],0)</f>
        <v>0</v>
      </c>
      <c r="AE442" s="94">
        <f>Ruimtestaat[[#This Row],[uren / jaar weekend]]*Tariefsopbouw!$D$40</f>
        <v>0</v>
      </c>
      <c r="AF442" s="66">
        <f>Ruimtestaat[[#This Row],[Prest. (m2 /jaar) weekend]]+Ruimtestaat[[#This Row],[Prest. (m2 /jaar) werkdagen]]</f>
        <v>0</v>
      </c>
      <c r="AG442" s="66">
        <f>Ruimtestaat[[#This Row],[uren / jaar weekend]]+Ruimtestaat[[#This Row],[uren / jaar werkdagen]]</f>
        <v>0</v>
      </c>
      <c r="AH442" s="67">
        <f>Ruimtestaat[[#This Row],[kosten / jaar weekend]]+Ruimtestaat[[#This Row],[kosten / jaar werkdagen]]</f>
        <v>0</v>
      </c>
    </row>
    <row r="443" spans="1:34" ht="15" customHeight="1">
      <c r="A443" s="112">
        <v>3</v>
      </c>
      <c r="B443" s="23" t="str">
        <f>VLOOKUP(Ruimtestaat[[#This Row],[Code]],Locaties[#All],2,FALSE)</f>
        <v>RSG N.O. Veluwe</v>
      </c>
      <c r="C443" s="23" t="str">
        <f>VLOOKUP(Ruimtestaat[[#This Row],[Code]],Locaties[#All],4,FALSE)</f>
        <v>Schotweg 1</v>
      </c>
      <c r="D443" s="23" t="str">
        <f>VLOOKUP(Ruimtestaat[[#This Row],[Code]],Locaties[#All],5,FALSE)</f>
        <v>8162 GM</v>
      </c>
      <c r="E443" s="23" t="str">
        <f>VLOOKUP(Ruimtestaat[[#This Row],[Code]],Locaties[#All],6,FALSE)</f>
        <v>Epe</v>
      </c>
      <c r="F443" s="23" t="s">
        <v>1110</v>
      </c>
      <c r="G443" s="60"/>
      <c r="H443" s="23" t="s">
        <v>1298</v>
      </c>
      <c r="I443" s="23" t="s">
        <v>1193</v>
      </c>
      <c r="J443" s="3" t="s">
        <v>1194</v>
      </c>
      <c r="K443" s="23">
        <v>2</v>
      </c>
      <c r="L443" s="60" t="str">
        <f>VLOOKUP(K443,Ruimtegroepen[],2,FALSE)</f>
        <v>Kantoren</v>
      </c>
      <c r="M443" s="23" t="s">
        <v>1300</v>
      </c>
      <c r="N443" s="23" t="s">
        <v>1301</v>
      </c>
      <c r="O443" s="86">
        <v>9</v>
      </c>
      <c r="P443" s="86"/>
      <c r="Q443" s="95" t="str">
        <f>LEFT(VLOOKUP(Ruimtestaat[[#This Row],[Ruimte code]],Ruimtegroepen[#All],4,1),2)</f>
        <v xml:space="preserve">B </v>
      </c>
      <c r="R443" s="95"/>
      <c r="S443" s="87">
        <v>42</v>
      </c>
      <c r="T443" s="87" t="s">
        <v>2</v>
      </c>
      <c r="U443" s="88">
        <f>IF(S443&gt;0,IF(RIGHT(Ruimtestaat[[#This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43" s="88">
        <f>IF(U443&gt;0,VLOOKUP($K443,Ruimtegroepen[],3,FALSE)*VLOOKUP($M443,Vloersoorten[],3,FALSE)*VLOOKUP($T443,Frequenties[],3,FALSE)*VLOOKUP($A443,Locaties[],3,FALSE),0)</f>
        <v>0</v>
      </c>
      <c r="W443" s="89">
        <f>Ruimtestaat[[#This Row],[Uitvoeringen werkdagen]]*Ruimtestaat[[#This Row],[Oppervlak (netto)]]</f>
        <v>1890</v>
      </c>
      <c r="X443" s="90">
        <f>IF(V443&gt;0,Ruimtestaat[[#This Row],[Prest. (m2 /jaar) werkdagen]]/Ruimtestaat[[#This Row],[Norm (m2/uur) werkdagen]],0)</f>
        <v>0</v>
      </c>
      <c r="Y443" s="91">
        <f>Ruimtestaat[[#This Row],[uren / jaar werkdagen]]*Tariefsopbouw!$E$35</f>
        <v>0</v>
      </c>
      <c r="Z443" s="88"/>
      <c r="AA443" s="92">
        <f>IF(Ruimtestaat[[#This Row],[Frequentie weekend]]&gt;0,VALUE(LEFT(Z443,1))*S443,0)</f>
        <v>0</v>
      </c>
      <c r="AB443" s="88">
        <f>IF($AA443&gt;0,VLOOKUP($K443,Ruimtegroepen[],3,FALSE)*VLOOKUP($M443,Vloersoorten[],3,FALSE)*VLOOKUP($Z443,Frequenties[],3,FALSE)*VLOOKUP(#REF!,Locaties[],3,FALSE),0)</f>
        <v>0</v>
      </c>
      <c r="AC443" s="90">
        <f>Ruimtestaat[[#This Row],[Uitvoeringen weekend]]*Ruimtestaat[[#This Row],[Oppervlak (netto)]]</f>
        <v>0</v>
      </c>
      <c r="AD443" s="93">
        <f>IF(AC443&gt;0,Ruimtestaat[[#This Row],[Prest. (m2 /jaar) weekend]]/Ruimtestaat[[#This Row],[Norm (m2/uur) weekend]],0)</f>
        <v>0</v>
      </c>
      <c r="AE443" s="94">
        <f>Ruimtestaat[[#This Row],[uren / jaar weekend]]*Tariefsopbouw!$D$40</f>
        <v>0</v>
      </c>
      <c r="AF443" s="66">
        <f>Ruimtestaat[[#This Row],[Prest. (m2 /jaar) weekend]]+Ruimtestaat[[#This Row],[Prest. (m2 /jaar) werkdagen]]</f>
        <v>1890</v>
      </c>
      <c r="AG443" s="66">
        <f>Ruimtestaat[[#This Row],[uren / jaar weekend]]+Ruimtestaat[[#This Row],[uren / jaar werkdagen]]</f>
        <v>0</v>
      </c>
      <c r="AH443" s="67">
        <f>Ruimtestaat[[#This Row],[kosten / jaar weekend]]+Ruimtestaat[[#This Row],[kosten / jaar werkdagen]]</f>
        <v>0</v>
      </c>
    </row>
    <row r="444" spans="1:34" ht="15" customHeight="1">
      <c r="A444" s="112">
        <v>3</v>
      </c>
      <c r="B444" s="23" t="str">
        <f>VLOOKUP(Ruimtestaat[[#This Row],[Code]],Locaties[#All],2,FALSE)</f>
        <v>RSG N.O. Veluwe</v>
      </c>
      <c r="C444" s="23" t="str">
        <f>VLOOKUP(Ruimtestaat[[#This Row],[Code]],Locaties[#All],4,FALSE)</f>
        <v>Schotweg 1</v>
      </c>
      <c r="D444" s="23" t="str">
        <f>VLOOKUP(Ruimtestaat[[#This Row],[Code]],Locaties[#All],5,FALSE)</f>
        <v>8162 GM</v>
      </c>
      <c r="E444" s="23" t="str">
        <f>VLOOKUP(Ruimtestaat[[#This Row],[Code]],Locaties[#All],6,FALSE)</f>
        <v>Epe</v>
      </c>
      <c r="F444" s="23" t="s">
        <v>1110</v>
      </c>
      <c r="G444" s="60"/>
      <c r="H444" s="23" t="s">
        <v>1298</v>
      </c>
      <c r="I444" s="23" t="s">
        <v>1139</v>
      </c>
      <c r="J444" s="3" t="s">
        <v>1195</v>
      </c>
      <c r="K444" s="23">
        <v>2</v>
      </c>
      <c r="L444" s="60" t="str">
        <f>VLOOKUP(K444,Ruimtegroepen[],2,FALSE)</f>
        <v>Kantoren</v>
      </c>
      <c r="M444" s="23" t="s">
        <v>1094</v>
      </c>
      <c r="N444" s="23" t="s">
        <v>1095</v>
      </c>
      <c r="O444" s="86">
        <v>27</v>
      </c>
      <c r="P444" s="86"/>
      <c r="Q444" s="95" t="str">
        <f>LEFT(VLOOKUP(Ruimtestaat[[#This Row],[Ruimte code]],Ruimtegroepen[#All],4,1),2)</f>
        <v xml:space="preserve">B </v>
      </c>
      <c r="R444" s="95"/>
      <c r="S444" s="87">
        <v>42</v>
      </c>
      <c r="T444" s="87" t="s">
        <v>2</v>
      </c>
      <c r="U444" s="88">
        <f>IF(S444&gt;0,IF(RIGHT(Ruimtestaat[[#This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44" s="88">
        <f>IF(U444&gt;0,VLOOKUP($K444,Ruimtegroepen[],3,FALSE)*VLOOKUP($M444,Vloersoorten[],3,FALSE)*VLOOKUP($T444,Frequenties[],3,FALSE)*VLOOKUP($A444,Locaties[],3,FALSE),0)</f>
        <v>0</v>
      </c>
      <c r="W444" s="89">
        <f>Ruimtestaat[[#This Row],[Uitvoeringen werkdagen]]*Ruimtestaat[[#This Row],[Oppervlak (netto)]]</f>
        <v>5670</v>
      </c>
      <c r="X444" s="90">
        <f>IF(V444&gt;0,Ruimtestaat[[#This Row],[Prest. (m2 /jaar) werkdagen]]/Ruimtestaat[[#This Row],[Norm (m2/uur) werkdagen]],0)</f>
        <v>0</v>
      </c>
      <c r="Y444" s="91">
        <f>Ruimtestaat[[#This Row],[uren / jaar werkdagen]]*Tariefsopbouw!$E$35</f>
        <v>0</v>
      </c>
      <c r="Z444" s="88"/>
      <c r="AA444" s="92">
        <f>IF(Ruimtestaat[[#This Row],[Frequentie weekend]]&gt;0,VALUE(LEFT(Z444,1))*S444,0)</f>
        <v>0</v>
      </c>
      <c r="AB444" s="88">
        <f>IF($AA444&gt;0,VLOOKUP($K444,Ruimtegroepen[],3,FALSE)*VLOOKUP($M444,Vloersoorten[],3,FALSE)*VLOOKUP($Z444,Frequenties[],3,FALSE)*VLOOKUP(#REF!,Locaties[],3,FALSE),0)</f>
        <v>0</v>
      </c>
      <c r="AC444" s="90">
        <f>Ruimtestaat[[#This Row],[Uitvoeringen weekend]]*Ruimtestaat[[#This Row],[Oppervlak (netto)]]</f>
        <v>0</v>
      </c>
      <c r="AD444" s="93">
        <f>IF(AC444&gt;0,Ruimtestaat[[#This Row],[Prest. (m2 /jaar) weekend]]/Ruimtestaat[[#This Row],[Norm (m2/uur) weekend]],0)</f>
        <v>0</v>
      </c>
      <c r="AE444" s="94">
        <f>Ruimtestaat[[#This Row],[uren / jaar weekend]]*Tariefsopbouw!$D$40</f>
        <v>0</v>
      </c>
      <c r="AF444" s="66">
        <f>Ruimtestaat[[#This Row],[Prest. (m2 /jaar) weekend]]+Ruimtestaat[[#This Row],[Prest. (m2 /jaar) werkdagen]]</f>
        <v>5670</v>
      </c>
      <c r="AG444" s="66">
        <f>Ruimtestaat[[#This Row],[uren / jaar weekend]]+Ruimtestaat[[#This Row],[uren / jaar werkdagen]]</f>
        <v>0</v>
      </c>
      <c r="AH444" s="67">
        <f>Ruimtestaat[[#This Row],[kosten / jaar weekend]]+Ruimtestaat[[#This Row],[kosten / jaar werkdagen]]</f>
        <v>0</v>
      </c>
    </row>
    <row r="445" spans="1:34" ht="15" customHeight="1">
      <c r="A445" s="112">
        <v>3</v>
      </c>
      <c r="B445" s="23" t="str">
        <f>VLOOKUP(Ruimtestaat[[#This Row],[Code]],Locaties[#All],2,FALSE)</f>
        <v>RSG N.O. Veluwe</v>
      </c>
      <c r="C445" s="23" t="str">
        <f>VLOOKUP(Ruimtestaat[[#This Row],[Code]],Locaties[#All],4,FALSE)</f>
        <v>Schotweg 1</v>
      </c>
      <c r="D445" s="23" t="str">
        <f>VLOOKUP(Ruimtestaat[[#This Row],[Code]],Locaties[#All],5,FALSE)</f>
        <v>8162 GM</v>
      </c>
      <c r="E445" s="23" t="str">
        <f>VLOOKUP(Ruimtestaat[[#This Row],[Code]],Locaties[#All],6,FALSE)</f>
        <v>Epe</v>
      </c>
      <c r="F445" s="23" t="s">
        <v>1110</v>
      </c>
      <c r="G445" s="60"/>
      <c r="H445" s="23" t="s">
        <v>1298</v>
      </c>
      <c r="I445" s="23" t="s">
        <v>1142</v>
      </c>
      <c r="J445" s="3" t="s">
        <v>1196</v>
      </c>
      <c r="K445" s="23">
        <v>23</v>
      </c>
      <c r="L445" s="60" t="str">
        <f>VLOOKUP(K445,Ruimtegroepen[],2,FALSE)</f>
        <v>Niet in onderhoud</v>
      </c>
      <c r="M445" s="23" t="s">
        <v>113</v>
      </c>
      <c r="N445" s="23" t="s">
        <v>1302</v>
      </c>
      <c r="O445" s="86"/>
      <c r="P445" s="86">
        <v>16</v>
      </c>
      <c r="Q445" s="95" t="str">
        <f>LEFT(VLOOKUP(Ruimtestaat[[#This Row],[Ruimte code]],Ruimtegroepen[#All],4,1),2)</f>
        <v/>
      </c>
      <c r="R445" s="95"/>
      <c r="S445" s="87"/>
      <c r="T445" s="87"/>
      <c r="U445" s="88">
        <f>IF(S445&gt;0,IF(RIGHT(Ruimtestaat[[#This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445" s="88">
        <f>IF(U445&gt;0,VLOOKUP($K445,Ruimtegroepen[],3,FALSE)*VLOOKUP($M445,Vloersoorten[],3,FALSE)*VLOOKUP($T445,Frequenties[],3,FALSE)*VLOOKUP($A445,Locaties[],3,FALSE),0)</f>
        <v>0</v>
      </c>
      <c r="W445" s="89">
        <f>Ruimtestaat[[#This Row],[Uitvoeringen werkdagen]]*Ruimtestaat[[#This Row],[Oppervlak (netto)]]</f>
        <v>0</v>
      </c>
      <c r="X445" s="90">
        <f>IF(V445&gt;0,Ruimtestaat[[#This Row],[Prest. (m2 /jaar) werkdagen]]/Ruimtestaat[[#This Row],[Norm (m2/uur) werkdagen]],0)</f>
        <v>0</v>
      </c>
      <c r="Y445" s="91">
        <f>Ruimtestaat[[#This Row],[uren / jaar werkdagen]]*Tariefsopbouw!$E$35</f>
        <v>0</v>
      </c>
      <c r="Z445" s="88"/>
      <c r="AA445" s="92">
        <f>IF(Ruimtestaat[[#This Row],[Frequentie weekend]]&gt;0,VALUE(LEFT(Z445,1))*S445,0)</f>
        <v>0</v>
      </c>
      <c r="AB445" s="88">
        <f>IF($AA445&gt;0,VLOOKUP($K445,Ruimtegroepen[],3,FALSE)*VLOOKUP($M445,Vloersoorten[],3,FALSE)*VLOOKUP($Z445,Frequenties[],3,FALSE)*VLOOKUP(#REF!,Locaties[],3,FALSE),0)</f>
        <v>0</v>
      </c>
      <c r="AC445" s="90">
        <f>Ruimtestaat[[#This Row],[Uitvoeringen weekend]]*Ruimtestaat[[#This Row],[Oppervlak (netto)]]</f>
        <v>0</v>
      </c>
      <c r="AD445" s="93">
        <f>IF(AC445&gt;0,Ruimtestaat[[#This Row],[Prest. (m2 /jaar) weekend]]/Ruimtestaat[[#This Row],[Norm (m2/uur) weekend]],0)</f>
        <v>0</v>
      </c>
      <c r="AE445" s="94">
        <f>Ruimtestaat[[#This Row],[uren / jaar weekend]]*Tariefsopbouw!$D$40</f>
        <v>0</v>
      </c>
      <c r="AF445" s="66">
        <f>Ruimtestaat[[#This Row],[Prest. (m2 /jaar) weekend]]+Ruimtestaat[[#This Row],[Prest. (m2 /jaar) werkdagen]]</f>
        <v>0</v>
      </c>
      <c r="AG445" s="66">
        <f>Ruimtestaat[[#This Row],[uren / jaar weekend]]+Ruimtestaat[[#This Row],[uren / jaar werkdagen]]</f>
        <v>0</v>
      </c>
      <c r="AH445" s="67">
        <f>Ruimtestaat[[#This Row],[kosten / jaar weekend]]+Ruimtestaat[[#This Row],[kosten / jaar werkdagen]]</f>
        <v>0</v>
      </c>
    </row>
    <row r="446" spans="1:34" ht="15" customHeight="1">
      <c r="A446" s="112">
        <v>3</v>
      </c>
      <c r="B446" s="23" t="str">
        <f>VLOOKUP(Ruimtestaat[[#This Row],[Code]],Locaties[#All],2,FALSE)</f>
        <v>RSG N.O. Veluwe</v>
      </c>
      <c r="C446" s="23" t="str">
        <f>VLOOKUP(Ruimtestaat[[#This Row],[Code]],Locaties[#All],4,FALSE)</f>
        <v>Schotweg 1</v>
      </c>
      <c r="D446" s="23" t="str">
        <f>VLOOKUP(Ruimtestaat[[#This Row],[Code]],Locaties[#All],5,FALSE)</f>
        <v>8162 GM</v>
      </c>
      <c r="E446" s="23" t="str">
        <f>VLOOKUP(Ruimtestaat[[#This Row],[Code]],Locaties[#All],6,FALSE)</f>
        <v>Epe</v>
      </c>
      <c r="F446" s="23" t="s">
        <v>1110</v>
      </c>
      <c r="G446" s="60"/>
      <c r="H446" s="23" t="s">
        <v>1298</v>
      </c>
      <c r="I446" s="23" t="s">
        <v>1143</v>
      </c>
      <c r="J446" s="3" t="s">
        <v>560</v>
      </c>
      <c r="K446" s="23">
        <v>23</v>
      </c>
      <c r="L446" s="60" t="str">
        <f>VLOOKUP(K446,Ruimtegroepen[],2,FALSE)</f>
        <v>Niet in onderhoud</v>
      </c>
      <c r="M446" s="23" t="s">
        <v>113</v>
      </c>
      <c r="N446" s="23" t="s">
        <v>1302</v>
      </c>
      <c r="O446" s="86"/>
      <c r="P446" s="86">
        <v>6</v>
      </c>
      <c r="Q446" s="95" t="str">
        <f>LEFT(VLOOKUP(Ruimtestaat[[#This Row],[Ruimte code]],Ruimtegroepen[#All],4,1),2)</f>
        <v/>
      </c>
      <c r="R446" s="95"/>
      <c r="S446" s="87"/>
      <c r="T446" s="87"/>
      <c r="U446" s="88">
        <f>IF(S446&gt;0,IF(RIGHT(Ruimtestaat[[#This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446" s="88">
        <f>IF(U446&gt;0,VLOOKUP($K446,Ruimtegroepen[],3,FALSE)*VLOOKUP($M446,Vloersoorten[],3,FALSE)*VLOOKUP($T446,Frequenties[],3,FALSE)*VLOOKUP($A446,Locaties[],3,FALSE),0)</f>
        <v>0</v>
      </c>
      <c r="W446" s="89">
        <f>Ruimtestaat[[#This Row],[Uitvoeringen werkdagen]]*Ruimtestaat[[#This Row],[Oppervlak (netto)]]</f>
        <v>0</v>
      </c>
      <c r="X446" s="90">
        <f>IF(V446&gt;0,Ruimtestaat[[#This Row],[Prest. (m2 /jaar) werkdagen]]/Ruimtestaat[[#This Row],[Norm (m2/uur) werkdagen]],0)</f>
        <v>0</v>
      </c>
      <c r="Y446" s="91">
        <f>Ruimtestaat[[#This Row],[uren / jaar werkdagen]]*Tariefsopbouw!$E$35</f>
        <v>0</v>
      </c>
      <c r="Z446" s="88"/>
      <c r="AA446" s="92">
        <f>IF(Ruimtestaat[[#This Row],[Frequentie weekend]]&gt;0,VALUE(LEFT(Z446,1))*S446,0)</f>
        <v>0</v>
      </c>
      <c r="AB446" s="88">
        <f>IF($AA446&gt;0,VLOOKUP($K446,Ruimtegroepen[],3,FALSE)*VLOOKUP($M446,Vloersoorten[],3,FALSE)*VLOOKUP($Z446,Frequenties[],3,FALSE)*VLOOKUP(#REF!,Locaties[],3,FALSE),0)</f>
        <v>0</v>
      </c>
      <c r="AC446" s="90">
        <f>Ruimtestaat[[#This Row],[Uitvoeringen weekend]]*Ruimtestaat[[#This Row],[Oppervlak (netto)]]</f>
        <v>0</v>
      </c>
      <c r="AD446" s="93">
        <f>IF(AC446&gt;0,Ruimtestaat[[#This Row],[Prest. (m2 /jaar) weekend]]/Ruimtestaat[[#This Row],[Norm (m2/uur) weekend]],0)</f>
        <v>0</v>
      </c>
      <c r="AE446" s="94">
        <f>Ruimtestaat[[#This Row],[uren / jaar weekend]]*Tariefsopbouw!$D$40</f>
        <v>0</v>
      </c>
      <c r="AF446" s="66">
        <f>Ruimtestaat[[#This Row],[Prest. (m2 /jaar) weekend]]+Ruimtestaat[[#This Row],[Prest. (m2 /jaar) werkdagen]]</f>
        <v>0</v>
      </c>
      <c r="AG446" s="66">
        <f>Ruimtestaat[[#This Row],[uren / jaar weekend]]+Ruimtestaat[[#This Row],[uren / jaar werkdagen]]</f>
        <v>0</v>
      </c>
      <c r="AH446" s="67">
        <f>Ruimtestaat[[#This Row],[kosten / jaar weekend]]+Ruimtestaat[[#This Row],[kosten / jaar werkdagen]]</f>
        <v>0</v>
      </c>
    </row>
    <row r="447" spans="1:34" ht="15" customHeight="1">
      <c r="A447" s="112">
        <v>3</v>
      </c>
      <c r="B447" s="23" t="str">
        <f>VLOOKUP(Ruimtestaat[[#This Row],[Code]],Locaties[#All],2,FALSE)</f>
        <v>RSG N.O. Veluwe</v>
      </c>
      <c r="C447" s="23" t="str">
        <f>VLOOKUP(Ruimtestaat[[#This Row],[Code]],Locaties[#All],4,FALSE)</f>
        <v>Schotweg 1</v>
      </c>
      <c r="D447" s="23" t="str">
        <f>VLOOKUP(Ruimtestaat[[#This Row],[Code]],Locaties[#All],5,FALSE)</f>
        <v>8162 GM</v>
      </c>
      <c r="E447" s="23" t="str">
        <f>VLOOKUP(Ruimtestaat[[#This Row],[Code]],Locaties[#All],6,FALSE)</f>
        <v>Epe</v>
      </c>
      <c r="F447" s="23" t="s">
        <v>1110</v>
      </c>
      <c r="G447" s="60"/>
      <c r="H447" s="23" t="s">
        <v>1298</v>
      </c>
      <c r="I447" s="23" t="s">
        <v>1145</v>
      </c>
      <c r="J447" s="3" t="s">
        <v>1197</v>
      </c>
      <c r="K447" s="23">
        <v>16</v>
      </c>
      <c r="L447" s="60" t="str">
        <f>VLOOKUP(K447,Ruimtegroepen[],2,FALSE)</f>
        <v>Leslokalen theorie</v>
      </c>
      <c r="M447" s="23" t="s">
        <v>1300</v>
      </c>
      <c r="N447" s="23" t="s">
        <v>1301</v>
      </c>
      <c r="O447" s="86">
        <v>86</v>
      </c>
      <c r="P447" s="86"/>
      <c r="Q447" s="95" t="str">
        <f>LEFT(VLOOKUP(Ruimtestaat[[#This Row],[Ruimte code]],Ruimtegroepen[#All],4,1),2)</f>
        <v xml:space="preserve">L </v>
      </c>
      <c r="R447" s="95"/>
      <c r="S447" s="87">
        <v>40</v>
      </c>
      <c r="T447" s="87" t="s">
        <v>2</v>
      </c>
      <c r="U447" s="88">
        <f>IF(S447&gt;0,IF(RIGHT(Ruimtestaat[[#This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47" s="88">
        <f>IF(U447&gt;0,VLOOKUP($K447,Ruimtegroepen[],3,FALSE)*VLOOKUP($M447,Vloersoorten[],3,FALSE)*VLOOKUP($T447,Frequenties[],3,FALSE)*VLOOKUP($A447,Locaties[],3,FALSE),0)</f>
        <v>0</v>
      </c>
      <c r="W447" s="89">
        <f>Ruimtestaat[[#This Row],[Uitvoeringen werkdagen]]*Ruimtestaat[[#This Row],[Oppervlak (netto)]]</f>
        <v>17200</v>
      </c>
      <c r="X447" s="90">
        <f>IF(V447&gt;0,Ruimtestaat[[#This Row],[Prest. (m2 /jaar) werkdagen]]/Ruimtestaat[[#This Row],[Norm (m2/uur) werkdagen]],0)</f>
        <v>0</v>
      </c>
      <c r="Y447" s="91">
        <f>Ruimtestaat[[#This Row],[uren / jaar werkdagen]]*Tariefsopbouw!$E$35</f>
        <v>0</v>
      </c>
      <c r="Z447" s="88"/>
      <c r="AA447" s="92">
        <f>IF(Ruimtestaat[[#This Row],[Frequentie weekend]]&gt;0,VALUE(LEFT(Z447,1))*S447,0)</f>
        <v>0</v>
      </c>
      <c r="AB447" s="88">
        <f>IF($AA447&gt;0,VLOOKUP($K447,Ruimtegroepen[],3,FALSE)*VLOOKUP($M447,Vloersoorten[],3,FALSE)*VLOOKUP($Z447,Frequenties[],3,FALSE)*VLOOKUP(#REF!,Locaties[],3,FALSE),0)</f>
        <v>0</v>
      </c>
      <c r="AC447" s="90">
        <f>Ruimtestaat[[#This Row],[Uitvoeringen weekend]]*Ruimtestaat[[#This Row],[Oppervlak (netto)]]</f>
        <v>0</v>
      </c>
      <c r="AD447" s="93">
        <f>IF(AC447&gt;0,Ruimtestaat[[#This Row],[Prest. (m2 /jaar) weekend]]/Ruimtestaat[[#This Row],[Norm (m2/uur) weekend]],0)</f>
        <v>0</v>
      </c>
      <c r="AE447" s="94">
        <f>Ruimtestaat[[#This Row],[uren / jaar weekend]]*Tariefsopbouw!$D$40</f>
        <v>0</v>
      </c>
      <c r="AF447" s="66">
        <f>Ruimtestaat[[#This Row],[Prest. (m2 /jaar) weekend]]+Ruimtestaat[[#This Row],[Prest. (m2 /jaar) werkdagen]]</f>
        <v>17200</v>
      </c>
      <c r="AG447" s="66">
        <f>Ruimtestaat[[#This Row],[uren / jaar weekend]]+Ruimtestaat[[#This Row],[uren / jaar werkdagen]]</f>
        <v>0</v>
      </c>
      <c r="AH447" s="67">
        <f>Ruimtestaat[[#This Row],[kosten / jaar weekend]]+Ruimtestaat[[#This Row],[kosten / jaar werkdagen]]</f>
        <v>0</v>
      </c>
    </row>
    <row r="448" spans="1:34" ht="15" customHeight="1">
      <c r="A448" s="112">
        <v>3</v>
      </c>
      <c r="B448" s="23" t="str">
        <f>VLOOKUP(Ruimtestaat[[#This Row],[Code]],Locaties[#All],2,FALSE)</f>
        <v>RSG N.O. Veluwe</v>
      </c>
      <c r="C448" s="23" t="str">
        <f>VLOOKUP(Ruimtestaat[[#This Row],[Code]],Locaties[#All],4,FALSE)</f>
        <v>Schotweg 1</v>
      </c>
      <c r="D448" s="23" t="str">
        <f>VLOOKUP(Ruimtestaat[[#This Row],[Code]],Locaties[#All],5,FALSE)</f>
        <v>8162 GM</v>
      </c>
      <c r="E448" s="23" t="str">
        <f>VLOOKUP(Ruimtestaat[[#This Row],[Code]],Locaties[#All],6,FALSE)</f>
        <v>Epe</v>
      </c>
      <c r="F448" s="23" t="s">
        <v>1110</v>
      </c>
      <c r="G448" s="60"/>
      <c r="H448" s="23" t="s">
        <v>1298</v>
      </c>
      <c r="I448" s="23" t="s">
        <v>1147</v>
      </c>
      <c r="J448" s="3" t="s">
        <v>1119</v>
      </c>
      <c r="K448" s="23">
        <v>2</v>
      </c>
      <c r="L448" s="60" t="str">
        <f>VLOOKUP(K448,Ruimtegroepen[],2,FALSE)</f>
        <v>Kantoren</v>
      </c>
      <c r="M448" s="23" t="s">
        <v>1300</v>
      </c>
      <c r="N448" s="23" t="s">
        <v>1301</v>
      </c>
      <c r="O448" s="86">
        <v>25</v>
      </c>
      <c r="P448" s="86"/>
      <c r="Q448" s="95" t="str">
        <f>LEFT(VLOOKUP(Ruimtestaat[[#This Row],[Ruimte code]],Ruimtegroepen[#All],4,1),2)</f>
        <v xml:space="preserve">B </v>
      </c>
      <c r="R448" s="95"/>
      <c r="S448" s="87">
        <v>42</v>
      </c>
      <c r="T448" s="87" t="s">
        <v>2</v>
      </c>
      <c r="U448" s="88">
        <f>IF(S448&gt;0,IF(RIGHT(Ruimtestaat[[#This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48" s="88">
        <f>IF(U448&gt;0,VLOOKUP($K448,Ruimtegroepen[],3,FALSE)*VLOOKUP($M448,Vloersoorten[],3,FALSE)*VLOOKUP($T448,Frequenties[],3,FALSE)*VLOOKUP($A448,Locaties[],3,FALSE),0)</f>
        <v>0</v>
      </c>
      <c r="W448" s="89">
        <f>Ruimtestaat[[#This Row],[Uitvoeringen werkdagen]]*Ruimtestaat[[#This Row],[Oppervlak (netto)]]</f>
        <v>5250</v>
      </c>
      <c r="X448" s="90">
        <f>IF(V448&gt;0,Ruimtestaat[[#This Row],[Prest. (m2 /jaar) werkdagen]]/Ruimtestaat[[#This Row],[Norm (m2/uur) werkdagen]],0)</f>
        <v>0</v>
      </c>
      <c r="Y448" s="91">
        <f>Ruimtestaat[[#This Row],[uren / jaar werkdagen]]*Tariefsopbouw!$E$35</f>
        <v>0</v>
      </c>
      <c r="Z448" s="88"/>
      <c r="AA448" s="92">
        <f>IF(Ruimtestaat[[#This Row],[Frequentie weekend]]&gt;0,VALUE(LEFT(Z448,1))*S448,0)</f>
        <v>0</v>
      </c>
      <c r="AB448" s="88">
        <f>IF($AA448&gt;0,VLOOKUP($K448,Ruimtegroepen[],3,FALSE)*VLOOKUP($M448,Vloersoorten[],3,FALSE)*VLOOKUP($Z448,Frequenties[],3,FALSE)*VLOOKUP(#REF!,Locaties[],3,FALSE),0)</f>
        <v>0</v>
      </c>
      <c r="AC448" s="90">
        <f>Ruimtestaat[[#This Row],[Uitvoeringen weekend]]*Ruimtestaat[[#This Row],[Oppervlak (netto)]]</f>
        <v>0</v>
      </c>
      <c r="AD448" s="93">
        <f>IF(AC448&gt;0,Ruimtestaat[[#This Row],[Prest. (m2 /jaar) weekend]]/Ruimtestaat[[#This Row],[Norm (m2/uur) weekend]],0)</f>
        <v>0</v>
      </c>
      <c r="AE448" s="94">
        <f>Ruimtestaat[[#This Row],[uren / jaar weekend]]*Tariefsopbouw!$D$40</f>
        <v>0</v>
      </c>
      <c r="AF448" s="66">
        <f>Ruimtestaat[[#This Row],[Prest. (m2 /jaar) weekend]]+Ruimtestaat[[#This Row],[Prest. (m2 /jaar) werkdagen]]</f>
        <v>5250</v>
      </c>
      <c r="AG448" s="66">
        <f>Ruimtestaat[[#This Row],[uren / jaar weekend]]+Ruimtestaat[[#This Row],[uren / jaar werkdagen]]</f>
        <v>0</v>
      </c>
      <c r="AH448" s="67">
        <f>Ruimtestaat[[#This Row],[kosten / jaar weekend]]+Ruimtestaat[[#This Row],[kosten / jaar werkdagen]]</f>
        <v>0</v>
      </c>
    </row>
    <row r="449" spans="1:34" ht="15" customHeight="1">
      <c r="A449" s="112">
        <v>3</v>
      </c>
      <c r="B449" s="23" t="str">
        <f>VLOOKUP(Ruimtestaat[[#This Row],[Code]],Locaties[#All],2,FALSE)</f>
        <v>RSG N.O. Veluwe</v>
      </c>
      <c r="C449" s="23" t="str">
        <f>VLOOKUP(Ruimtestaat[[#This Row],[Code]],Locaties[#All],4,FALSE)</f>
        <v>Schotweg 1</v>
      </c>
      <c r="D449" s="23" t="str">
        <f>VLOOKUP(Ruimtestaat[[#This Row],[Code]],Locaties[#All],5,FALSE)</f>
        <v>8162 GM</v>
      </c>
      <c r="E449" s="23" t="str">
        <f>VLOOKUP(Ruimtestaat[[#This Row],[Code]],Locaties[#All],6,FALSE)</f>
        <v>Epe</v>
      </c>
      <c r="F449" s="23" t="s">
        <v>1110</v>
      </c>
      <c r="G449" s="60"/>
      <c r="H449" s="23" t="s">
        <v>1298</v>
      </c>
      <c r="I449" s="23" t="s">
        <v>1148</v>
      </c>
      <c r="J449" s="3" t="s">
        <v>1179</v>
      </c>
      <c r="K449" s="23">
        <v>16</v>
      </c>
      <c r="L449" s="60" t="str">
        <f>VLOOKUP(K449,Ruimtegroepen[],2,FALSE)</f>
        <v>Leslokalen theorie</v>
      </c>
      <c r="M449" s="23" t="s">
        <v>1300</v>
      </c>
      <c r="N449" s="23" t="s">
        <v>1301</v>
      </c>
      <c r="O449" s="86">
        <v>54</v>
      </c>
      <c r="P449" s="86"/>
      <c r="Q449" s="95" t="str">
        <f>LEFT(VLOOKUP(Ruimtestaat[[#This Row],[Ruimte code]],Ruimtegroepen[#All],4,1),2)</f>
        <v xml:space="preserve">L </v>
      </c>
      <c r="R449" s="95"/>
      <c r="S449" s="87">
        <v>40</v>
      </c>
      <c r="T449" s="87" t="s">
        <v>2</v>
      </c>
      <c r="U449" s="88">
        <f>IF(S449&gt;0,IF(RIGHT(Ruimtestaat[[#This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49" s="88">
        <f>IF(U449&gt;0,VLOOKUP($K449,Ruimtegroepen[],3,FALSE)*VLOOKUP($M449,Vloersoorten[],3,FALSE)*VLOOKUP($T449,Frequenties[],3,FALSE)*VLOOKUP($A449,Locaties[],3,FALSE),0)</f>
        <v>0</v>
      </c>
      <c r="W449" s="89">
        <f>Ruimtestaat[[#This Row],[Uitvoeringen werkdagen]]*Ruimtestaat[[#This Row],[Oppervlak (netto)]]</f>
        <v>10800</v>
      </c>
      <c r="X449" s="90">
        <f>IF(V449&gt;0,Ruimtestaat[[#This Row],[Prest. (m2 /jaar) werkdagen]]/Ruimtestaat[[#This Row],[Norm (m2/uur) werkdagen]],0)</f>
        <v>0</v>
      </c>
      <c r="Y449" s="91">
        <f>Ruimtestaat[[#This Row],[uren / jaar werkdagen]]*Tariefsopbouw!$E$35</f>
        <v>0</v>
      </c>
      <c r="Z449" s="88"/>
      <c r="AA449" s="92">
        <f>IF(Ruimtestaat[[#This Row],[Frequentie weekend]]&gt;0,VALUE(LEFT(Z449,1))*S449,0)</f>
        <v>0</v>
      </c>
      <c r="AB449" s="88">
        <f>IF($AA449&gt;0,VLOOKUP($K449,Ruimtegroepen[],3,FALSE)*VLOOKUP($M449,Vloersoorten[],3,FALSE)*VLOOKUP($Z449,Frequenties[],3,FALSE)*VLOOKUP(#REF!,Locaties[],3,FALSE),0)</f>
        <v>0</v>
      </c>
      <c r="AC449" s="90">
        <f>Ruimtestaat[[#This Row],[Uitvoeringen weekend]]*Ruimtestaat[[#This Row],[Oppervlak (netto)]]</f>
        <v>0</v>
      </c>
      <c r="AD449" s="93">
        <f>IF(AC449&gt;0,Ruimtestaat[[#This Row],[Prest. (m2 /jaar) weekend]]/Ruimtestaat[[#This Row],[Norm (m2/uur) weekend]],0)</f>
        <v>0</v>
      </c>
      <c r="AE449" s="94">
        <f>Ruimtestaat[[#This Row],[uren / jaar weekend]]*Tariefsopbouw!$D$40</f>
        <v>0</v>
      </c>
      <c r="AF449" s="66">
        <f>Ruimtestaat[[#This Row],[Prest. (m2 /jaar) weekend]]+Ruimtestaat[[#This Row],[Prest. (m2 /jaar) werkdagen]]</f>
        <v>10800</v>
      </c>
      <c r="AG449" s="66">
        <f>Ruimtestaat[[#This Row],[uren / jaar weekend]]+Ruimtestaat[[#This Row],[uren / jaar werkdagen]]</f>
        <v>0</v>
      </c>
      <c r="AH449" s="67">
        <f>Ruimtestaat[[#This Row],[kosten / jaar weekend]]+Ruimtestaat[[#This Row],[kosten / jaar werkdagen]]</f>
        <v>0</v>
      </c>
    </row>
    <row r="450" spans="1:34" ht="15" customHeight="1">
      <c r="A450" s="112">
        <v>3</v>
      </c>
      <c r="B450" s="23" t="str">
        <f>VLOOKUP(Ruimtestaat[[#This Row],[Code]],Locaties[#All],2,FALSE)</f>
        <v>RSG N.O. Veluwe</v>
      </c>
      <c r="C450" s="23" t="str">
        <f>VLOOKUP(Ruimtestaat[[#This Row],[Code]],Locaties[#All],4,FALSE)</f>
        <v>Schotweg 1</v>
      </c>
      <c r="D450" s="23" t="str">
        <f>VLOOKUP(Ruimtestaat[[#This Row],[Code]],Locaties[#All],5,FALSE)</f>
        <v>8162 GM</v>
      </c>
      <c r="E450" s="23" t="str">
        <f>VLOOKUP(Ruimtestaat[[#This Row],[Code]],Locaties[#All],6,FALSE)</f>
        <v>Epe</v>
      </c>
      <c r="F450" s="23" t="s">
        <v>1110</v>
      </c>
      <c r="G450" s="60"/>
      <c r="H450" s="23" t="s">
        <v>1298</v>
      </c>
      <c r="I450" s="23" t="s">
        <v>1150</v>
      </c>
      <c r="J450" s="3" t="s">
        <v>1179</v>
      </c>
      <c r="K450" s="23">
        <v>16</v>
      </c>
      <c r="L450" s="60" t="str">
        <f>VLOOKUP(K450,Ruimtegroepen[],2,FALSE)</f>
        <v>Leslokalen theorie</v>
      </c>
      <c r="M450" s="23" t="s">
        <v>1300</v>
      </c>
      <c r="N450" s="23" t="s">
        <v>1301</v>
      </c>
      <c r="O450" s="86">
        <v>54</v>
      </c>
      <c r="P450" s="86"/>
      <c r="Q450" s="95" t="str">
        <f>LEFT(VLOOKUP(Ruimtestaat[[#This Row],[Ruimte code]],Ruimtegroepen[#All],4,1),2)</f>
        <v xml:space="preserve">L </v>
      </c>
      <c r="R450" s="95"/>
      <c r="S450" s="87">
        <v>40</v>
      </c>
      <c r="T450" s="87" t="s">
        <v>2</v>
      </c>
      <c r="U450" s="88">
        <f>IF(S450&gt;0,IF(RIGHT(Ruimtestaat[[#This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50" s="88">
        <f>IF(U450&gt;0,VLOOKUP($K450,Ruimtegroepen[],3,FALSE)*VLOOKUP($M450,Vloersoorten[],3,FALSE)*VLOOKUP($T450,Frequenties[],3,FALSE)*VLOOKUP($A450,Locaties[],3,FALSE),0)</f>
        <v>0</v>
      </c>
      <c r="W450" s="89">
        <f>Ruimtestaat[[#This Row],[Uitvoeringen werkdagen]]*Ruimtestaat[[#This Row],[Oppervlak (netto)]]</f>
        <v>10800</v>
      </c>
      <c r="X450" s="90">
        <f>IF(V450&gt;0,Ruimtestaat[[#This Row],[Prest. (m2 /jaar) werkdagen]]/Ruimtestaat[[#This Row],[Norm (m2/uur) werkdagen]],0)</f>
        <v>0</v>
      </c>
      <c r="Y450" s="91">
        <f>Ruimtestaat[[#This Row],[uren / jaar werkdagen]]*Tariefsopbouw!$E$35</f>
        <v>0</v>
      </c>
      <c r="Z450" s="88"/>
      <c r="AA450" s="92">
        <f>IF(Ruimtestaat[[#This Row],[Frequentie weekend]]&gt;0,VALUE(LEFT(Z450,1))*S450,0)</f>
        <v>0</v>
      </c>
      <c r="AB450" s="88">
        <f>IF($AA450&gt;0,VLOOKUP($K450,Ruimtegroepen[],3,FALSE)*VLOOKUP($M450,Vloersoorten[],3,FALSE)*VLOOKUP($Z450,Frequenties[],3,FALSE)*VLOOKUP(#REF!,Locaties[],3,FALSE),0)</f>
        <v>0</v>
      </c>
      <c r="AC450" s="90">
        <f>Ruimtestaat[[#This Row],[Uitvoeringen weekend]]*Ruimtestaat[[#This Row],[Oppervlak (netto)]]</f>
        <v>0</v>
      </c>
      <c r="AD450" s="93">
        <f>IF(AC450&gt;0,Ruimtestaat[[#This Row],[Prest. (m2 /jaar) weekend]]/Ruimtestaat[[#This Row],[Norm (m2/uur) weekend]],0)</f>
        <v>0</v>
      </c>
      <c r="AE450" s="94">
        <f>Ruimtestaat[[#This Row],[uren / jaar weekend]]*Tariefsopbouw!$D$40</f>
        <v>0</v>
      </c>
      <c r="AF450" s="66">
        <f>Ruimtestaat[[#This Row],[Prest. (m2 /jaar) weekend]]+Ruimtestaat[[#This Row],[Prest. (m2 /jaar) werkdagen]]</f>
        <v>10800</v>
      </c>
      <c r="AG450" s="66">
        <f>Ruimtestaat[[#This Row],[uren / jaar weekend]]+Ruimtestaat[[#This Row],[uren / jaar werkdagen]]</f>
        <v>0</v>
      </c>
      <c r="AH450" s="67">
        <f>Ruimtestaat[[#This Row],[kosten / jaar weekend]]+Ruimtestaat[[#This Row],[kosten / jaar werkdagen]]</f>
        <v>0</v>
      </c>
    </row>
    <row r="451" spans="1:34" ht="15" customHeight="1">
      <c r="A451" s="112">
        <v>3</v>
      </c>
      <c r="B451" s="23" t="str">
        <f>VLOOKUP(Ruimtestaat[[#This Row],[Code]],Locaties[#All],2,FALSE)</f>
        <v>RSG N.O. Veluwe</v>
      </c>
      <c r="C451" s="23" t="str">
        <f>VLOOKUP(Ruimtestaat[[#This Row],[Code]],Locaties[#All],4,FALSE)</f>
        <v>Schotweg 1</v>
      </c>
      <c r="D451" s="23" t="str">
        <f>VLOOKUP(Ruimtestaat[[#This Row],[Code]],Locaties[#All],5,FALSE)</f>
        <v>8162 GM</v>
      </c>
      <c r="E451" s="23" t="str">
        <f>VLOOKUP(Ruimtestaat[[#This Row],[Code]],Locaties[#All],6,FALSE)</f>
        <v>Epe</v>
      </c>
      <c r="F451" s="23" t="s">
        <v>1110</v>
      </c>
      <c r="G451" s="60"/>
      <c r="H451" s="23" t="s">
        <v>1298</v>
      </c>
      <c r="I451" s="23" t="s">
        <v>1151</v>
      </c>
      <c r="J451" s="3" t="s">
        <v>1179</v>
      </c>
      <c r="K451" s="23">
        <v>16</v>
      </c>
      <c r="L451" s="60" t="str">
        <f>VLOOKUP(K451,Ruimtegroepen[],2,FALSE)</f>
        <v>Leslokalen theorie</v>
      </c>
      <c r="M451" s="23" t="s">
        <v>1300</v>
      </c>
      <c r="N451" s="23" t="s">
        <v>1301</v>
      </c>
      <c r="O451" s="86">
        <v>40</v>
      </c>
      <c r="P451" s="86"/>
      <c r="Q451" s="95" t="str">
        <f>LEFT(VLOOKUP(Ruimtestaat[[#This Row],[Ruimte code]],Ruimtegroepen[#All],4,1),2)</f>
        <v xml:space="preserve">L </v>
      </c>
      <c r="R451" s="95"/>
      <c r="S451" s="87">
        <v>40</v>
      </c>
      <c r="T451" s="87" t="s">
        <v>2</v>
      </c>
      <c r="U451" s="88">
        <f>IF(S451&gt;0,IF(RIGHT(Ruimtestaat[[#This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51" s="88">
        <f>IF(U451&gt;0,VLOOKUP($K451,Ruimtegroepen[],3,FALSE)*VLOOKUP($M451,Vloersoorten[],3,FALSE)*VLOOKUP($T451,Frequenties[],3,FALSE)*VLOOKUP($A451,Locaties[],3,FALSE),0)</f>
        <v>0</v>
      </c>
      <c r="W451" s="89">
        <f>Ruimtestaat[[#This Row],[Uitvoeringen werkdagen]]*Ruimtestaat[[#This Row],[Oppervlak (netto)]]</f>
        <v>8000</v>
      </c>
      <c r="X451" s="90">
        <f>IF(V451&gt;0,Ruimtestaat[[#This Row],[Prest. (m2 /jaar) werkdagen]]/Ruimtestaat[[#This Row],[Norm (m2/uur) werkdagen]],0)</f>
        <v>0</v>
      </c>
      <c r="Y451" s="91">
        <f>Ruimtestaat[[#This Row],[uren / jaar werkdagen]]*Tariefsopbouw!$E$35</f>
        <v>0</v>
      </c>
      <c r="Z451" s="88"/>
      <c r="AA451" s="92">
        <f>IF(Ruimtestaat[[#This Row],[Frequentie weekend]]&gt;0,VALUE(LEFT(Z451,1))*S451,0)</f>
        <v>0</v>
      </c>
      <c r="AB451" s="88">
        <f>IF($AA451&gt;0,VLOOKUP($K451,Ruimtegroepen[],3,FALSE)*VLOOKUP($M451,Vloersoorten[],3,FALSE)*VLOOKUP($Z451,Frequenties[],3,FALSE)*VLOOKUP(#REF!,Locaties[],3,FALSE),0)</f>
        <v>0</v>
      </c>
      <c r="AC451" s="90">
        <f>Ruimtestaat[[#This Row],[Uitvoeringen weekend]]*Ruimtestaat[[#This Row],[Oppervlak (netto)]]</f>
        <v>0</v>
      </c>
      <c r="AD451" s="93">
        <f>IF(AC451&gt;0,Ruimtestaat[[#This Row],[Prest. (m2 /jaar) weekend]]/Ruimtestaat[[#This Row],[Norm (m2/uur) weekend]],0)</f>
        <v>0</v>
      </c>
      <c r="AE451" s="94">
        <f>Ruimtestaat[[#This Row],[uren / jaar weekend]]*Tariefsopbouw!$D$40</f>
        <v>0</v>
      </c>
      <c r="AF451" s="66">
        <f>Ruimtestaat[[#This Row],[Prest. (m2 /jaar) weekend]]+Ruimtestaat[[#This Row],[Prest. (m2 /jaar) werkdagen]]</f>
        <v>8000</v>
      </c>
      <c r="AG451" s="66">
        <f>Ruimtestaat[[#This Row],[uren / jaar weekend]]+Ruimtestaat[[#This Row],[uren / jaar werkdagen]]</f>
        <v>0</v>
      </c>
      <c r="AH451" s="67">
        <f>Ruimtestaat[[#This Row],[kosten / jaar weekend]]+Ruimtestaat[[#This Row],[kosten / jaar werkdagen]]</f>
        <v>0</v>
      </c>
    </row>
    <row r="452" spans="1:34" ht="15" customHeight="1">
      <c r="A452" s="112">
        <v>3</v>
      </c>
      <c r="B452" s="23" t="str">
        <f>VLOOKUP(Ruimtestaat[[#This Row],[Code]],Locaties[#All],2,FALSE)</f>
        <v>RSG N.O. Veluwe</v>
      </c>
      <c r="C452" s="23" t="str">
        <f>VLOOKUP(Ruimtestaat[[#This Row],[Code]],Locaties[#All],4,FALSE)</f>
        <v>Schotweg 1</v>
      </c>
      <c r="D452" s="23" t="str">
        <f>VLOOKUP(Ruimtestaat[[#This Row],[Code]],Locaties[#All],5,FALSE)</f>
        <v>8162 GM</v>
      </c>
      <c r="E452" s="23" t="str">
        <f>VLOOKUP(Ruimtestaat[[#This Row],[Code]],Locaties[#All],6,FALSE)</f>
        <v>Epe</v>
      </c>
      <c r="F452" s="23" t="s">
        <v>1110</v>
      </c>
      <c r="G452" s="60"/>
      <c r="H452" s="23" t="s">
        <v>1298</v>
      </c>
      <c r="I452" s="23" t="s">
        <v>1152</v>
      </c>
      <c r="J452" s="3" t="s">
        <v>1198</v>
      </c>
      <c r="K452" s="23">
        <v>16</v>
      </c>
      <c r="L452" s="60" t="str">
        <f>VLOOKUP(K452,Ruimtegroepen[],2,FALSE)</f>
        <v>Leslokalen theorie</v>
      </c>
      <c r="M452" s="23" t="s">
        <v>1300</v>
      </c>
      <c r="N452" s="23" t="s">
        <v>1301</v>
      </c>
      <c r="O452" s="86">
        <v>74</v>
      </c>
      <c r="P452" s="86"/>
      <c r="Q452" s="95" t="str">
        <f>LEFT(VLOOKUP(Ruimtestaat[[#This Row],[Ruimte code]],Ruimtegroepen[#All],4,1),2)</f>
        <v xml:space="preserve">L </v>
      </c>
      <c r="R452" s="95"/>
      <c r="S452" s="87">
        <v>40</v>
      </c>
      <c r="T452" s="87" t="s">
        <v>2</v>
      </c>
      <c r="U452" s="88">
        <f>IF(S452&gt;0,IF(RIGHT(Ruimtestaat[[#This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52" s="88">
        <f>IF(U452&gt;0,VLOOKUP($K452,Ruimtegroepen[],3,FALSE)*VLOOKUP($M452,Vloersoorten[],3,FALSE)*VLOOKUP($T452,Frequenties[],3,FALSE)*VLOOKUP($A452,Locaties[],3,FALSE),0)</f>
        <v>0</v>
      </c>
      <c r="W452" s="89">
        <f>Ruimtestaat[[#This Row],[Uitvoeringen werkdagen]]*Ruimtestaat[[#This Row],[Oppervlak (netto)]]</f>
        <v>14800</v>
      </c>
      <c r="X452" s="90">
        <f>IF(V452&gt;0,Ruimtestaat[[#This Row],[Prest. (m2 /jaar) werkdagen]]/Ruimtestaat[[#This Row],[Norm (m2/uur) werkdagen]],0)</f>
        <v>0</v>
      </c>
      <c r="Y452" s="91">
        <f>Ruimtestaat[[#This Row],[uren / jaar werkdagen]]*Tariefsopbouw!$E$35</f>
        <v>0</v>
      </c>
      <c r="Z452" s="88"/>
      <c r="AA452" s="92">
        <f>IF(Ruimtestaat[[#This Row],[Frequentie weekend]]&gt;0,VALUE(LEFT(Z452,1))*S452,0)</f>
        <v>0</v>
      </c>
      <c r="AB452" s="88">
        <f>IF($AA452&gt;0,VLOOKUP($K452,Ruimtegroepen[],3,FALSE)*VLOOKUP($M452,Vloersoorten[],3,FALSE)*VLOOKUP($Z452,Frequenties[],3,FALSE)*VLOOKUP(#REF!,Locaties[],3,FALSE),0)</f>
        <v>0</v>
      </c>
      <c r="AC452" s="90">
        <f>Ruimtestaat[[#This Row],[Uitvoeringen weekend]]*Ruimtestaat[[#This Row],[Oppervlak (netto)]]</f>
        <v>0</v>
      </c>
      <c r="AD452" s="93">
        <f>IF(AC452&gt;0,Ruimtestaat[[#This Row],[Prest. (m2 /jaar) weekend]]/Ruimtestaat[[#This Row],[Norm (m2/uur) weekend]],0)</f>
        <v>0</v>
      </c>
      <c r="AE452" s="94">
        <f>Ruimtestaat[[#This Row],[uren / jaar weekend]]*Tariefsopbouw!$D$40</f>
        <v>0</v>
      </c>
      <c r="AF452" s="66">
        <f>Ruimtestaat[[#This Row],[Prest. (m2 /jaar) weekend]]+Ruimtestaat[[#This Row],[Prest. (m2 /jaar) werkdagen]]</f>
        <v>14800</v>
      </c>
      <c r="AG452" s="66">
        <f>Ruimtestaat[[#This Row],[uren / jaar weekend]]+Ruimtestaat[[#This Row],[uren / jaar werkdagen]]</f>
        <v>0</v>
      </c>
      <c r="AH452" s="67">
        <f>Ruimtestaat[[#This Row],[kosten / jaar weekend]]+Ruimtestaat[[#This Row],[kosten / jaar werkdagen]]</f>
        <v>0</v>
      </c>
    </row>
    <row r="453" spans="1:34" ht="15" customHeight="1">
      <c r="A453" s="112">
        <v>3</v>
      </c>
      <c r="B453" s="23" t="str">
        <f>VLOOKUP(Ruimtestaat[[#This Row],[Code]],Locaties[#All],2,FALSE)</f>
        <v>RSG N.O. Veluwe</v>
      </c>
      <c r="C453" s="23" t="str">
        <f>VLOOKUP(Ruimtestaat[[#This Row],[Code]],Locaties[#All],4,FALSE)</f>
        <v>Schotweg 1</v>
      </c>
      <c r="D453" s="23" t="str">
        <f>VLOOKUP(Ruimtestaat[[#This Row],[Code]],Locaties[#All],5,FALSE)</f>
        <v>8162 GM</v>
      </c>
      <c r="E453" s="23" t="str">
        <f>VLOOKUP(Ruimtestaat[[#This Row],[Code]],Locaties[#All],6,FALSE)</f>
        <v>Epe</v>
      </c>
      <c r="F453" s="23" t="s">
        <v>1110</v>
      </c>
      <c r="G453" s="60"/>
      <c r="H453" s="23" t="s">
        <v>1298</v>
      </c>
      <c r="J453" s="3" t="s">
        <v>1199</v>
      </c>
      <c r="K453" s="23">
        <v>6</v>
      </c>
      <c r="L453" s="60" t="str">
        <f>VLOOKUP(K453,Ruimtegroepen[],2,FALSE)</f>
        <v>Gangen/hallen</v>
      </c>
      <c r="M453" s="23" t="s">
        <v>1300</v>
      </c>
      <c r="N453" s="23" t="s">
        <v>1301</v>
      </c>
      <c r="O453" s="86">
        <v>212</v>
      </c>
      <c r="P453" s="86"/>
      <c r="Q453" s="95" t="str">
        <f>LEFT(VLOOKUP(Ruimtestaat[[#This Row],[Ruimte code]],Ruimtegroepen[#All],4,1),2)</f>
        <v xml:space="preserve">V </v>
      </c>
      <c r="R453" s="95"/>
      <c r="S453" s="87">
        <v>42</v>
      </c>
      <c r="T453" s="87" t="s">
        <v>2</v>
      </c>
      <c r="U453" s="88">
        <f>IF(S453&gt;0,IF(RIGHT(Ruimtestaat[[#This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53" s="88">
        <f>IF(U453&gt;0,VLOOKUP($K453,Ruimtegroepen[],3,FALSE)*VLOOKUP($M453,Vloersoorten[],3,FALSE)*VLOOKUP($T453,Frequenties[],3,FALSE)*VLOOKUP($A453,Locaties[],3,FALSE),0)</f>
        <v>0</v>
      </c>
      <c r="W453" s="89">
        <f>Ruimtestaat[[#This Row],[Uitvoeringen werkdagen]]*Ruimtestaat[[#This Row],[Oppervlak (netto)]]</f>
        <v>44520</v>
      </c>
      <c r="X453" s="90">
        <f>IF(V453&gt;0,Ruimtestaat[[#This Row],[Prest. (m2 /jaar) werkdagen]]/Ruimtestaat[[#This Row],[Norm (m2/uur) werkdagen]],0)</f>
        <v>0</v>
      </c>
      <c r="Y453" s="91">
        <f>Ruimtestaat[[#This Row],[uren / jaar werkdagen]]*Tariefsopbouw!$E$35</f>
        <v>0</v>
      </c>
      <c r="Z453" s="88"/>
      <c r="AA453" s="92">
        <f>IF(Ruimtestaat[[#This Row],[Frequentie weekend]]&gt;0,VALUE(LEFT(Z453,1))*S453,0)</f>
        <v>0</v>
      </c>
      <c r="AB453" s="88">
        <f>IF($AA453&gt;0,VLOOKUP($K453,Ruimtegroepen[],3,FALSE)*VLOOKUP($M453,Vloersoorten[],3,FALSE)*VLOOKUP($Z453,Frequenties[],3,FALSE)*VLOOKUP(#REF!,Locaties[],3,FALSE),0)</f>
        <v>0</v>
      </c>
      <c r="AC453" s="90">
        <f>Ruimtestaat[[#This Row],[Uitvoeringen weekend]]*Ruimtestaat[[#This Row],[Oppervlak (netto)]]</f>
        <v>0</v>
      </c>
      <c r="AD453" s="93">
        <f>IF(AC453&gt;0,Ruimtestaat[[#This Row],[Prest. (m2 /jaar) weekend]]/Ruimtestaat[[#This Row],[Norm (m2/uur) weekend]],0)</f>
        <v>0</v>
      </c>
      <c r="AE453" s="94">
        <f>Ruimtestaat[[#This Row],[uren / jaar weekend]]*Tariefsopbouw!$D$40</f>
        <v>0</v>
      </c>
      <c r="AF453" s="66">
        <f>Ruimtestaat[[#This Row],[Prest. (m2 /jaar) weekend]]+Ruimtestaat[[#This Row],[Prest. (m2 /jaar) werkdagen]]</f>
        <v>44520</v>
      </c>
      <c r="AG453" s="66">
        <f>Ruimtestaat[[#This Row],[uren / jaar weekend]]+Ruimtestaat[[#This Row],[uren / jaar werkdagen]]</f>
        <v>0</v>
      </c>
      <c r="AH453" s="67">
        <f>Ruimtestaat[[#This Row],[kosten / jaar weekend]]+Ruimtestaat[[#This Row],[kosten / jaar werkdagen]]</f>
        <v>0</v>
      </c>
    </row>
    <row r="454" spans="1:34" ht="15" customHeight="1">
      <c r="A454" s="112">
        <v>3</v>
      </c>
      <c r="B454" s="23" t="str">
        <f>VLOOKUP(Ruimtestaat[[#This Row],[Code]],Locaties[#All],2,FALSE)</f>
        <v>RSG N.O. Veluwe</v>
      </c>
      <c r="C454" s="23" t="str">
        <f>VLOOKUP(Ruimtestaat[[#This Row],[Code]],Locaties[#All],4,FALSE)</f>
        <v>Schotweg 1</v>
      </c>
      <c r="D454" s="23" t="str">
        <f>VLOOKUP(Ruimtestaat[[#This Row],[Code]],Locaties[#All],5,FALSE)</f>
        <v>8162 GM</v>
      </c>
      <c r="E454" s="23" t="str">
        <f>VLOOKUP(Ruimtestaat[[#This Row],[Code]],Locaties[#All],6,FALSE)</f>
        <v>Epe</v>
      </c>
      <c r="F454" s="23" t="s">
        <v>1111</v>
      </c>
      <c r="G454" s="60"/>
      <c r="H454" s="23" t="s">
        <v>1298</v>
      </c>
      <c r="I454" s="23" t="s">
        <v>1116</v>
      </c>
      <c r="J454" s="3" t="s">
        <v>41</v>
      </c>
      <c r="K454" s="23">
        <v>7</v>
      </c>
      <c r="L454" s="60" t="str">
        <f>VLOOKUP(K454,Ruimtegroepen[],2,FALSE)</f>
        <v>Entree</v>
      </c>
      <c r="M454" s="23" t="s">
        <v>113</v>
      </c>
      <c r="N454" s="23" t="s">
        <v>1302</v>
      </c>
      <c r="O454" s="86">
        <v>6</v>
      </c>
      <c r="P454" s="86"/>
      <c r="Q454" s="95" t="str">
        <f>LEFT(VLOOKUP(Ruimtestaat[[#This Row],[Ruimte code]],Ruimtegroepen[#All],4,1),2)</f>
        <v xml:space="preserve">V </v>
      </c>
      <c r="R454" s="95"/>
      <c r="S454" s="87">
        <v>42</v>
      </c>
      <c r="T454" s="87" t="s">
        <v>2</v>
      </c>
      <c r="U454" s="88">
        <f>IF(S454&gt;0,IF(RIGHT(Ruimtestaat[[#This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54" s="88">
        <f>IF(U454&gt;0,VLOOKUP($K454,Ruimtegroepen[],3,FALSE)*VLOOKUP($M454,Vloersoorten[],3,FALSE)*VLOOKUP($T454,Frequenties[],3,FALSE)*VLOOKUP($A454,Locaties[],3,FALSE),0)</f>
        <v>0</v>
      </c>
      <c r="W454" s="89">
        <f>Ruimtestaat[[#This Row],[Uitvoeringen werkdagen]]*Ruimtestaat[[#This Row],[Oppervlak (netto)]]</f>
        <v>1260</v>
      </c>
      <c r="X454" s="90">
        <f>IF(V454&gt;0,Ruimtestaat[[#This Row],[Prest. (m2 /jaar) werkdagen]]/Ruimtestaat[[#This Row],[Norm (m2/uur) werkdagen]],0)</f>
        <v>0</v>
      </c>
      <c r="Y454" s="91">
        <f>Ruimtestaat[[#This Row],[uren / jaar werkdagen]]*Tariefsopbouw!$E$35</f>
        <v>0</v>
      </c>
      <c r="Z454" s="88"/>
      <c r="AA454" s="92">
        <f>IF(Ruimtestaat[[#This Row],[Frequentie weekend]]&gt;0,VALUE(LEFT(Z454,1))*S454,0)</f>
        <v>0</v>
      </c>
      <c r="AB454" s="88">
        <f>IF($AA454&gt;0,VLOOKUP($K454,Ruimtegroepen[],3,FALSE)*VLOOKUP($M454,Vloersoorten[],3,FALSE)*VLOOKUP($Z454,Frequenties[],3,FALSE)*VLOOKUP(#REF!,Locaties[],3,FALSE),0)</f>
        <v>0</v>
      </c>
      <c r="AC454" s="90">
        <f>Ruimtestaat[[#This Row],[Uitvoeringen weekend]]*Ruimtestaat[[#This Row],[Oppervlak (netto)]]</f>
        <v>0</v>
      </c>
      <c r="AD454" s="93">
        <f>IF(AC454&gt;0,Ruimtestaat[[#This Row],[Prest. (m2 /jaar) weekend]]/Ruimtestaat[[#This Row],[Norm (m2/uur) weekend]],0)</f>
        <v>0</v>
      </c>
      <c r="AE454" s="94">
        <f>Ruimtestaat[[#This Row],[uren / jaar weekend]]*Tariefsopbouw!$D$40</f>
        <v>0</v>
      </c>
      <c r="AF454" s="66">
        <f>Ruimtestaat[[#This Row],[Prest. (m2 /jaar) weekend]]+Ruimtestaat[[#This Row],[Prest. (m2 /jaar) werkdagen]]</f>
        <v>1260</v>
      </c>
      <c r="AG454" s="66">
        <f>Ruimtestaat[[#This Row],[uren / jaar weekend]]+Ruimtestaat[[#This Row],[uren / jaar werkdagen]]</f>
        <v>0</v>
      </c>
      <c r="AH454" s="67">
        <f>Ruimtestaat[[#This Row],[kosten / jaar weekend]]+Ruimtestaat[[#This Row],[kosten / jaar werkdagen]]</f>
        <v>0</v>
      </c>
    </row>
    <row r="455" spans="1:34" ht="15" customHeight="1">
      <c r="A455" s="112">
        <v>3</v>
      </c>
      <c r="B455" s="23" t="str">
        <f>VLOOKUP(Ruimtestaat[[#This Row],[Code]],Locaties[#All],2,FALSE)</f>
        <v>RSG N.O. Veluwe</v>
      </c>
      <c r="C455" s="23" t="str">
        <f>VLOOKUP(Ruimtestaat[[#This Row],[Code]],Locaties[#All],4,FALSE)</f>
        <v>Schotweg 1</v>
      </c>
      <c r="D455" s="23" t="str">
        <f>VLOOKUP(Ruimtestaat[[#This Row],[Code]],Locaties[#All],5,FALSE)</f>
        <v>8162 GM</v>
      </c>
      <c r="E455" s="23" t="str">
        <f>VLOOKUP(Ruimtestaat[[#This Row],[Code]],Locaties[#All],6,FALSE)</f>
        <v>Epe</v>
      </c>
      <c r="F455" s="23" t="s">
        <v>1111</v>
      </c>
      <c r="G455" s="60"/>
      <c r="H455" s="23" t="s">
        <v>1298</v>
      </c>
      <c r="I455" s="23" t="s">
        <v>1117</v>
      </c>
      <c r="J455" s="3" t="s">
        <v>1017</v>
      </c>
      <c r="K455" s="23">
        <v>23</v>
      </c>
      <c r="L455" s="60" t="str">
        <f>VLOOKUP(K455,Ruimtegroepen[],2,FALSE)</f>
        <v>Niet in onderhoud</v>
      </c>
      <c r="M455" s="23" t="s">
        <v>113</v>
      </c>
      <c r="N455" s="23" t="s">
        <v>1092</v>
      </c>
      <c r="O455" s="86"/>
      <c r="P455" s="86">
        <v>10</v>
      </c>
      <c r="Q455" s="95" t="str">
        <f>LEFT(VLOOKUP(Ruimtestaat[[#This Row],[Ruimte code]],Ruimtegroepen[#All],4,1),2)</f>
        <v/>
      </c>
      <c r="R455" s="95"/>
      <c r="S455" s="87"/>
      <c r="T455" s="87"/>
      <c r="U455" s="88">
        <f>IF(S455&gt;0,IF(RIGHT(Ruimtestaat[[#This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455" s="88">
        <f>IF(U455&gt;0,VLOOKUP($K455,Ruimtegroepen[],3,FALSE)*VLOOKUP($M455,Vloersoorten[],3,FALSE)*VLOOKUP($T455,Frequenties[],3,FALSE)*VLOOKUP($A455,Locaties[],3,FALSE),0)</f>
        <v>0</v>
      </c>
      <c r="W455" s="89">
        <f>Ruimtestaat[[#This Row],[Uitvoeringen werkdagen]]*Ruimtestaat[[#This Row],[Oppervlak (netto)]]</f>
        <v>0</v>
      </c>
      <c r="X455" s="90">
        <f>IF(V455&gt;0,Ruimtestaat[[#This Row],[Prest. (m2 /jaar) werkdagen]]/Ruimtestaat[[#This Row],[Norm (m2/uur) werkdagen]],0)</f>
        <v>0</v>
      </c>
      <c r="Y455" s="91">
        <f>Ruimtestaat[[#This Row],[uren / jaar werkdagen]]*Tariefsopbouw!$E$35</f>
        <v>0</v>
      </c>
      <c r="Z455" s="88"/>
      <c r="AA455" s="92">
        <f>IF(Ruimtestaat[[#This Row],[Frequentie weekend]]&gt;0,VALUE(LEFT(Z455,1))*S455,0)</f>
        <v>0</v>
      </c>
      <c r="AB455" s="88">
        <f>IF($AA455&gt;0,VLOOKUP($K455,Ruimtegroepen[],3,FALSE)*VLOOKUP($M455,Vloersoorten[],3,FALSE)*VLOOKUP($Z455,Frequenties[],3,FALSE)*VLOOKUP(#REF!,Locaties[],3,FALSE),0)</f>
        <v>0</v>
      </c>
      <c r="AC455" s="90">
        <f>Ruimtestaat[[#This Row],[Uitvoeringen weekend]]*Ruimtestaat[[#This Row],[Oppervlak (netto)]]</f>
        <v>0</v>
      </c>
      <c r="AD455" s="93">
        <f>IF(AC455&gt;0,Ruimtestaat[[#This Row],[Prest. (m2 /jaar) weekend]]/Ruimtestaat[[#This Row],[Norm (m2/uur) weekend]],0)</f>
        <v>0</v>
      </c>
      <c r="AE455" s="94">
        <f>Ruimtestaat[[#This Row],[uren / jaar weekend]]*Tariefsopbouw!$D$40</f>
        <v>0</v>
      </c>
      <c r="AF455" s="66">
        <f>Ruimtestaat[[#This Row],[Prest. (m2 /jaar) weekend]]+Ruimtestaat[[#This Row],[Prest. (m2 /jaar) werkdagen]]</f>
        <v>0</v>
      </c>
      <c r="AG455" s="66">
        <f>Ruimtestaat[[#This Row],[uren / jaar weekend]]+Ruimtestaat[[#This Row],[uren / jaar werkdagen]]</f>
        <v>0</v>
      </c>
      <c r="AH455" s="67">
        <f>Ruimtestaat[[#This Row],[kosten / jaar weekend]]+Ruimtestaat[[#This Row],[kosten / jaar werkdagen]]</f>
        <v>0</v>
      </c>
    </row>
    <row r="456" spans="1:34" ht="15" customHeight="1">
      <c r="A456" s="112">
        <v>3</v>
      </c>
      <c r="B456" s="23" t="str">
        <f>VLOOKUP(Ruimtestaat[[#This Row],[Code]],Locaties[#All],2,FALSE)</f>
        <v>RSG N.O. Veluwe</v>
      </c>
      <c r="C456" s="23" t="str">
        <f>VLOOKUP(Ruimtestaat[[#This Row],[Code]],Locaties[#All],4,FALSE)</f>
        <v>Schotweg 1</v>
      </c>
      <c r="D456" s="23" t="str">
        <f>VLOOKUP(Ruimtestaat[[#This Row],[Code]],Locaties[#All],5,FALSE)</f>
        <v>8162 GM</v>
      </c>
      <c r="E456" s="23" t="str">
        <f>VLOOKUP(Ruimtestaat[[#This Row],[Code]],Locaties[#All],6,FALSE)</f>
        <v>Epe</v>
      </c>
      <c r="F456" s="23" t="s">
        <v>1111</v>
      </c>
      <c r="G456" s="60"/>
      <c r="H456" s="23" t="s">
        <v>1298</v>
      </c>
      <c r="I456" s="23" t="s">
        <v>1118</v>
      </c>
      <c r="J456" s="3" t="s">
        <v>1200</v>
      </c>
      <c r="K456" s="23">
        <v>13</v>
      </c>
      <c r="L456" s="60" t="str">
        <f>VLOOKUP(K456,Ruimtegroepen[],2,FALSE)</f>
        <v>HV/Technieklokaal</v>
      </c>
      <c r="M456" s="23" t="s">
        <v>1300</v>
      </c>
      <c r="N456" s="23" t="s">
        <v>1301</v>
      </c>
      <c r="O456" s="86">
        <v>84</v>
      </c>
      <c r="P456" s="86"/>
      <c r="Q456" s="95" t="str">
        <f>LEFT(VLOOKUP(Ruimtestaat[[#This Row],[Ruimte code]],Ruimtegroepen[#All],4,1),2)</f>
        <v xml:space="preserve">L </v>
      </c>
      <c r="R456" s="95"/>
      <c r="S456" s="87">
        <v>40</v>
      </c>
      <c r="T456" s="87" t="s">
        <v>2</v>
      </c>
      <c r="U456" s="88">
        <f>IF(S456&gt;0,IF(RIGHT(Ruimtestaat[[#This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56" s="88">
        <f>IF(U456&gt;0,VLOOKUP($K456,Ruimtegroepen[],3,FALSE)*VLOOKUP($M456,Vloersoorten[],3,FALSE)*VLOOKUP($T456,Frequenties[],3,FALSE)*VLOOKUP($A456,Locaties[],3,FALSE),0)</f>
        <v>0</v>
      </c>
      <c r="W456" s="89">
        <f>Ruimtestaat[[#This Row],[Uitvoeringen werkdagen]]*Ruimtestaat[[#This Row],[Oppervlak (netto)]]</f>
        <v>16800</v>
      </c>
      <c r="X456" s="90">
        <f>IF(V456&gt;0,Ruimtestaat[[#This Row],[Prest. (m2 /jaar) werkdagen]]/Ruimtestaat[[#This Row],[Norm (m2/uur) werkdagen]],0)</f>
        <v>0</v>
      </c>
      <c r="Y456" s="91">
        <f>Ruimtestaat[[#This Row],[uren / jaar werkdagen]]*Tariefsopbouw!$E$35</f>
        <v>0</v>
      </c>
      <c r="Z456" s="88"/>
      <c r="AA456" s="92">
        <f>IF(Ruimtestaat[[#This Row],[Frequentie weekend]]&gt;0,VALUE(LEFT(Z456,1))*S456,0)</f>
        <v>0</v>
      </c>
      <c r="AB456" s="88">
        <f>IF($AA456&gt;0,VLOOKUP($K456,Ruimtegroepen[],3,FALSE)*VLOOKUP($M456,Vloersoorten[],3,FALSE)*VLOOKUP($Z456,Frequenties[],3,FALSE)*VLOOKUP(#REF!,Locaties[],3,FALSE),0)</f>
        <v>0</v>
      </c>
      <c r="AC456" s="90">
        <f>Ruimtestaat[[#This Row],[Uitvoeringen weekend]]*Ruimtestaat[[#This Row],[Oppervlak (netto)]]</f>
        <v>0</v>
      </c>
      <c r="AD456" s="93">
        <f>IF(AC456&gt;0,Ruimtestaat[[#This Row],[Prest. (m2 /jaar) weekend]]/Ruimtestaat[[#This Row],[Norm (m2/uur) weekend]],0)</f>
        <v>0</v>
      </c>
      <c r="AE456" s="94">
        <f>Ruimtestaat[[#This Row],[uren / jaar weekend]]*Tariefsopbouw!$D$40</f>
        <v>0</v>
      </c>
      <c r="AF456" s="66">
        <f>Ruimtestaat[[#This Row],[Prest. (m2 /jaar) weekend]]+Ruimtestaat[[#This Row],[Prest. (m2 /jaar) werkdagen]]</f>
        <v>16800</v>
      </c>
      <c r="AG456" s="66">
        <f>Ruimtestaat[[#This Row],[uren / jaar weekend]]+Ruimtestaat[[#This Row],[uren / jaar werkdagen]]</f>
        <v>0</v>
      </c>
      <c r="AH456" s="67">
        <f>Ruimtestaat[[#This Row],[kosten / jaar weekend]]+Ruimtestaat[[#This Row],[kosten / jaar werkdagen]]</f>
        <v>0</v>
      </c>
    </row>
    <row r="457" spans="1:34" ht="15" customHeight="1">
      <c r="A457" s="112">
        <v>3</v>
      </c>
      <c r="B457" s="23" t="str">
        <f>VLOOKUP(Ruimtestaat[[#This Row],[Code]],Locaties[#All],2,FALSE)</f>
        <v>RSG N.O. Veluwe</v>
      </c>
      <c r="C457" s="23" t="str">
        <f>VLOOKUP(Ruimtestaat[[#This Row],[Code]],Locaties[#All],4,FALSE)</f>
        <v>Schotweg 1</v>
      </c>
      <c r="D457" s="23" t="str">
        <f>VLOOKUP(Ruimtestaat[[#This Row],[Code]],Locaties[#All],5,FALSE)</f>
        <v>8162 GM</v>
      </c>
      <c r="E457" s="23" t="str">
        <f>VLOOKUP(Ruimtestaat[[#This Row],[Code]],Locaties[#All],6,FALSE)</f>
        <v>Epe</v>
      </c>
      <c r="F457" s="23" t="s">
        <v>1111</v>
      </c>
      <c r="G457" s="60"/>
      <c r="H457" s="23" t="s">
        <v>1298</v>
      </c>
      <c r="I457" s="23" t="s">
        <v>1120</v>
      </c>
      <c r="J457" s="3" t="s">
        <v>1201</v>
      </c>
      <c r="K457" s="23">
        <v>13</v>
      </c>
      <c r="L457" s="60" t="str">
        <f>VLOOKUP(K457,Ruimtegroepen[],2,FALSE)</f>
        <v>HV/Technieklokaal</v>
      </c>
      <c r="M457" s="23" t="s">
        <v>113</v>
      </c>
      <c r="N457" s="23" t="s">
        <v>1307</v>
      </c>
      <c r="O457" s="86">
        <v>25</v>
      </c>
      <c r="P457" s="86"/>
      <c r="Q457" s="95" t="str">
        <f>LEFT(VLOOKUP(Ruimtestaat[[#This Row],[Ruimte code]],Ruimtegroepen[#All],4,1),2)</f>
        <v xml:space="preserve">L </v>
      </c>
      <c r="R457" s="95"/>
      <c r="S457" s="87">
        <v>40</v>
      </c>
      <c r="T457" s="87" t="s">
        <v>2</v>
      </c>
      <c r="U457" s="88">
        <f>IF(S457&gt;0,IF(RIGHT(Ruimtestaat[[#This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57" s="88">
        <f>IF(U457&gt;0,VLOOKUP($K457,Ruimtegroepen[],3,FALSE)*VLOOKUP($M457,Vloersoorten[],3,FALSE)*VLOOKUP($T457,Frequenties[],3,FALSE)*VLOOKUP($A457,Locaties[],3,FALSE),0)</f>
        <v>0</v>
      </c>
      <c r="W457" s="89">
        <f>Ruimtestaat[[#This Row],[Uitvoeringen werkdagen]]*Ruimtestaat[[#This Row],[Oppervlak (netto)]]</f>
        <v>5000</v>
      </c>
      <c r="X457" s="90">
        <f>IF(V457&gt;0,Ruimtestaat[[#This Row],[Prest. (m2 /jaar) werkdagen]]/Ruimtestaat[[#This Row],[Norm (m2/uur) werkdagen]],0)</f>
        <v>0</v>
      </c>
      <c r="Y457" s="91">
        <f>Ruimtestaat[[#This Row],[uren / jaar werkdagen]]*Tariefsopbouw!$E$35</f>
        <v>0</v>
      </c>
      <c r="Z457" s="88"/>
      <c r="AA457" s="92">
        <f>IF(Ruimtestaat[[#This Row],[Frequentie weekend]]&gt;0,VALUE(LEFT(Z457,1))*S457,0)</f>
        <v>0</v>
      </c>
      <c r="AB457" s="88">
        <f>IF($AA457&gt;0,VLOOKUP($K457,Ruimtegroepen[],3,FALSE)*VLOOKUP($M457,Vloersoorten[],3,FALSE)*VLOOKUP($Z457,Frequenties[],3,FALSE)*VLOOKUP(#REF!,Locaties[],3,FALSE),0)</f>
        <v>0</v>
      </c>
      <c r="AC457" s="90">
        <f>Ruimtestaat[[#This Row],[Uitvoeringen weekend]]*Ruimtestaat[[#This Row],[Oppervlak (netto)]]</f>
        <v>0</v>
      </c>
      <c r="AD457" s="93">
        <f>IF(AC457&gt;0,Ruimtestaat[[#This Row],[Prest. (m2 /jaar) weekend]]/Ruimtestaat[[#This Row],[Norm (m2/uur) weekend]],0)</f>
        <v>0</v>
      </c>
      <c r="AE457" s="94">
        <f>Ruimtestaat[[#This Row],[uren / jaar weekend]]*Tariefsopbouw!$D$40</f>
        <v>0</v>
      </c>
      <c r="AF457" s="66">
        <f>Ruimtestaat[[#This Row],[Prest. (m2 /jaar) weekend]]+Ruimtestaat[[#This Row],[Prest. (m2 /jaar) werkdagen]]</f>
        <v>5000</v>
      </c>
      <c r="AG457" s="66">
        <f>Ruimtestaat[[#This Row],[uren / jaar weekend]]+Ruimtestaat[[#This Row],[uren / jaar werkdagen]]</f>
        <v>0</v>
      </c>
      <c r="AH457" s="67">
        <f>Ruimtestaat[[#This Row],[kosten / jaar weekend]]+Ruimtestaat[[#This Row],[kosten / jaar werkdagen]]</f>
        <v>0</v>
      </c>
    </row>
    <row r="458" spans="1:34" ht="15" customHeight="1">
      <c r="A458" s="112">
        <v>3</v>
      </c>
      <c r="B458" s="23" t="str">
        <f>VLOOKUP(Ruimtestaat[[#This Row],[Code]],Locaties[#All],2,FALSE)</f>
        <v>RSG N.O. Veluwe</v>
      </c>
      <c r="C458" s="23" t="str">
        <f>VLOOKUP(Ruimtestaat[[#This Row],[Code]],Locaties[#All],4,FALSE)</f>
        <v>Schotweg 1</v>
      </c>
      <c r="D458" s="23" t="str">
        <f>VLOOKUP(Ruimtestaat[[#This Row],[Code]],Locaties[#All],5,FALSE)</f>
        <v>8162 GM</v>
      </c>
      <c r="E458" s="23" t="str">
        <f>VLOOKUP(Ruimtestaat[[#This Row],[Code]],Locaties[#All],6,FALSE)</f>
        <v>Epe</v>
      </c>
      <c r="F458" s="23" t="s">
        <v>1111</v>
      </c>
      <c r="G458" s="60"/>
      <c r="H458" s="23" t="s">
        <v>1298</v>
      </c>
      <c r="I458" s="23" t="s">
        <v>1121</v>
      </c>
      <c r="J458" s="3" t="s">
        <v>1060</v>
      </c>
      <c r="K458" s="23">
        <v>16</v>
      </c>
      <c r="L458" s="60" t="str">
        <f>VLOOKUP(K458,Ruimtegroepen[],2,FALSE)</f>
        <v>Leslokalen theorie</v>
      </c>
      <c r="M458" s="23" t="s">
        <v>1300</v>
      </c>
      <c r="N458" s="23" t="s">
        <v>1301</v>
      </c>
      <c r="O458" s="86">
        <v>22</v>
      </c>
      <c r="P458" s="86"/>
      <c r="Q458" s="95" t="str">
        <f>LEFT(VLOOKUP(Ruimtestaat[[#This Row],[Ruimte code]],Ruimtegroepen[#All],4,1),2)</f>
        <v xml:space="preserve">L </v>
      </c>
      <c r="R458" s="95"/>
      <c r="S458" s="87">
        <v>40</v>
      </c>
      <c r="T458" s="87" t="s">
        <v>2</v>
      </c>
      <c r="U458" s="88">
        <f>IF(S458&gt;0,IF(RIGHT(Ruimtestaat[[#This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58" s="88">
        <f>IF(U458&gt;0,VLOOKUP($K458,Ruimtegroepen[],3,FALSE)*VLOOKUP($M458,Vloersoorten[],3,FALSE)*VLOOKUP($T458,Frequenties[],3,FALSE)*VLOOKUP($A458,Locaties[],3,FALSE),0)</f>
        <v>0</v>
      </c>
      <c r="W458" s="89">
        <f>Ruimtestaat[[#This Row],[Uitvoeringen werkdagen]]*Ruimtestaat[[#This Row],[Oppervlak (netto)]]</f>
        <v>4400</v>
      </c>
      <c r="X458" s="90">
        <f>IF(V458&gt;0,Ruimtestaat[[#This Row],[Prest. (m2 /jaar) werkdagen]]/Ruimtestaat[[#This Row],[Norm (m2/uur) werkdagen]],0)</f>
        <v>0</v>
      </c>
      <c r="Y458" s="91">
        <f>Ruimtestaat[[#This Row],[uren / jaar werkdagen]]*Tariefsopbouw!$E$35</f>
        <v>0</v>
      </c>
      <c r="Z458" s="88"/>
      <c r="AA458" s="92">
        <f>IF(Ruimtestaat[[#This Row],[Frequentie weekend]]&gt;0,VALUE(LEFT(Z458,1))*S458,0)</f>
        <v>0</v>
      </c>
      <c r="AB458" s="88">
        <f>IF($AA458&gt;0,VLOOKUP($K458,Ruimtegroepen[],3,FALSE)*VLOOKUP($M458,Vloersoorten[],3,FALSE)*VLOOKUP($Z458,Frequenties[],3,FALSE)*VLOOKUP(#REF!,Locaties[],3,FALSE),0)</f>
        <v>0</v>
      </c>
      <c r="AC458" s="90">
        <f>Ruimtestaat[[#This Row],[Uitvoeringen weekend]]*Ruimtestaat[[#This Row],[Oppervlak (netto)]]</f>
        <v>0</v>
      </c>
      <c r="AD458" s="93">
        <f>IF(AC458&gt;0,Ruimtestaat[[#This Row],[Prest. (m2 /jaar) weekend]]/Ruimtestaat[[#This Row],[Norm (m2/uur) weekend]],0)</f>
        <v>0</v>
      </c>
      <c r="AE458" s="94">
        <f>Ruimtestaat[[#This Row],[uren / jaar weekend]]*Tariefsopbouw!$D$40</f>
        <v>0</v>
      </c>
      <c r="AF458" s="66">
        <f>Ruimtestaat[[#This Row],[Prest. (m2 /jaar) weekend]]+Ruimtestaat[[#This Row],[Prest. (m2 /jaar) werkdagen]]</f>
        <v>4400</v>
      </c>
      <c r="AG458" s="66">
        <f>Ruimtestaat[[#This Row],[uren / jaar weekend]]+Ruimtestaat[[#This Row],[uren / jaar werkdagen]]</f>
        <v>0</v>
      </c>
      <c r="AH458" s="67">
        <f>Ruimtestaat[[#This Row],[kosten / jaar weekend]]+Ruimtestaat[[#This Row],[kosten / jaar werkdagen]]</f>
        <v>0</v>
      </c>
    </row>
    <row r="459" spans="1:34" ht="15" customHeight="1">
      <c r="A459" s="112">
        <v>3</v>
      </c>
      <c r="B459" s="23" t="str">
        <f>VLOOKUP(Ruimtestaat[[#This Row],[Code]],Locaties[#All],2,FALSE)</f>
        <v>RSG N.O. Veluwe</v>
      </c>
      <c r="C459" s="23" t="str">
        <f>VLOOKUP(Ruimtestaat[[#This Row],[Code]],Locaties[#All],4,FALSE)</f>
        <v>Schotweg 1</v>
      </c>
      <c r="D459" s="23" t="str">
        <f>VLOOKUP(Ruimtestaat[[#This Row],[Code]],Locaties[#All],5,FALSE)</f>
        <v>8162 GM</v>
      </c>
      <c r="E459" s="23" t="str">
        <f>VLOOKUP(Ruimtestaat[[#This Row],[Code]],Locaties[#All],6,FALSE)</f>
        <v>Epe</v>
      </c>
      <c r="F459" s="23" t="s">
        <v>1111</v>
      </c>
      <c r="G459" s="60"/>
      <c r="H459" s="23" t="s">
        <v>1298</v>
      </c>
      <c r="I459" s="23" t="s">
        <v>1122</v>
      </c>
      <c r="J459" s="3" t="s">
        <v>1202</v>
      </c>
      <c r="K459" s="23">
        <v>16</v>
      </c>
      <c r="L459" s="60" t="str">
        <f>VLOOKUP(K459,Ruimtegroepen[],2,FALSE)</f>
        <v>Leslokalen theorie</v>
      </c>
      <c r="M459" s="23" t="s">
        <v>1300</v>
      </c>
      <c r="N459" s="23" t="s">
        <v>1301</v>
      </c>
      <c r="O459" s="86">
        <v>85</v>
      </c>
      <c r="P459" s="86"/>
      <c r="Q459" s="95" t="str">
        <f>LEFT(VLOOKUP(Ruimtestaat[[#This Row],[Ruimte code]],Ruimtegroepen[#All],4,1),2)</f>
        <v xml:space="preserve">L </v>
      </c>
      <c r="R459" s="95"/>
      <c r="S459" s="87">
        <v>40</v>
      </c>
      <c r="T459" s="87" t="s">
        <v>2</v>
      </c>
      <c r="U459" s="88">
        <f>IF(S459&gt;0,IF(RIGHT(Ruimtestaat[[#This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59" s="88">
        <f>IF(U459&gt;0,VLOOKUP($K459,Ruimtegroepen[],3,FALSE)*VLOOKUP($M459,Vloersoorten[],3,FALSE)*VLOOKUP($T459,Frequenties[],3,FALSE)*VLOOKUP($A459,Locaties[],3,FALSE),0)</f>
        <v>0</v>
      </c>
      <c r="W459" s="89">
        <f>Ruimtestaat[[#This Row],[Uitvoeringen werkdagen]]*Ruimtestaat[[#This Row],[Oppervlak (netto)]]</f>
        <v>17000</v>
      </c>
      <c r="X459" s="90">
        <f>IF(V459&gt;0,Ruimtestaat[[#This Row],[Prest. (m2 /jaar) werkdagen]]/Ruimtestaat[[#This Row],[Norm (m2/uur) werkdagen]],0)</f>
        <v>0</v>
      </c>
      <c r="Y459" s="91">
        <f>Ruimtestaat[[#This Row],[uren / jaar werkdagen]]*Tariefsopbouw!$E$35</f>
        <v>0</v>
      </c>
      <c r="Z459" s="88"/>
      <c r="AA459" s="92">
        <f>IF(Ruimtestaat[[#This Row],[Frequentie weekend]]&gt;0,VALUE(LEFT(Z459,1))*S459,0)</f>
        <v>0</v>
      </c>
      <c r="AB459" s="88">
        <f>IF($AA459&gt;0,VLOOKUP($K459,Ruimtegroepen[],3,FALSE)*VLOOKUP($M459,Vloersoorten[],3,FALSE)*VLOOKUP($Z459,Frequenties[],3,FALSE)*VLOOKUP(#REF!,Locaties[],3,FALSE),0)</f>
        <v>0</v>
      </c>
      <c r="AC459" s="90">
        <f>Ruimtestaat[[#This Row],[Uitvoeringen weekend]]*Ruimtestaat[[#This Row],[Oppervlak (netto)]]</f>
        <v>0</v>
      </c>
      <c r="AD459" s="93">
        <f>IF(AC459&gt;0,Ruimtestaat[[#This Row],[Prest. (m2 /jaar) weekend]]/Ruimtestaat[[#This Row],[Norm (m2/uur) weekend]],0)</f>
        <v>0</v>
      </c>
      <c r="AE459" s="94">
        <f>Ruimtestaat[[#This Row],[uren / jaar weekend]]*Tariefsopbouw!$D$40</f>
        <v>0</v>
      </c>
      <c r="AF459" s="66">
        <f>Ruimtestaat[[#This Row],[Prest. (m2 /jaar) weekend]]+Ruimtestaat[[#This Row],[Prest. (m2 /jaar) werkdagen]]</f>
        <v>17000</v>
      </c>
      <c r="AG459" s="66">
        <f>Ruimtestaat[[#This Row],[uren / jaar weekend]]+Ruimtestaat[[#This Row],[uren / jaar werkdagen]]</f>
        <v>0</v>
      </c>
      <c r="AH459" s="67">
        <f>Ruimtestaat[[#This Row],[kosten / jaar weekend]]+Ruimtestaat[[#This Row],[kosten / jaar werkdagen]]</f>
        <v>0</v>
      </c>
    </row>
    <row r="460" spans="1:34" ht="15" customHeight="1">
      <c r="A460" s="112">
        <v>3</v>
      </c>
      <c r="B460" s="23" t="str">
        <f>VLOOKUP(Ruimtestaat[[#This Row],[Code]],Locaties[#All],2,FALSE)</f>
        <v>RSG N.O. Veluwe</v>
      </c>
      <c r="C460" s="23" t="str">
        <f>VLOOKUP(Ruimtestaat[[#This Row],[Code]],Locaties[#All],4,FALSE)</f>
        <v>Schotweg 1</v>
      </c>
      <c r="D460" s="23" t="str">
        <f>VLOOKUP(Ruimtestaat[[#This Row],[Code]],Locaties[#All],5,FALSE)</f>
        <v>8162 GM</v>
      </c>
      <c r="E460" s="23" t="str">
        <f>VLOOKUP(Ruimtestaat[[#This Row],[Code]],Locaties[#All],6,FALSE)</f>
        <v>Epe</v>
      </c>
      <c r="F460" s="23" t="s">
        <v>1111</v>
      </c>
      <c r="G460" s="60"/>
      <c r="H460" s="23" t="s">
        <v>1298</v>
      </c>
      <c r="I460" s="23" t="s">
        <v>1124</v>
      </c>
      <c r="J460" s="3" t="s">
        <v>1203</v>
      </c>
      <c r="K460" s="23">
        <v>23</v>
      </c>
      <c r="L460" s="60" t="str">
        <f>VLOOKUP(K460,Ruimtegroepen[],2,FALSE)</f>
        <v>Niet in onderhoud</v>
      </c>
      <c r="M460" s="23" t="s">
        <v>1300</v>
      </c>
      <c r="N460" s="23" t="s">
        <v>1301</v>
      </c>
      <c r="O460" s="86"/>
      <c r="P460" s="86">
        <v>12</v>
      </c>
      <c r="Q460" s="95" t="str">
        <f>LEFT(VLOOKUP(Ruimtestaat[[#This Row],[Ruimte code]],Ruimtegroepen[#All],4,1),2)</f>
        <v/>
      </c>
      <c r="R460" s="95"/>
      <c r="S460" s="87"/>
      <c r="T460" s="87"/>
      <c r="U460" s="88">
        <f>IF(S460&gt;0,IF(RIGHT(Ruimtestaat[[#This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460" s="88">
        <f>IF(U460&gt;0,VLOOKUP($K460,Ruimtegroepen[],3,FALSE)*VLOOKUP($M460,Vloersoorten[],3,FALSE)*VLOOKUP($T460,Frequenties[],3,FALSE)*VLOOKUP($A460,Locaties[],3,FALSE),0)</f>
        <v>0</v>
      </c>
      <c r="W460" s="89">
        <f>Ruimtestaat[[#This Row],[Uitvoeringen werkdagen]]*Ruimtestaat[[#This Row],[Oppervlak (netto)]]</f>
        <v>0</v>
      </c>
      <c r="X460" s="90">
        <f>IF(V460&gt;0,Ruimtestaat[[#This Row],[Prest. (m2 /jaar) werkdagen]]/Ruimtestaat[[#This Row],[Norm (m2/uur) werkdagen]],0)</f>
        <v>0</v>
      </c>
      <c r="Y460" s="91">
        <f>Ruimtestaat[[#This Row],[uren / jaar werkdagen]]*Tariefsopbouw!$E$35</f>
        <v>0</v>
      </c>
      <c r="Z460" s="88"/>
      <c r="AA460" s="92">
        <f>IF(Ruimtestaat[[#This Row],[Frequentie weekend]]&gt;0,VALUE(LEFT(Z460,1))*S460,0)</f>
        <v>0</v>
      </c>
      <c r="AB460" s="88">
        <f>IF($AA460&gt;0,VLOOKUP($K460,Ruimtegroepen[],3,FALSE)*VLOOKUP($M460,Vloersoorten[],3,FALSE)*VLOOKUP($Z460,Frequenties[],3,FALSE)*VLOOKUP(#REF!,Locaties[],3,FALSE),0)</f>
        <v>0</v>
      </c>
      <c r="AC460" s="90">
        <f>Ruimtestaat[[#This Row],[Uitvoeringen weekend]]*Ruimtestaat[[#This Row],[Oppervlak (netto)]]</f>
        <v>0</v>
      </c>
      <c r="AD460" s="93">
        <f>IF(AC460&gt;0,Ruimtestaat[[#This Row],[Prest. (m2 /jaar) weekend]]/Ruimtestaat[[#This Row],[Norm (m2/uur) weekend]],0)</f>
        <v>0</v>
      </c>
      <c r="AE460" s="94">
        <f>Ruimtestaat[[#This Row],[uren / jaar weekend]]*Tariefsopbouw!$D$40</f>
        <v>0</v>
      </c>
      <c r="AF460" s="66">
        <f>Ruimtestaat[[#This Row],[Prest. (m2 /jaar) weekend]]+Ruimtestaat[[#This Row],[Prest. (m2 /jaar) werkdagen]]</f>
        <v>0</v>
      </c>
      <c r="AG460" s="66">
        <f>Ruimtestaat[[#This Row],[uren / jaar weekend]]+Ruimtestaat[[#This Row],[uren / jaar werkdagen]]</f>
        <v>0</v>
      </c>
      <c r="AH460" s="67">
        <f>Ruimtestaat[[#This Row],[kosten / jaar weekend]]+Ruimtestaat[[#This Row],[kosten / jaar werkdagen]]</f>
        <v>0</v>
      </c>
    </row>
    <row r="461" spans="1:34" ht="15" customHeight="1">
      <c r="A461" s="112">
        <v>3</v>
      </c>
      <c r="B461" s="23" t="str">
        <f>VLOOKUP(Ruimtestaat[[#This Row],[Code]],Locaties[#All],2,FALSE)</f>
        <v>RSG N.O. Veluwe</v>
      </c>
      <c r="C461" s="23" t="str">
        <f>VLOOKUP(Ruimtestaat[[#This Row],[Code]],Locaties[#All],4,FALSE)</f>
        <v>Schotweg 1</v>
      </c>
      <c r="D461" s="23" t="str">
        <f>VLOOKUP(Ruimtestaat[[#This Row],[Code]],Locaties[#All],5,FALSE)</f>
        <v>8162 GM</v>
      </c>
      <c r="E461" s="23" t="str">
        <f>VLOOKUP(Ruimtestaat[[#This Row],[Code]],Locaties[#All],6,FALSE)</f>
        <v>Epe</v>
      </c>
      <c r="F461" s="23" t="s">
        <v>1111</v>
      </c>
      <c r="G461" s="60"/>
      <c r="H461" s="23" t="s">
        <v>1298</v>
      </c>
      <c r="I461" s="23" t="s">
        <v>1126</v>
      </c>
      <c r="J461" s="3" t="s">
        <v>1204</v>
      </c>
      <c r="K461" s="23">
        <v>13</v>
      </c>
      <c r="L461" s="60" t="str">
        <f>VLOOKUP(K461,Ruimtegroepen[],2,FALSE)</f>
        <v>HV/Technieklokaal</v>
      </c>
      <c r="M461" s="23" t="s">
        <v>113</v>
      </c>
      <c r="N461" s="23" t="s">
        <v>1092</v>
      </c>
      <c r="O461" s="86">
        <v>141</v>
      </c>
      <c r="P461" s="86"/>
      <c r="Q461" s="95" t="str">
        <f>LEFT(VLOOKUP(Ruimtestaat[[#This Row],[Ruimte code]],Ruimtegroepen[#All],4,1),2)</f>
        <v xml:space="preserve">L </v>
      </c>
      <c r="R461" s="95"/>
      <c r="S461" s="87">
        <v>40</v>
      </c>
      <c r="T461" s="87" t="s">
        <v>2</v>
      </c>
      <c r="U461" s="88">
        <f>IF(S461&gt;0,IF(RIGHT(Ruimtestaat[[#This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61" s="88">
        <f>IF(U461&gt;0,VLOOKUP($K461,Ruimtegroepen[],3,FALSE)*VLOOKUP($M461,Vloersoorten[],3,FALSE)*VLOOKUP($T461,Frequenties[],3,FALSE)*VLOOKUP($A461,Locaties[],3,FALSE),0)</f>
        <v>0</v>
      </c>
      <c r="W461" s="89">
        <f>Ruimtestaat[[#This Row],[Uitvoeringen werkdagen]]*Ruimtestaat[[#This Row],[Oppervlak (netto)]]</f>
        <v>28200</v>
      </c>
      <c r="X461" s="90">
        <f>IF(V461&gt;0,Ruimtestaat[[#This Row],[Prest. (m2 /jaar) werkdagen]]/Ruimtestaat[[#This Row],[Norm (m2/uur) werkdagen]],0)</f>
        <v>0</v>
      </c>
      <c r="Y461" s="91">
        <f>Ruimtestaat[[#This Row],[uren / jaar werkdagen]]*Tariefsopbouw!$E$35</f>
        <v>0</v>
      </c>
      <c r="Z461" s="88"/>
      <c r="AA461" s="92">
        <f>IF(Ruimtestaat[[#This Row],[Frequentie weekend]]&gt;0,VALUE(LEFT(Z461,1))*S461,0)</f>
        <v>0</v>
      </c>
      <c r="AB461" s="88">
        <f>IF($AA461&gt;0,VLOOKUP($K461,Ruimtegroepen[],3,FALSE)*VLOOKUP($M461,Vloersoorten[],3,FALSE)*VLOOKUP($Z461,Frequenties[],3,FALSE)*VLOOKUP(#REF!,Locaties[],3,FALSE),0)</f>
        <v>0</v>
      </c>
      <c r="AC461" s="90">
        <f>Ruimtestaat[[#This Row],[Uitvoeringen weekend]]*Ruimtestaat[[#This Row],[Oppervlak (netto)]]</f>
        <v>0</v>
      </c>
      <c r="AD461" s="93">
        <f>IF(AC461&gt;0,Ruimtestaat[[#This Row],[Prest. (m2 /jaar) weekend]]/Ruimtestaat[[#This Row],[Norm (m2/uur) weekend]],0)</f>
        <v>0</v>
      </c>
      <c r="AE461" s="94">
        <f>Ruimtestaat[[#This Row],[uren / jaar weekend]]*Tariefsopbouw!$D$40</f>
        <v>0</v>
      </c>
      <c r="AF461" s="66">
        <f>Ruimtestaat[[#This Row],[Prest. (m2 /jaar) weekend]]+Ruimtestaat[[#This Row],[Prest. (m2 /jaar) werkdagen]]</f>
        <v>28200</v>
      </c>
      <c r="AG461" s="66">
        <f>Ruimtestaat[[#This Row],[uren / jaar weekend]]+Ruimtestaat[[#This Row],[uren / jaar werkdagen]]</f>
        <v>0</v>
      </c>
      <c r="AH461" s="67">
        <f>Ruimtestaat[[#This Row],[kosten / jaar weekend]]+Ruimtestaat[[#This Row],[kosten / jaar werkdagen]]</f>
        <v>0</v>
      </c>
    </row>
    <row r="462" spans="1:34" ht="15" customHeight="1">
      <c r="A462" s="112">
        <v>3</v>
      </c>
      <c r="B462" s="23" t="str">
        <f>VLOOKUP(Ruimtestaat[[#This Row],[Code]],Locaties[#All],2,FALSE)</f>
        <v>RSG N.O. Veluwe</v>
      </c>
      <c r="C462" s="23" t="str">
        <f>VLOOKUP(Ruimtestaat[[#This Row],[Code]],Locaties[#All],4,FALSE)</f>
        <v>Schotweg 1</v>
      </c>
      <c r="D462" s="23" t="str">
        <f>VLOOKUP(Ruimtestaat[[#This Row],[Code]],Locaties[#All],5,FALSE)</f>
        <v>8162 GM</v>
      </c>
      <c r="E462" s="23" t="str">
        <f>VLOOKUP(Ruimtestaat[[#This Row],[Code]],Locaties[#All],6,FALSE)</f>
        <v>Epe</v>
      </c>
      <c r="F462" s="23" t="s">
        <v>1111</v>
      </c>
      <c r="G462" s="60"/>
      <c r="H462" s="23" t="s">
        <v>1298</v>
      </c>
      <c r="I462" s="23" t="s">
        <v>1128</v>
      </c>
      <c r="J462" s="3" t="s">
        <v>1205</v>
      </c>
      <c r="K462" s="23">
        <v>16</v>
      </c>
      <c r="L462" s="60" t="str">
        <f>VLOOKUP(K462,Ruimtegroepen[],2,FALSE)</f>
        <v>Leslokalen theorie</v>
      </c>
      <c r="M462" s="23" t="s">
        <v>114</v>
      </c>
      <c r="N462" s="23" t="s">
        <v>1308</v>
      </c>
      <c r="O462" s="86">
        <v>38</v>
      </c>
      <c r="P462" s="86"/>
      <c r="Q462" s="95" t="str">
        <f>LEFT(VLOOKUP(Ruimtestaat[[#This Row],[Ruimte code]],Ruimtegroepen[#All],4,1),2)</f>
        <v xml:space="preserve">L </v>
      </c>
      <c r="R462" s="95"/>
      <c r="S462" s="87">
        <v>40</v>
      </c>
      <c r="T462" s="87" t="s">
        <v>2</v>
      </c>
      <c r="U462" s="88">
        <f>IF(S462&gt;0,IF(RIGHT(Ruimtestaat[[#This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62" s="88">
        <f>IF(U462&gt;0,VLOOKUP($K462,Ruimtegroepen[],3,FALSE)*VLOOKUP($M462,Vloersoorten[],3,FALSE)*VLOOKUP($T462,Frequenties[],3,FALSE)*VLOOKUP($A462,Locaties[],3,FALSE),0)</f>
        <v>0</v>
      </c>
      <c r="W462" s="89">
        <f>Ruimtestaat[[#This Row],[Uitvoeringen werkdagen]]*Ruimtestaat[[#This Row],[Oppervlak (netto)]]</f>
        <v>7600</v>
      </c>
      <c r="X462" s="90">
        <f>IF(V462&gt;0,Ruimtestaat[[#This Row],[Prest. (m2 /jaar) werkdagen]]/Ruimtestaat[[#This Row],[Norm (m2/uur) werkdagen]],0)</f>
        <v>0</v>
      </c>
      <c r="Y462" s="91">
        <f>Ruimtestaat[[#This Row],[uren / jaar werkdagen]]*Tariefsopbouw!$E$35</f>
        <v>0</v>
      </c>
      <c r="Z462" s="88"/>
      <c r="AA462" s="92">
        <f>IF(Ruimtestaat[[#This Row],[Frequentie weekend]]&gt;0,VALUE(LEFT(Z462,1))*S462,0)</f>
        <v>0</v>
      </c>
      <c r="AB462" s="88">
        <f>IF($AA462&gt;0,VLOOKUP($K462,Ruimtegroepen[],3,FALSE)*VLOOKUP($M462,Vloersoorten[],3,FALSE)*VLOOKUP($Z462,Frequenties[],3,FALSE)*VLOOKUP(#REF!,Locaties[],3,FALSE),0)</f>
        <v>0</v>
      </c>
      <c r="AC462" s="90">
        <f>Ruimtestaat[[#This Row],[Uitvoeringen weekend]]*Ruimtestaat[[#This Row],[Oppervlak (netto)]]</f>
        <v>0</v>
      </c>
      <c r="AD462" s="93">
        <f>IF(AC462&gt;0,Ruimtestaat[[#This Row],[Prest. (m2 /jaar) weekend]]/Ruimtestaat[[#This Row],[Norm (m2/uur) weekend]],0)</f>
        <v>0</v>
      </c>
      <c r="AE462" s="94">
        <f>Ruimtestaat[[#This Row],[uren / jaar weekend]]*Tariefsopbouw!$D$40</f>
        <v>0</v>
      </c>
      <c r="AF462" s="66">
        <f>Ruimtestaat[[#This Row],[Prest. (m2 /jaar) weekend]]+Ruimtestaat[[#This Row],[Prest. (m2 /jaar) werkdagen]]</f>
        <v>7600</v>
      </c>
      <c r="AG462" s="66">
        <f>Ruimtestaat[[#This Row],[uren / jaar weekend]]+Ruimtestaat[[#This Row],[uren / jaar werkdagen]]</f>
        <v>0</v>
      </c>
      <c r="AH462" s="67">
        <f>Ruimtestaat[[#This Row],[kosten / jaar weekend]]+Ruimtestaat[[#This Row],[kosten / jaar werkdagen]]</f>
        <v>0</v>
      </c>
    </row>
    <row r="463" spans="1:34" ht="15" customHeight="1">
      <c r="A463" s="112">
        <v>3</v>
      </c>
      <c r="B463" s="23" t="str">
        <f>VLOOKUP(Ruimtestaat[[#This Row],[Code]],Locaties[#All],2,FALSE)</f>
        <v>RSG N.O. Veluwe</v>
      </c>
      <c r="C463" s="23" t="str">
        <f>VLOOKUP(Ruimtestaat[[#This Row],[Code]],Locaties[#All],4,FALSE)</f>
        <v>Schotweg 1</v>
      </c>
      <c r="D463" s="23" t="str">
        <f>VLOOKUP(Ruimtestaat[[#This Row],[Code]],Locaties[#All],5,FALSE)</f>
        <v>8162 GM</v>
      </c>
      <c r="E463" s="23" t="str">
        <f>VLOOKUP(Ruimtestaat[[#This Row],[Code]],Locaties[#All],6,FALSE)</f>
        <v>Epe</v>
      </c>
      <c r="F463" s="23" t="s">
        <v>1111</v>
      </c>
      <c r="G463" s="60"/>
      <c r="H463" s="23" t="s">
        <v>1298</v>
      </c>
      <c r="I463" s="23" t="s">
        <v>1130</v>
      </c>
      <c r="J463" s="3" t="s">
        <v>1119</v>
      </c>
      <c r="K463" s="23">
        <v>2</v>
      </c>
      <c r="L463" s="60" t="str">
        <f>VLOOKUP(K463,Ruimtegroepen[],2,FALSE)</f>
        <v>Kantoren</v>
      </c>
      <c r="M463" s="23" t="s">
        <v>113</v>
      </c>
      <c r="N463" s="23" t="s">
        <v>1092</v>
      </c>
      <c r="O463" s="86">
        <v>6</v>
      </c>
      <c r="P463" s="86"/>
      <c r="Q463" s="95" t="str">
        <f>LEFT(VLOOKUP(Ruimtestaat[[#This Row],[Ruimte code]],Ruimtegroepen[#All],4,1),2)</f>
        <v xml:space="preserve">B </v>
      </c>
      <c r="R463" s="95"/>
      <c r="S463" s="87">
        <v>42</v>
      </c>
      <c r="T463" s="87" t="s">
        <v>2</v>
      </c>
      <c r="U463" s="88">
        <f>IF(S463&gt;0,IF(RIGHT(Ruimtestaat[[#This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63" s="88">
        <f>IF(U463&gt;0,VLOOKUP($K463,Ruimtegroepen[],3,FALSE)*VLOOKUP($M463,Vloersoorten[],3,FALSE)*VLOOKUP($T463,Frequenties[],3,FALSE)*VLOOKUP($A463,Locaties[],3,FALSE),0)</f>
        <v>0</v>
      </c>
      <c r="W463" s="89">
        <f>Ruimtestaat[[#This Row],[Uitvoeringen werkdagen]]*Ruimtestaat[[#This Row],[Oppervlak (netto)]]</f>
        <v>1260</v>
      </c>
      <c r="X463" s="90">
        <f>IF(V463&gt;0,Ruimtestaat[[#This Row],[Prest. (m2 /jaar) werkdagen]]/Ruimtestaat[[#This Row],[Norm (m2/uur) werkdagen]],0)</f>
        <v>0</v>
      </c>
      <c r="Y463" s="91">
        <f>Ruimtestaat[[#This Row],[uren / jaar werkdagen]]*Tariefsopbouw!$E$35</f>
        <v>0</v>
      </c>
      <c r="Z463" s="88"/>
      <c r="AA463" s="92">
        <f>IF(Ruimtestaat[[#This Row],[Frequentie weekend]]&gt;0,VALUE(LEFT(Z463,1))*S463,0)</f>
        <v>0</v>
      </c>
      <c r="AB463" s="88">
        <f>IF($AA463&gt;0,VLOOKUP($K463,Ruimtegroepen[],3,FALSE)*VLOOKUP($M463,Vloersoorten[],3,FALSE)*VLOOKUP($Z463,Frequenties[],3,FALSE)*VLOOKUP(#REF!,Locaties[],3,FALSE),0)</f>
        <v>0</v>
      </c>
      <c r="AC463" s="90">
        <f>Ruimtestaat[[#This Row],[Uitvoeringen weekend]]*Ruimtestaat[[#This Row],[Oppervlak (netto)]]</f>
        <v>0</v>
      </c>
      <c r="AD463" s="93">
        <f>IF(AC463&gt;0,Ruimtestaat[[#This Row],[Prest. (m2 /jaar) weekend]]/Ruimtestaat[[#This Row],[Norm (m2/uur) weekend]],0)</f>
        <v>0</v>
      </c>
      <c r="AE463" s="94">
        <f>Ruimtestaat[[#This Row],[uren / jaar weekend]]*Tariefsopbouw!$D$40</f>
        <v>0</v>
      </c>
      <c r="AF463" s="66">
        <f>Ruimtestaat[[#This Row],[Prest. (m2 /jaar) weekend]]+Ruimtestaat[[#This Row],[Prest. (m2 /jaar) werkdagen]]</f>
        <v>1260</v>
      </c>
      <c r="AG463" s="66">
        <f>Ruimtestaat[[#This Row],[uren / jaar weekend]]+Ruimtestaat[[#This Row],[uren / jaar werkdagen]]</f>
        <v>0</v>
      </c>
      <c r="AH463" s="67">
        <f>Ruimtestaat[[#This Row],[kosten / jaar weekend]]+Ruimtestaat[[#This Row],[kosten / jaar werkdagen]]</f>
        <v>0</v>
      </c>
    </row>
    <row r="464" spans="1:34" ht="15" customHeight="1">
      <c r="A464" s="112">
        <v>3</v>
      </c>
      <c r="B464" s="23" t="str">
        <f>VLOOKUP(Ruimtestaat[[#This Row],[Code]],Locaties[#All],2,FALSE)</f>
        <v>RSG N.O. Veluwe</v>
      </c>
      <c r="C464" s="23" t="str">
        <f>VLOOKUP(Ruimtestaat[[#This Row],[Code]],Locaties[#All],4,FALSE)</f>
        <v>Schotweg 1</v>
      </c>
      <c r="D464" s="23" t="str">
        <f>VLOOKUP(Ruimtestaat[[#This Row],[Code]],Locaties[#All],5,FALSE)</f>
        <v>8162 GM</v>
      </c>
      <c r="E464" s="23" t="str">
        <f>VLOOKUP(Ruimtestaat[[#This Row],[Code]],Locaties[#All],6,FALSE)</f>
        <v>Epe</v>
      </c>
      <c r="F464" s="23" t="s">
        <v>1111</v>
      </c>
      <c r="G464" s="60"/>
      <c r="H464" s="23" t="s">
        <v>1298</v>
      </c>
      <c r="I464" s="23" t="s">
        <v>1132</v>
      </c>
      <c r="J464" s="3" t="s">
        <v>1017</v>
      </c>
      <c r="K464" s="23">
        <v>23</v>
      </c>
      <c r="L464" s="60" t="str">
        <f>VLOOKUP(K464,Ruimtegroepen[],2,FALSE)</f>
        <v>Niet in onderhoud</v>
      </c>
      <c r="M464" s="23" t="s">
        <v>113</v>
      </c>
      <c r="N464" s="23" t="s">
        <v>1092</v>
      </c>
      <c r="O464" s="86"/>
      <c r="P464" s="86">
        <v>24</v>
      </c>
      <c r="Q464" s="95" t="str">
        <f>LEFT(VLOOKUP(Ruimtestaat[[#This Row],[Ruimte code]],Ruimtegroepen[#All],4,1),2)</f>
        <v/>
      </c>
      <c r="R464" s="95"/>
      <c r="S464" s="87"/>
      <c r="T464" s="87"/>
      <c r="U464" s="88">
        <f>IF(S464&gt;0,IF(RIGHT(Ruimtestaat[[#This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464" s="88">
        <f>IF(U464&gt;0,VLOOKUP($K464,Ruimtegroepen[],3,FALSE)*VLOOKUP($M464,Vloersoorten[],3,FALSE)*VLOOKUP($T464,Frequenties[],3,FALSE)*VLOOKUP($A464,Locaties[],3,FALSE),0)</f>
        <v>0</v>
      </c>
      <c r="W464" s="89">
        <f>Ruimtestaat[[#This Row],[Uitvoeringen werkdagen]]*Ruimtestaat[[#This Row],[Oppervlak (netto)]]</f>
        <v>0</v>
      </c>
      <c r="X464" s="90">
        <f>IF(V464&gt;0,Ruimtestaat[[#This Row],[Prest. (m2 /jaar) werkdagen]]/Ruimtestaat[[#This Row],[Norm (m2/uur) werkdagen]],0)</f>
        <v>0</v>
      </c>
      <c r="Y464" s="91">
        <f>Ruimtestaat[[#This Row],[uren / jaar werkdagen]]*Tariefsopbouw!$E$35</f>
        <v>0</v>
      </c>
      <c r="Z464" s="88"/>
      <c r="AA464" s="92">
        <f>IF(Ruimtestaat[[#This Row],[Frequentie weekend]]&gt;0,VALUE(LEFT(Z464,1))*S464,0)</f>
        <v>0</v>
      </c>
      <c r="AB464" s="88">
        <f>IF($AA464&gt;0,VLOOKUP($K464,Ruimtegroepen[],3,FALSE)*VLOOKUP($M464,Vloersoorten[],3,FALSE)*VLOOKUP($Z464,Frequenties[],3,FALSE)*VLOOKUP(#REF!,Locaties[],3,FALSE),0)</f>
        <v>0</v>
      </c>
      <c r="AC464" s="90">
        <f>Ruimtestaat[[#This Row],[Uitvoeringen weekend]]*Ruimtestaat[[#This Row],[Oppervlak (netto)]]</f>
        <v>0</v>
      </c>
      <c r="AD464" s="93">
        <f>IF(AC464&gt;0,Ruimtestaat[[#This Row],[Prest. (m2 /jaar) weekend]]/Ruimtestaat[[#This Row],[Norm (m2/uur) weekend]],0)</f>
        <v>0</v>
      </c>
      <c r="AE464" s="94">
        <f>Ruimtestaat[[#This Row],[uren / jaar weekend]]*Tariefsopbouw!$D$40</f>
        <v>0</v>
      </c>
      <c r="AF464" s="66">
        <f>Ruimtestaat[[#This Row],[Prest. (m2 /jaar) weekend]]+Ruimtestaat[[#This Row],[Prest. (m2 /jaar) werkdagen]]</f>
        <v>0</v>
      </c>
      <c r="AG464" s="66">
        <f>Ruimtestaat[[#This Row],[uren / jaar weekend]]+Ruimtestaat[[#This Row],[uren / jaar werkdagen]]</f>
        <v>0</v>
      </c>
      <c r="AH464" s="67">
        <f>Ruimtestaat[[#This Row],[kosten / jaar weekend]]+Ruimtestaat[[#This Row],[kosten / jaar werkdagen]]</f>
        <v>0</v>
      </c>
    </row>
    <row r="465" spans="1:34" ht="15" customHeight="1">
      <c r="A465" s="112">
        <v>3</v>
      </c>
      <c r="B465" s="23" t="str">
        <f>VLOOKUP(Ruimtestaat[[#This Row],[Code]],Locaties[#All],2,FALSE)</f>
        <v>RSG N.O. Veluwe</v>
      </c>
      <c r="C465" s="23" t="str">
        <f>VLOOKUP(Ruimtestaat[[#This Row],[Code]],Locaties[#All],4,FALSE)</f>
        <v>Schotweg 1</v>
      </c>
      <c r="D465" s="23" t="str">
        <f>VLOOKUP(Ruimtestaat[[#This Row],[Code]],Locaties[#All],5,FALSE)</f>
        <v>8162 GM</v>
      </c>
      <c r="E465" s="23" t="str">
        <f>VLOOKUP(Ruimtestaat[[#This Row],[Code]],Locaties[#All],6,FALSE)</f>
        <v>Epe</v>
      </c>
      <c r="F465" s="23" t="s">
        <v>1111</v>
      </c>
      <c r="G465" s="60"/>
      <c r="H465" s="23" t="s">
        <v>1298</v>
      </c>
      <c r="I465" s="23" t="s">
        <v>1134</v>
      </c>
      <c r="J465" s="3" t="s">
        <v>1206</v>
      </c>
      <c r="K465" s="23">
        <v>23</v>
      </c>
      <c r="L465" s="60" t="str">
        <f>VLOOKUP(K465,Ruimtegroepen[],2,FALSE)</f>
        <v>Niet in onderhoud</v>
      </c>
      <c r="M465" s="23" t="s">
        <v>113</v>
      </c>
      <c r="N465" s="23" t="s">
        <v>1092</v>
      </c>
      <c r="O465" s="86"/>
      <c r="P465" s="86">
        <v>6</v>
      </c>
      <c r="Q465" s="95" t="str">
        <f>LEFT(VLOOKUP(Ruimtestaat[[#This Row],[Ruimte code]],Ruimtegroepen[#All],4,1),2)</f>
        <v/>
      </c>
      <c r="R465" s="95"/>
      <c r="S465" s="87"/>
      <c r="T465" s="87"/>
      <c r="U465" s="88">
        <f>IF(S465&gt;0,IF(RIGHT(Ruimtestaat[[#This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465" s="88">
        <f>IF(U465&gt;0,VLOOKUP($K465,Ruimtegroepen[],3,FALSE)*VLOOKUP($M465,Vloersoorten[],3,FALSE)*VLOOKUP($T465,Frequenties[],3,FALSE)*VLOOKUP($A465,Locaties[],3,FALSE),0)</f>
        <v>0</v>
      </c>
      <c r="W465" s="89">
        <f>Ruimtestaat[[#This Row],[Uitvoeringen werkdagen]]*Ruimtestaat[[#This Row],[Oppervlak (netto)]]</f>
        <v>0</v>
      </c>
      <c r="X465" s="90">
        <f>IF(V465&gt;0,Ruimtestaat[[#This Row],[Prest. (m2 /jaar) werkdagen]]/Ruimtestaat[[#This Row],[Norm (m2/uur) werkdagen]],0)</f>
        <v>0</v>
      </c>
      <c r="Y465" s="91">
        <f>Ruimtestaat[[#This Row],[uren / jaar werkdagen]]*Tariefsopbouw!$E$35</f>
        <v>0</v>
      </c>
      <c r="Z465" s="88"/>
      <c r="AA465" s="92">
        <f>IF(Ruimtestaat[[#This Row],[Frequentie weekend]]&gt;0,VALUE(LEFT(Z465,1))*S465,0)</f>
        <v>0</v>
      </c>
      <c r="AB465" s="88">
        <f>IF($AA465&gt;0,VLOOKUP($K465,Ruimtegroepen[],3,FALSE)*VLOOKUP($M465,Vloersoorten[],3,FALSE)*VLOOKUP($Z465,Frequenties[],3,FALSE)*VLOOKUP(#REF!,Locaties[],3,FALSE),0)</f>
        <v>0</v>
      </c>
      <c r="AC465" s="90">
        <f>Ruimtestaat[[#This Row],[Uitvoeringen weekend]]*Ruimtestaat[[#This Row],[Oppervlak (netto)]]</f>
        <v>0</v>
      </c>
      <c r="AD465" s="93">
        <f>IF(AC465&gt;0,Ruimtestaat[[#This Row],[Prest. (m2 /jaar) weekend]]/Ruimtestaat[[#This Row],[Norm (m2/uur) weekend]],0)</f>
        <v>0</v>
      </c>
      <c r="AE465" s="94">
        <f>Ruimtestaat[[#This Row],[uren / jaar weekend]]*Tariefsopbouw!$D$40</f>
        <v>0</v>
      </c>
      <c r="AF465" s="66">
        <f>Ruimtestaat[[#This Row],[Prest. (m2 /jaar) weekend]]+Ruimtestaat[[#This Row],[Prest. (m2 /jaar) werkdagen]]</f>
        <v>0</v>
      </c>
      <c r="AG465" s="66">
        <f>Ruimtestaat[[#This Row],[uren / jaar weekend]]+Ruimtestaat[[#This Row],[uren / jaar werkdagen]]</f>
        <v>0</v>
      </c>
      <c r="AH465" s="67">
        <f>Ruimtestaat[[#This Row],[kosten / jaar weekend]]+Ruimtestaat[[#This Row],[kosten / jaar werkdagen]]</f>
        <v>0</v>
      </c>
    </row>
    <row r="466" spans="1:34" ht="15" customHeight="1">
      <c r="A466" s="112">
        <v>3</v>
      </c>
      <c r="B466" s="23" t="str">
        <f>VLOOKUP(Ruimtestaat[[#This Row],[Code]],Locaties[#All],2,FALSE)</f>
        <v>RSG N.O. Veluwe</v>
      </c>
      <c r="C466" s="23" t="str">
        <f>VLOOKUP(Ruimtestaat[[#This Row],[Code]],Locaties[#All],4,FALSE)</f>
        <v>Schotweg 1</v>
      </c>
      <c r="D466" s="23" t="str">
        <f>VLOOKUP(Ruimtestaat[[#This Row],[Code]],Locaties[#All],5,FALSE)</f>
        <v>8162 GM</v>
      </c>
      <c r="E466" s="23" t="str">
        <f>VLOOKUP(Ruimtestaat[[#This Row],[Code]],Locaties[#All],6,FALSE)</f>
        <v>Epe</v>
      </c>
      <c r="F466" s="23" t="s">
        <v>1111</v>
      </c>
      <c r="G466" s="60"/>
      <c r="H466" s="23" t="s">
        <v>1298</v>
      </c>
      <c r="I466" s="23" t="s">
        <v>1135</v>
      </c>
      <c r="J466" s="3" t="s">
        <v>1207</v>
      </c>
      <c r="K466" s="23">
        <v>13</v>
      </c>
      <c r="L466" s="60" t="str">
        <f>VLOOKUP(K466,Ruimtegroepen[],2,FALSE)</f>
        <v>HV/Technieklokaal</v>
      </c>
      <c r="M466" s="23" t="s">
        <v>113</v>
      </c>
      <c r="N466" s="23" t="s">
        <v>1307</v>
      </c>
      <c r="O466" s="86">
        <v>130</v>
      </c>
      <c r="P466" s="86"/>
      <c r="Q466" s="95" t="str">
        <f>LEFT(VLOOKUP(Ruimtestaat[[#This Row],[Ruimte code]],Ruimtegroepen[#All],4,1),2)</f>
        <v xml:space="preserve">L </v>
      </c>
      <c r="R466" s="95"/>
      <c r="S466" s="87">
        <v>40</v>
      </c>
      <c r="T466" s="87" t="s">
        <v>2</v>
      </c>
      <c r="U466" s="88">
        <f>IF(S466&gt;0,IF(RIGHT(Ruimtestaat[[#This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66" s="88">
        <f>IF(U466&gt;0,VLOOKUP($K466,Ruimtegroepen[],3,FALSE)*VLOOKUP($M466,Vloersoorten[],3,FALSE)*VLOOKUP($T466,Frequenties[],3,FALSE)*VLOOKUP($A466,Locaties[],3,FALSE),0)</f>
        <v>0</v>
      </c>
      <c r="W466" s="89">
        <f>Ruimtestaat[[#This Row],[Uitvoeringen werkdagen]]*Ruimtestaat[[#This Row],[Oppervlak (netto)]]</f>
        <v>26000</v>
      </c>
      <c r="X466" s="90">
        <f>IF(V466&gt;0,Ruimtestaat[[#This Row],[Prest. (m2 /jaar) werkdagen]]/Ruimtestaat[[#This Row],[Norm (m2/uur) werkdagen]],0)</f>
        <v>0</v>
      </c>
      <c r="Y466" s="91">
        <f>Ruimtestaat[[#This Row],[uren / jaar werkdagen]]*Tariefsopbouw!$E$35</f>
        <v>0</v>
      </c>
      <c r="Z466" s="88"/>
      <c r="AA466" s="92">
        <f>IF(Ruimtestaat[[#This Row],[Frequentie weekend]]&gt;0,VALUE(LEFT(Z466,1))*S466,0)</f>
        <v>0</v>
      </c>
      <c r="AB466" s="88">
        <f>IF($AA466&gt;0,VLOOKUP($K466,Ruimtegroepen[],3,FALSE)*VLOOKUP($M466,Vloersoorten[],3,FALSE)*VLOOKUP($Z466,Frequenties[],3,FALSE)*VLOOKUP(#REF!,Locaties[],3,FALSE),0)</f>
        <v>0</v>
      </c>
      <c r="AC466" s="90">
        <f>Ruimtestaat[[#This Row],[Uitvoeringen weekend]]*Ruimtestaat[[#This Row],[Oppervlak (netto)]]</f>
        <v>0</v>
      </c>
      <c r="AD466" s="93">
        <f>IF(AC466&gt;0,Ruimtestaat[[#This Row],[Prest. (m2 /jaar) weekend]]/Ruimtestaat[[#This Row],[Norm (m2/uur) weekend]],0)</f>
        <v>0</v>
      </c>
      <c r="AE466" s="94">
        <f>Ruimtestaat[[#This Row],[uren / jaar weekend]]*Tariefsopbouw!$D$40</f>
        <v>0</v>
      </c>
      <c r="AF466" s="66">
        <f>Ruimtestaat[[#This Row],[Prest. (m2 /jaar) weekend]]+Ruimtestaat[[#This Row],[Prest. (m2 /jaar) werkdagen]]</f>
        <v>26000</v>
      </c>
      <c r="AG466" s="66">
        <f>Ruimtestaat[[#This Row],[uren / jaar weekend]]+Ruimtestaat[[#This Row],[uren / jaar werkdagen]]</f>
        <v>0</v>
      </c>
      <c r="AH466" s="67">
        <f>Ruimtestaat[[#This Row],[kosten / jaar weekend]]+Ruimtestaat[[#This Row],[kosten / jaar werkdagen]]</f>
        <v>0</v>
      </c>
    </row>
    <row r="467" spans="1:34" ht="15" customHeight="1">
      <c r="A467" s="112">
        <v>3</v>
      </c>
      <c r="B467" s="23" t="str">
        <f>VLOOKUP(Ruimtestaat[[#This Row],[Code]],Locaties[#All],2,FALSE)</f>
        <v>RSG N.O. Veluwe</v>
      </c>
      <c r="C467" s="23" t="str">
        <f>VLOOKUP(Ruimtestaat[[#This Row],[Code]],Locaties[#All],4,FALSE)</f>
        <v>Schotweg 1</v>
      </c>
      <c r="D467" s="23" t="str">
        <f>VLOOKUP(Ruimtestaat[[#This Row],[Code]],Locaties[#All],5,FALSE)</f>
        <v>8162 GM</v>
      </c>
      <c r="E467" s="23" t="str">
        <f>VLOOKUP(Ruimtestaat[[#This Row],[Code]],Locaties[#All],6,FALSE)</f>
        <v>Epe</v>
      </c>
      <c r="F467" s="23" t="s">
        <v>1111</v>
      </c>
      <c r="G467" s="60"/>
      <c r="H467" s="23" t="s">
        <v>1298</v>
      </c>
      <c r="I467" s="23" t="s">
        <v>1137</v>
      </c>
      <c r="J467" s="3" t="s">
        <v>1208</v>
      </c>
      <c r="K467" s="23">
        <v>23</v>
      </c>
      <c r="L467" s="60" t="str">
        <f>VLOOKUP(K467,Ruimtegroepen[],2,FALSE)</f>
        <v>Niet in onderhoud</v>
      </c>
      <c r="M467" s="23" t="s">
        <v>113</v>
      </c>
      <c r="N467" s="23" t="s">
        <v>1307</v>
      </c>
      <c r="O467" s="86"/>
      <c r="P467" s="86">
        <v>6</v>
      </c>
      <c r="Q467" s="95" t="str">
        <f>LEFT(VLOOKUP(Ruimtestaat[[#This Row],[Ruimte code]],Ruimtegroepen[#All],4,1),2)</f>
        <v/>
      </c>
      <c r="R467" s="95"/>
      <c r="S467" s="87"/>
      <c r="T467" s="87"/>
      <c r="U467" s="88">
        <f>IF(S467&gt;0,IF(RIGHT(Ruimtestaat[[#This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467" s="88">
        <f>IF(U467&gt;0,VLOOKUP($K467,Ruimtegroepen[],3,FALSE)*VLOOKUP($M467,Vloersoorten[],3,FALSE)*VLOOKUP($T467,Frequenties[],3,FALSE)*VLOOKUP($A467,Locaties[],3,FALSE),0)</f>
        <v>0</v>
      </c>
      <c r="W467" s="89">
        <f>Ruimtestaat[[#This Row],[Uitvoeringen werkdagen]]*Ruimtestaat[[#This Row],[Oppervlak (netto)]]</f>
        <v>0</v>
      </c>
      <c r="X467" s="90">
        <f>IF(V467&gt;0,Ruimtestaat[[#This Row],[Prest. (m2 /jaar) werkdagen]]/Ruimtestaat[[#This Row],[Norm (m2/uur) werkdagen]],0)</f>
        <v>0</v>
      </c>
      <c r="Y467" s="91">
        <f>Ruimtestaat[[#This Row],[uren / jaar werkdagen]]*Tariefsopbouw!$E$35</f>
        <v>0</v>
      </c>
      <c r="Z467" s="88"/>
      <c r="AA467" s="92">
        <f>IF(Ruimtestaat[[#This Row],[Frequentie weekend]]&gt;0,VALUE(LEFT(Z467,1))*S467,0)</f>
        <v>0</v>
      </c>
      <c r="AB467" s="88">
        <f>IF($AA467&gt;0,VLOOKUP($K467,Ruimtegroepen[],3,FALSE)*VLOOKUP($M467,Vloersoorten[],3,FALSE)*VLOOKUP($Z467,Frequenties[],3,FALSE)*VLOOKUP(#REF!,Locaties[],3,FALSE),0)</f>
        <v>0</v>
      </c>
      <c r="AC467" s="90">
        <f>Ruimtestaat[[#This Row],[Uitvoeringen weekend]]*Ruimtestaat[[#This Row],[Oppervlak (netto)]]</f>
        <v>0</v>
      </c>
      <c r="AD467" s="93">
        <f>IF(AC467&gt;0,Ruimtestaat[[#This Row],[Prest. (m2 /jaar) weekend]]/Ruimtestaat[[#This Row],[Norm (m2/uur) weekend]],0)</f>
        <v>0</v>
      </c>
      <c r="AE467" s="94">
        <f>Ruimtestaat[[#This Row],[uren / jaar weekend]]*Tariefsopbouw!$D$40</f>
        <v>0</v>
      </c>
      <c r="AF467" s="66">
        <f>Ruimtestaat[[#This Row],[Prest. (m2 /jaar) weekend]]+Ruimtestaat[[#This Row],[Prest. (m2 /jaar) werkdagen]]</f>
        <v>0</v>
      </c>
      <c r="AG467" s="66">
        <f>Ruimtestaat[[#This Row],[uren / jaar weekend]]+Ruimtestaat[[#This Row],[uren / jaar werkdagen]]</f>
        <v>0</v>
      </c>
      <c r="AH467" s="67">
        <f>Ruimtestaat[[#This Row],[kosten / jaar weekend]]+Ruimtestaat[[#This Row],[kosten / jaar werkdagen]]</f>
        <v>0</v>
      </c>
    </row>
    <row r="468" spans="1:34" ht="15" customHeight="1">
      <c r="A468" s="112">
        <v>3</v>
      </c>
      <c r="B468" s="23" t="str">
        <f>VLOOKUP(Ruimtestaat[[#This Row],[Code]],Locaties[#All],2,FALSE)</f>
        <v>RSG N.O. Veluwe</v>
      </c>
      <c r="C468" s="23" t="str">
        <f>VLOOKUP(Ruimtestaat[[#This Row],[Code]],Locaties[#All],4,FALSE)</f>
        <v>Schotweg 1</v>
      </c>
      <c r="D468" s="23" t="str">
        <f>VLOOKUP(Ruimtestaat[[#This Row],[Code]],Locaties[#All],5,FALSE)</f>
        <v>8162 GM</v>
      </c>
      <c r="E468" s="23" t="str">
        <f>VLOOKUP(Ruimtestaat[[#This Row],[Code]],Locaties[#All],6,FALSE)</f>
        <v>Epe</v>
      </c>
      <c r="F468" s="23" t="s">
        <v>1111</v>
      </c>
      <c r="G468" s="60"/>
      <c r="H468" s="23" t="s">
        <v>1298</v>
      </c>
      <c r="I468" s="23" t="s">
        <v>1139</v>
      </c>
      <c r="J468" s="3" t="s">
        <v>1182</v>
      </c>
      <c r="K468" s="23">
        <v>10</v>
      </c>
      <c r="L468" s="60" t="str">
        <f>VLOOKUP(K468,Ruimtegroepen[],2,FALSE)</f>
        <v>Trappenhuizen/lift</v>
      </c>
      <c r="M468" s="23" t="s">
        <v>113</v>
      </c>
      <c r="N468" s="23" t="s">
        <v>1092</v>
      </c>
      <c r="O468" s="86">
        <v>16</v>
      </c>
      <c r="P468" s="86"/>
      <c r="Q468" s="95" t="str">
        <f>LEFT(VLOOKUP(Ruimtestaat[[#This Row],[Ruimte code]],Ruimtegroepen[#All],4,1),2)</f>
        <v xml:space="preserve">V </v>
      </c>
      <c r="R468" s="95"/>
      <c r="S468" s="87">
        <v>42</v>
      </c>
      <c r="T468" s="87" t="s">
        <v>2</v>
      </c>
      <c r="U468" s="88">
        <f>IF(S468&gt;0,IF(RIGHT(Ruimtestaat[[#This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68" s="88">
        <f>IF(U468&gt;0,VLOOKUP($K468,Ruimtegroepen[],3,FALSE)*VLOOKUP($M468,Vloersoorten[],3,FALSE)*VLOOKUP($T468,Frequenties[],3,FALSE)*VLOOKUP($A468,Locaties[],3,FALSE),0)</f>
        <v>0</v>
      </c>
      <c r="W468" s="89">
        <f>Ruimtestaat[[#This Row],[Uitvoeringen werkdagen]]*Ruimtestaat[[#This Row],[Oppervlak (netto)]]</f>
        <v>3360</v>
      </c>
      <c r="X468" s="90">
        <f>IF(V468&gt;0,Ruimtestaat[[#This Row],[Prest. (m2 /jaar) werkdagen]]/Ruimtestaat[[#This Row],[Norm (m2/uur) werkdagen]],0)</f>
        <v>0</v>
      </c>
      <c r="Y468" s="91">
        <f>Ruimtestaat[[#This Row],[uren / jaar werkdagen]]*Tariefsopbouw!$E$35</f>
        <v>0</v>
      </c>
      <c r="Z468" s="88"/>
      <c r="AA468" s="92">
        <f>IF(Ruimtestaat[[#This Row],[Frequentie weekend]]&gt;0,VALUE(LEFT(Z468,1))*S468,0)</f>
        <v>0</v>
      </c>
      <c r="AB468" s="88">
        <f>IF($AA468&gt;0,VLOOKUP($K468,Ruimtegroepen[],3,FALSE)*VLOOKUP($M468,Vloersoorten[],3,FALSE)*VLOOKUP($Z468,Frequenties[],3,FALSE)*VLOOKUP(#REF!,Locaties[],3,FALSE),0)</f>
        <v>0</v>
      </c>
      <c r="AC468" s="90">
        <f>Ruimtestaat[[#This Row],[Uitvoeringen weekend]]*Ruimtestaat[[#This Row],[Oppervlak (netto)]]</f>
        <v>0</v>
      </c>
      <c r="AD468" s="93">
        <f>IF(AC468&gt;0,Ruimtestaat[[#This Row],[Prest. (m2 /jaar) weekend]]/Ruimtestaat[[#This Row],[Norm (m2/uur) weekend]],0)</f>
        <v>0</v>
      </c>
      <c r="AE468" s="94">
        <f>Ruimtestaat[[#This Row],[uren / jaar weekend]]*Tariefsopbouw!$D$40</f>
        <v>0</v>
      </c>
      <c r="AF468" s="66">
        <f>Ruimtestaat[[#This Row],[Prest. (m2 /jaar) weekend]]+Ruimtestaat[[#This Row],[Prest. (m2 /jaar) werkdagen]]</f>
        <v>3360</v>
      </c>
      <c r="AG468" s="66">
        <f>Ruimtestaat[[#This Row],[uren / jaar weekend]]+Ruimtestaat[[#This Row],[uren / jaar werkdagen]]</f>
        <v>0</v>
      </c>
      <c r="AH468" s="67">
        <f>Ruimtestaat[[#This Row],[kosten / jaar weekend]]+Ruimtestaat[[#This Row],[kosten / jaar werkdagen]]</f>
        <v>0</v>
      </c>
    </row>
    <row r="469" spans="1:34" ht="15" customHeight="1">
      <c r="A469" s="112">
        <v>3</v>
      </c>
      <c r="B469" s="23" t="str">
        <f>VLOOKUP(Ruimtestaat[[#This Row],[Code]],Locaties[#All],2,FALSE)</f>
        <v>RSG N.O. Veluwe</v>
      </c>
      <c r="C469" s="23" t="str">
        <f>VLOOKUP(Ruimtestaat[[#This Row],[Code]],Locaties[#All],4,FALSE)</f>
        <v>Schotweg 1</v>
      </c>
      <c r="D469" s="23" t="str">
        <f>VLOOKUP(Ruimtestaat[[#This Row],[Code]],Locaties[#All],5,FALSE)</f>
        <v>8162 GM</v>
      </c>
      <c r="E469" s="23" t="str">
        <f>VLOOKUP(Ruimtestaat[[#This Row],[Code]],Locaties[#All],6,FALSE)</f>
        <v>Epe</v>
      </c>
      <c r="F469" s="23" t="s">
        <v>1111</v>
      </c>
      <c r="G469" s="60"/>
      <c r="H469" s="23" t="s">
        <v>1298</v>
      </c>
      <c r="I469" s="23" t="s">
        <v>1140</v>
      </c>
      <c r="J469" s="3" t="s">
        <v>1209</v>
      </c>
      <c r="K469" s="23">
        <v>6</v>
      </c>
      <c r="L469" s="60" t="str">
        <f>VLOOKUP(K469,Ruimtegroepen[],2,FALSE)</f>
        <v>Gangen/hallen</v>
      </c>
      <c r="M469" s="23" t="s">
        <v>1300</v>
      </c>
      <c r="N469" s="23" t="s">
        <v>1301</v>
      </c>
      <c r="O469" s="86">
        <v>56</v>
      </c>
      <c r="P469" s="86"/>
      <c r="Q469" s="95" t="str">
        <f>LEFT(VLOOKUP(Ruimtestaat[[#This Row],[Ruimte code]],Ruimtegroepen[#All],4,1),2)</f>
        <v xml:space="preserve">V </v>
      </c>
      <c r="R469" s="95"/>
      <c r="S469" s="87">
        <v>42</v>
      </c>
      <c r="T469" s="87" t="s">
        <v>2</v>
      </c>
      <c r="U469" s="88">
        <f>IF(S469&gt;0,IF(RIGHT(Ruimtestaat[[#This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69" s="88">
        <f>IF(U469&gt;0,VLOOKUP($K469,Ruimtegroepen[],3,FALSE)*VLOOKUP($M469,Vloersoorten[],3,FALSE)*VLOOKUP($T469,Frequenties[],3,FALSE)*VLOOKUP($A469,Locaties[],3,FALSE),0)</f>
        <v>0</v>
      </c>
      <c r="W469" s="89">
        <f>Ruimtestaat[[#This Row],[Uitvoeringen werkdagen]]*Ruimtestaat[[#This Row],[Oppervlak (netto)]]</f>
        <v>11760</v>
      </c>
      <c r="X469" s="90">
        <f>IF(V469&gt;0,Ruimtestaat[[#This Row],[Prest. (m2 /jaar) werkdagen]]/Ruimtestaat[[#This Row],[Norm (m2/uur) werkdagen]],0)</f>
        <v>0</v>
      </c>
      <c r="Y469" s="91">
        <f>Ruimtestaat[[#This Row],[uren / jaar werkdagen]]*Tariefsopbouw!$E$35</f>
        <v>0</v>
      </c>
      <c r="Z469" s="88"/>
      <c r="AA469" s="92">
        <f>IF(Ruimtestaat[[#This Row],[Frequentie weekend]]&gt;0,VALUE(LEFT(Z469,1))*S469,0)</f>
        <v>0</v>
      </c>
      <c r="AB469" s="88">
        <f>IF($AA469&gt;0,VLOOKUP($K469,Ruimtegroepen[],3,FALSE)*VLOOKUP($M469,Vloersoorten[],3,FALSE)*VLOOKUP($Z469,Frequenties[],3,FALSE)*VLOOKUP(#REF!,Locaties[],3,FALSE),0)</f>
        <v>0</v>
      </c>
      <c r="AC469" s="90">
        <f>Ruimtestaat[[#This Row],[Uitvoeringen weekend]]*Ruimtestaat[[#This Row],[Oppervlak (netto)]]</f>
        <v>0</v>
      </c>
      <c r="AD469" s="93">
        <f>IF(AC469&gt;0,Ruimtestaat[[#This Row],[Prest. (m2 /jaar) weekend]]/Ruimtestaat[[#This Row],[Norm (m2/uur) weekend]],0)</f>
        <v>0</v>
      </c>
      <c r="AE469" s="94">
        <f>Ruimtestaat[[#This Row],[uren / jaar weekend]]*Tariefsopbouw!$D$40</f>
        <v>0</v>
      </c>
      <c r="AF469" s="66">
        <f>Ruimtestaat[[#This Row],[Prest. (m2 /jaar) weekend]]+Ruimtestaat[[#This Row],[Prest. (m2 /jaar) werkdagen]]</f>
        <v>11760</v>
      </c>
      <c r="AG469" s="66">
        <f>Ruimtestaat[[#This Row],[uren / jaar weekend]]+Ruimtestaat[[#This Row],[uren / jaar werkdagen]]</f>
        <v>0</v>
      </c>
      <c r="AH469" s="67">
        <f>Ruimtestaat[[#This Row],[kosten / jaar weekend]]+Ruimtestaat[[#This Row],[kosten / jaar werkdagen]]</f>
        <v>0</v>
      </c>
    </row>
    <row r="470" spans="1:34" ht="15" customHeight="1">
      <c r="A470" s="112">
        <v>3</v>
      </c>
      <c r="B470" s="23" t="str">
        <f>VLOOKUP(Ruimtestaat[[#This Row],[Code]],Locaties[#All],2,FALSE)</f>
        <v>RSG N.O. Veluwe</v>
      </c>
      <c r="C470" s="23" t="str">
        <f>VLOOKUP(Ruimtestaat[[#This Row],[Code]],Locaties[#All],4,FALSE)</f>
        <v>Schotweg 1</v>
      </c>
      <c r="D470" s="23" t="str">
        <f>VLOOKUP(Ruimtestaat[[#This Row],[Code]],Locaties[#All],5,FALSE)</f>
        <v>8162 GM</v>
      </c>
      <c r="E470" s="23" t="str">
        <f>VLOOKUP(Ruimtestaat[[#This Row],[Code]],Locaties[#All],6,FALSE)</f>
        <v>Epe</v>
      </c>
      <c r="F470" s="23" t="s">
        <v>1111</v>
      </c>
      <c r="G470" s="60"/>
      <c r="H470" s="23" t="s">
        <v>1298</v>
      </c>
      <c r="I470" s="23" t="s">
        <v>1142</v>
      </c>
      <c r="J470" s="3" t="s">
        <v>1179</v>
      </c>
      <c r="K470" s="23">
        <v>16</v>
      </c>
      <c r="L470" s="60" t="str">
        <f>VLOOKUP(K470,Ruimtegroepen[],2,FALSE)</f>
        <v>Leslokalen theorie</v>
      </c>
      <c r="M470" s="23" t="s">
        <v>1300</v>
      </c>
      <c r="N470" s="23" t="s">
        <v>1301</v>
      </c>
      <c r="O470" s="86">
        <v>51</v>
      </c>
      <c r="P470" s="86"/>
      <c r="Q470" s="95" t="str">
        <f>LEFT(VLOOKUP(Ruimtestaat[[#This Row],[Ruimte code]],Ruimtegroepen[#All],4,1),2)</f>
        <v xml:space="preserve">L </v>
      </c>
      <c r="R470" s="95"/>
      <c r="S470" s="87">
        <v>40</v>
      </c>
      <c r="T470" s="87" t="s">
        <v>2</v>
      </c>
      <c r="U470" s="88">
        <f>IF(S470&gt;0,IF(RIGHT(Ruimtestaat[[#This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70" s="88">
        <f>IF(U470&gt;0,VLOOKUP($K470,Ruimtegroepen[],3,FALSE)*VLOOKUP($M470,Vloersoorten[],3,FALSE)*VLOOKUP($T470,Frequenties[],3,FALSE)*VLOOKUP($A470,Locaties[],3,FALSE),0)</f>
        <v>0</v>
      </c>
      <c r="W470" s="89">
        <f>Ruimtestaat[[#This Row],[Uitvoeringen werkdagen]]*Ruimtestaat[[#This Row],[Oppervlak (netto)]]</f>
        <v>10200</v>
      </c>
      <c r="X470" s="90">
        <f>IF(V470&gt;0,Ruimtestaat[[#This Row],[Prest. (m2 /jaar) werkdagen]]/Ruimtestaat[[#This Row],[Norm (m2/uur) werkdagen]],0)</f>
        <v>0</v>
      </c>
      <c r="Y470" s="91">
        <f>Ruimtestaat[[#This Row],[uren / jaar werkdagen]]*Tariefsopbouw!$E$35</f>
        <v>0</v>
      </c>
      <c r="Z470" s="88"/>
      <c r="AA470" s="92">
        <f>IF(Ruimtestaat[[#This Row],[Frequentie weekend]]&gt;0,VALUE(LEFT(Z470,1))*S470,0)</f>
        <v>0</v>
      </c>
      <c r="AB470" s="88">
        <f>IF($AA470&gt;0,VLOOKUP($K470,Ruimtegroepen[],3,FALSE)*VLOOKUP($M470,Vloersoorten[],3,FALSE)*VLOOKUP($Z470,Frequenties[],3,FALSE)*VLOOKUP(#REF!,Locaties[],3,FALSE),0)</f>
        <v>0</v>
      </c>
      <c r="AC470" s="90">
        <f>Ruimtestaat[[#This Row],[Uitvoeringen weekend]]*Ruimtestaat[[#This Row],[Oppervlak (netto)]]</f>
        <v>0</v>
      </c>
      <c r="AD470" s="93">
        <f>IF(AC470&gt;0,Ruimtestaat[[#This Row],[Prest. (m2 /jaar) weekend]]/Ruimtestaat[[#This Row],[Norm (m2/uur) weekend]],0)</f>
        <v>0</v>
      </c>
      <c r="AE470" s="94">
        <f>Ruimtestaat[[#This Row],[uren / jaar weekend]]*Tariefsopbouw!$D$40</f>
        <v>0</v>
      </c>
      <c r="AF470" s="66">
        <f>Ruimtestaat[[#This Row],[Prest. (m2 /jaar) weekend]]+Ruimtestaat[[#This Row],[Prest. (m2 /jaar) werkdagen]]</f>
        <v>10200</v>
      </c>
      <c r="AG470" s="66">
        <f>Ruimtestaat[[#This Row],[uren / jaar weekend]]+Ruimtestaat[[#This Row],[uren / jaar werkdagen]]</f>
        <v>0</v>
      </c>
      <c r="AH470" s="67">
        <f>Ruimtestaat[[#This Row],[kosten / jaar weekend]]+Ruimtestaat[[#This Row],[kosten / jaar werkdagen]]</f>
        <v>0</v>
      </c>
    </row>
    <row r="471" spans="1:34" ht="15" customHeight="1">
      <c r="A471" s="112">
        <v>3</v>
      </c>
      <c r="B471" s="23" t="str">
        <f>VLOOKUP(Ruimtestaat[[#This Row],[Code]],Locaties[#All],2,FALSE)</f>
        <v>RSG N.O. Veluwe</v>
      </c>
      <c r="C471" s="23" t="str">
        <f>VLOOKUP(Ruimtestaat[[#This Row],[Code]],Locaties[#All],4,FALSE)</f>
        <v>Schotweg 1</v>
      </c>
      <c r="D471" s="23" t="str">
        <f>VLOOKUP(Ruimtestaat[[#This Row],[Code]],Locaties[#All],5,FALSE)</f>
        <v>8162 GM</v>
      </c>
      <c r="E471" s="23" t="str">
        <f>VLOOKUP(Ruimtestaat[[#This Row],[Code]],Locaties[#All],6,FALSE)</f>
        <v>Epe</v>
      </c>
      <c r="F471" s="23" t="s">
        <v>1111</v>
      </c>
      <c r="G471" s="60"/>
      <c r="H471" s="23" t="s">
        <v>1298</v>
      </c>
      <c r="I471" s="23" t="s">
        <v>1143</v>
      </c>
      <c r="J471" s="3" t="s">
        <v>1070</v>
      </c>
      <c r="K471" s="23">
        <v>6</v>
      </c>
      <c r="L471" s="60" t="str">
        <f>VLOOKUP(K471,Ruimtegroepen[],2,FALSE)</f>
        <v>Gangen/hallen</v>
      </c>
      <c r="M471" s="23" t="s">
        <v>1300</v>
      </c>
      <c r="N471" s="23" t="s">
        <v>1301</v>
      </c>
      <c r="O471" s="86">
        <v>17</v>
      </c>
      <c r="P471" s="86"/>
      <c r="Q471" s="95" t="str">
        <f>LEFT(VLOOKUP(Ruimtestaat[[#This Row],[Ruimte code]],Ruimtegroepen[#All],4,1),2)</f>
        <v xml:space="preserve">V </v>
      </c>
      <c r="R471" s="95"/>
      <c r="S471" s="87">
        <v>42</v>
      </c>
      <c r="T471" s="87" t="s">
        <v>2</v>
      </c>
      <c r="U471" s="88">
        <f>IF(S471&gt;0,IF(RIGHT(Ruimtestaat[[#This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71" s="88">
        <f>IF(U471&gt;0,VLOOKUP($K471,Ruimtegroepen[],3,FALSE)*VLOOKUP($M471,Vloersoorten[],3,FALSE)*VLOOKUP($T471,Frequenties[],3,FALSE)*VLOOKUP($A471,Locaties[],3,FALSE),0)</f>
        <v>0</v>
      </c>
      <c r="W471" s="89">
        <f>Ruimtestaat[[#This Row],[Uitvoeringen werkdagen]]*Ruimtestaat[[#This Row],[Oppervlak (netto)]]</f>
        <v>3570</v>
      </c>
      <c r="X471" s="90">
        <f>IF(V471&gt;0,Ruimtestaat[[#This Row],[Prest. (m2 /jaar) werkdagen]]/Ruimtestaat[[#This Row],[Norm (m2/uur) werkdagen]],0)</f>
        <v>0</v>
      </c>
      <c r="Y471" s="91">
        <f>Ruimtestaat[[#This Row],[uren / jaar werkdagen]]*Tariefsopbouw!$E$35</f>
        <v>0</v>
      </c>
      <c r="Z471" s="88"/>
      <c r="AA471" s="92">
        <f>IF(Ruimtestaat[[#This Row],[Frequentie weekend]]&gt;0,VALUE(LEFT(Z471,1))*S471,0)</f>
        <v>0</v>
      </c>
      <c r="AB471" s="88">
        <f>IF($AA471&gt;0,VLOOKUP($K471,Ruimtegroepen[],3,FALSE)*VLOOKUP($M471,Vloersoorten[],3,FALSE)*VLOOKUP($Z471,Frequenties[],3,FALSE)*VLOOKUP(#REF!,Locaties[],3,FALSE),0)</f>
        <v>0</v>
      </c>
      <c r="AC471" s="90">
        <f>Ruimtestaat[[#This Row],[Uitvoeringen weekend]]*Ruimtestaat[[#This Row],[Oppervlak (netto)]]</f>
        <v>0</v>
      </c>
      <c r="AD471" s="93">
        <f>IF(AC471&gt;0,Ruimtestaat[[#This Row],[Prest. (m2 /jaar) weekend]]/Ruimtestaat[[#This Row],[Norm (m2/uur) weekend]],0)</f>
        <v>0</v>
      </c>
      <c r="AE471" s="94">
        <f>Ruimtestaat[[#This Row],[uren / jaar weekend]]*Tariefsopbouw!$D$40</f>
        <v>0</v>
      </c>
      <c r="AF471" s="66">
        <f>Ruimtestaat[[#This Row],[Prest. (m2 /jaar) weekend]]+Ruimtestaat[[#This Row],[Prest. (m2 /jaar) werkdagen]]</f>
        <v>3570</v>
      </c>
      <c r="AG471" s="66">
        <f>Ruimtestaat[[#This Row],[uren / jaar weekend]]+Ruimtestaat[[#This Row],[uren / jaar werkdagen]]</f>
        <v>0</v>
      </c>
      <c r="AH471" s="67">
        <f>Ruimtestaat[[#This Row],[kosten / jaar weekend]]+Ruimtestaat[[#This Row],[kosten / jaar werkdagen]]</f>
        <v>0</v>
      </c>
    </row>
    <row r="472" spans="1:34" ht="15" customHeight="1">
      <c r="A472" s="112">
        <v>3</v>
      </c>
      <c r="B472" s="23" t="str">
        <f>VLOOKUP(Ruimtestaat[[#This Row],[Code]],Locaties[#All],2,FALSE)</f>
        <v>RSG N.O. Veluwe</v>
      </c>
      <c r="C472" s="23" t="str">
        <f>VLOOKUP(Ruimtestaat[[#This Row],[Code]],Locaties[#All],4,FALSE)</f>
        <v>Schotweg 1</v>
      </c>
      <c r="D472" s="23" t="str">
        <f>VLOOKUP(Ruimtestaat[[#This Row],[Code]],Locaties[#All],5,FALSE)</f>
        <v>8162 GM</v>
      </c>
      <c r="E472" s="23" t="str">
        <f>VLOOKUP(Ruimtestaat[[#This Row],[Code]],Locaties[#All],6,FALSE)</f>
        <v>Epe</v>
      </c>
      <c r="F472" s="23" t="s">
        <v>1111</v>
      </c>
      <c r="G472" s="60"/>
      <c r="H472" s="23" t="s">
        <v>1298</v>
      </c>
      <c r="I472" s="23" t="s">
        <v>1145</v>
      </c>
      <c r="J472" s="3" t="s">
        <v>1210</v>
      </c>
      <c r="K472" s="23">
        <v>16</v>
      </c>
      <c r="L472" s="60" t="str">
        <f>VLOOKUP(K472,Ruimtegroepen[],2,FALSE)</f>
        <v>Leslokalen theorie</v>
      </c>
      <c r="M472" s="23" t="s">
        <v>1300</v>
      </c>
      <c r="N472" s="23" t="s">
        <v>1301</v>
      </c>
      <c r="O472" s="86">
        <v>70</v>
      </c>
      <c r="P472" s="86"/>
      <c r="Q472" s="95" t="str">
        <f>LEFT(VLOOKUP(Ruimtestaat[[#This Row],[Ruimte code]],Ruimtegroepen[#All],4,1),2)</f>
        <v xml:space="preserve">L </v>
      </c>
      <c r="R472" s="95"/>
      <c r="S472" s="87">
        <v>40</v>
      </c>
      <c r="T472" s="87" t="s">
        <v>2</v>
      </c>
      <c r="U472" s="88">
        <f>IF(S472&gt;0,IF(RIGHT(Ruimtestaat[[#This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72" s="88">
        <f>IF(U472&gt;0,VLOOKUP($K472,Ruimtegroepen[],3,FALSE)*VLOOKUP($M472,Vloersoorten[],3,FALSE)*VLOOKUP($T472,Frequenties[],3,FALSE)*VLOOKUP($A472,Locaties[],3,FALSE),0)</f>
        <v>0</v>
      </c>
      <c r="W472" s="89">
        <f>Ruimtestaat[[#This Row],[Uitvoeringen werkdagen]]*Ruimtestaat[[#This Row],[Oppervlak (netto)]]</f>
        <v>14000</v>
      </c>
      <c r="X472" s="90">
        <f>IF(V472&gt;0,Ruimtestaat[[#This Row],[Prest. (m2 /jaar) werkdagen]]/Ruimtestaat[[#This Row],[Norm (m2/uur) werkdagen]],0)</f>
        <v>0</v>
      </c>
      <c r="Y472" s="91">
        <f>Ruimtestaat[[#This Row],[uren / jaar werkdagen]]*Tariefsopbouw!$E$35</f>
        <v>0</v>
      </c>
      <c r="Z472" s="88"/>
      <c r="AA472" s="92">
        <f>IF(Ruimtestaat[[#This Row],[Frequentie weekend]]&gt;0,VALUE(LEFT(Z472,1))*S472,0)</f>
        <v>0</v>
      </c>
      <c r="AB472" s="88">
        <f>IF($AA472&gt;0,VLOOKUP($K472,Ruimtegroepen[],3,FALSE)*VLOOKUP($M472,Vloersoorten[],3,FALSE)*VLOOKUP($Z472,Frequenties[],3,FALSE)*VLOOKUP(#REF!,Locaties[],3,FALSE),0)</f>
        <v>0</v>
      </c>
      <c r="AC472" s="90">
        <f>Ruimtestaat[[#This Row],[Uitvoeringen weekend]]*Ruimtestaat[[#This Row],[Oppervlak (netto)]]</f>
        <v>0</v>
      </c>
      <c r="AD472" s="93">
        <f>IF(AC472&gt;0,Ruimtestaat[[#This Row],[Prest. (m2 /jaar) weekend]]/Ruimtestaat[[#This Row],[Norm (m2/uur) weekend]],0)</f>
        <v>0</v>
      </c>
      <c r="AE472" s="94">
        <f>Ruimtestaat[[#This Row],[uren / jaar weekend]]*Tariefsopbouw!$D$40</f>
        <v>0</v>
      </c>
      <c r="AF472" s="66">
        <f>Ruimtestaat[[#This Row],[Prest. (m2 /jaar) weekend]]+Ruimtestaat[[#This Row],[Prest. (m2 /jaar) werkdagen]]</f>
        <v>14000</v>
      </c>
      <c r="AG472" s="66">
        <f>Ruimtestaat[[#This Row],[uren / jaar weekend]]+Ruimtestaat[[#This Row],[uren / jaar werkdagen]]</f>
        <v>0</v>
      </c>
      <c r="AH472" s="67">
        <f>Ruimtestaat[[#This Row],[kosten / jaar weekend]]+Ruimtestaat[[#This Row],[kosten / jaar werkdagen]]</f>
        <v>0</v>
      </c>
    </row>
    <row r="473" spans="1:34" ht="15" customHeight="1">
      <c r="A473" s="112">
        <v>3</v>
      </c>
      <c r="B473" s="23" t="str">
        <f>VLOOKUP(Ruimtestaat[[#This Row],[Code]],Locaties[#All],2,FALSE)</f>
        <v>RSG N.O. Veluwe</v>
      </c>
      <c r="C473" s="23" t="str">
        <f>VLOOKUP(Ruimtestaat[[#This Row],[Code]],Locaties[#All],4,FALSE)</f>
        <v>Schotweg 1</v>
      </c>
      <c r="D473" s="23" t="str">
        <f>VLOOKUP(Ruimtestaat[[#This Row],[Code]],Locaties[#All],5,FALSE)</f>
        <v>8162 GM</v>
      </c>
      <c r="E473" s="23" t="str">
        <f>VLOOKUP(Ruimtestaat[[#This Row],[Code]],Locaties[#All],6,FALSE)</f>
        <v>Epe</v>
      </c>
      <c r="F473" s="23" t="s">
        <v>1111</v>
      </c>
      <c r="G473" s="60"/>
      <c r="H473" s="23" t="s">
        <v>1298</v>
      </c>
      <c r="I473" s="23" t="s">
        <v>1211</v>
      </c>
      <c r="J473" s="3" t="s">
        <v>1212</v>
      </c>
      <c r="K473" s="23">
        <v>21</v>
      </c>
      <c r="L473" s="60" t="str">
        <f>VLOOKUP(K473,Ruimtegroepen[],2,FALSE)</f>
        <v>Praktijklokalen (houtbewerking)</v>
      </c>
      <c r="M473" s="23" t="s">
        <v>113</v>
      </c>
      <c r="N473" s="23" t="s">
        <v>1307</v>
      </c>
      <c r="O473" s="86">
        <v>411</v>
      </c>
      <c r="P473" s="86"/>
      <c r="Q473" s="95" t="str">
        <f>LEFT(VLOOKUP(Ruimtestaat[[#This Row],[Ruimte code]],Ruimtegroepen[#All],4,1),2)</f>
        <v xml:space="preserve">L </v>
      </c>
      <c r="R473" s="95"/>
      <c r="S473" s="87">
        <v>40</v>
      </c>
      <c r="T473" s="87" t="s">
        <v>2</v>
      </c>
      <c r="U473" s="88">
        <f>IF(S473&gt;0,IF(RIGHT(Ruimtestaat[[#This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73" s="88">
        <f>IF(U473&gt;0,VLOOKUP($K473,Ruimtegroepen[],3,FALSE)*VLOOKUP($M473,Vloersoorten[],3,FALSE)*VLOOKUP($T473,Frequenties[],3,FALSE)*VLOOKUP($A473,Locaties[],3,FALSE),0)</f>
        <v>0</v>
      </c>
      <c r="W473" s="89">
        <f>Ruimtestaat[[#This Row],[Uitvoeringen werkdagen]]*Ruimtestaat[[#This Row],[Oppervlak (netto)]]</f>
        <v>82200</v>
      </c>
      <c r="X473" s="90">
        <f>IF(V473&gt;0,Ruimtestaat[[#This Row],[Prest. (m2 /jaar) werkdagen]]/Ruimtestaat[[#This Row],[Norm (m2/uur) werkdagen]],0)</f>
        <v>0</v>
      </c>
      <c r="Y473" s="91">
        <f>Ruimtestaat[[#This Row],[uren / jaar werkdagen]]*Tariefsopbouw!$E$35</f>
        <v>0</v>
      </c>
      <c r="Z473" s="88"/>
      <c r="AA473" s="92">
        <f>IF(Ruimtestaat[[#This Row],[Frequentie weekend]]&gt;0,VALUE(LEFT(Z473,1))*S473,0)</f>
        <v>0</v>
      </c>
      <c r="AB473" s="88">
        <f>IF($AA473&gt;0,VLOOKUP($K473,Ruimtegroepen[],3,FALSE)*VLOOKUP($M473,Vloersoorten[],3,FALSE)*VLOOKUP($Z473,Frequenties[],3,FALSE)*VLOOKUP(#REF!,Locaties[],3,FALSE),0)</f>
        <v>0</v>
      </c>
      <c r="AC473" s="90">
        <f>Ruimtestaat[[#This Row],[Uitvoeringen weekend]]*Ruimtestaat[[#This Row],[Oppervlak (netto)]]</f>
        <v>0</v>
      </c>
      <c r="AD473" s="93">
        <f>IF(AC473&gt;0,Ruimtestaat[[#This Row],[Prest. (m2 /jaar) weekend]]/Ruimtestaat[[#This Row],[Norm (m2/uur) weekend]],0)</f>
        <v>0</v>
      </c>
      <c r="AE473" s="94">
        <f>Ruimtestaat[[#This Row],[uren / jaar weekend]]*Tariefsopbouw!$D$40</f>
        <v>0</v>
      </c>
      <c r="AF473" s="66">
        <f>Ruimtestaat[[#This Row],[Prest. (m2 /jaar) weekend]]+Ruimtestaat[[#This Row],[Prest. (m2 /jaar) werkdagen]]</f>
        <v>82200</v>
      </c>
      <c r="AG473" s="66">
        <f>Ruimtestaat[[#This Row],[uren / jaar weekend]]+Ruimtestaat[[#This Row],[uren / jaar werkdagen]]</f>
        <v>0</v>
      </c>
      <c r="AH473" s="67">
        <f>Ruimtestaat[[#This Row],[kosten / jaar weekend]]+Ruimtestaat[[#This Row],[kosten / jaar werkdagen]]</f>
        <v>0</v>
      </c>
    </row>
    <row r="474" spans="1:34" ht="15" customHeight="1">
      <c r="A474" s="112">
        <v>3</v>
      </c>
      <c r="B474" s="23" t="str">
        <f>VLOOKUP(Ruimtestaat[[#This Row],[Code]],Locaties[#All],2,FALSE)</f>
        <v>RSG N.O. Veluwe</v>
      </c>
      <c r="C474" s="23" t="str">
        <f>VLOOKUP(Ruimtestaat[[#This Row],[Code]],Locaties[#All],4,FALSE)</f>
        <v>Schotweg 1</v>
      </c>
      <c r="D474" s="23" t="str">
        <f>VLOOKUP(Ruimtestaat[[#This Row],[Code]],Locaties[#All],5,FALSE)</f>
        <v>8162 GM</v>
      </c>
      <c r="E474" s="23" t="str">
        <f>VLOOKUP(Ruimtestaat[[#This Row],[Code]],Locaties[#All],6,FALSE)</f>
        <v>Epe</v>
      </c>
      <c r="F474" s="23" t="s">
        <v>1111</v>
      </c>
      <c r="G474" s="60"/>
      <c r="H474" s="23" t="s">
        <v>1298</v>
      </c>
      <c r="I474" s="23" t="s">
        <v>1213</v>
      </c>
      <c r="J474" s="3" t="s">
        <v>1214</v>
      </c>
      <c r="K474" s="23">
        <v>23</v>
      </c>
      <c r="L474" s="60" t="str">
        <f>VLOOKUP(K474,Ruimtegroepen[],2,FALSE)</f>
        <v>Niet in onderhoud</v>
      </c>
      <c r="M474" s="23" t="s">
        <v>113</v>
      </c>
      <c r="N474" s="23" t="s">
        <v>1307</v>
      </c>
      <c r="O474" s="86"/>
      <c r="P474" s="86">
        <v>0</v>
      </c>
      <c r="Q474" s="95" t="str">
        <f>LEFT(VLOOKUP(Ruimtestaat[[#This Row],[Ruimte code]],Ruimtegroepen[#All],4,1),2)</f>
        <v/>
      </c>
      <c r="R474" s="95"/>
      <c r="S474" s="87"/>
      <c r="T474" s="87"/>
      <c r="U474" s="88">
        <f>IF(S474&gt;0,IF(RIGHT(Ruimtestaat[[#This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474" s="88">
        <f>IF(U474&gt;0,VLOOKUP($K474,Ruimtegroepen[],3,FALSE)*VLOOKUP($M474,Vloersoorten[],3,FALSE)*VLOOKUP($T474,Frequenties[],3,FALSE)*VLOOKUP($A474,Locaties[],3,FALSE),0)</f>
        <v>0</v>
      </c>
      <c r="W474" s="89">
        <f>Ruimtestaat[[#This Row],[Uitvoeringen werkdagen]]*Ruimtestaat[[#This Row],[Oppervlak (netto)]]</f>
        <v>0</v>
      </c>
      <c r="X474" s="90">
        <f>IF(V474&gt;0,Ruimtestaat[[#This Row],[Prest. (m2 /jaar) werkdagen]]/Ruimtestaat[[#This Row],[Norm (m2/uur) werkdagen]],0)</f>
        <v>0</v>
      </c>
      <c r="Y474" s="91">
        <f>Ruimtestaat[[#This Row],[uren / jaar werkdagen]]*Tariefsopbouw!$E$35</f>
        <v>0</v>
      </c>
      <c r="Z474" s="88"/>
      <c r="AA474" s="92">
        <f>IF(Ruimtestaat[[#This Row],[Frequentie weekend]]&gt;0,VALUE(LEFT(Z474,1))*S474,0)</f>
        <v>0</v>
      </c>
      <c r="AB474" s="88">
        <f>IF($AA474&gt;0,VLOOKUP($K474,Ruimtegroepen[],3,FALSE)*VLOOKUP($M474,Vloersoorten[],3,FALSE)*VLOOKUP($Z474,Frequenties[],3,FALSE)*VLOOKUP(#REF!,Locaties[],3,FALSE),0)</f>
        <v>0</v>
      </c>
      <c r="AC474" s="90">
        <f>Ruimtestaat[[#This Row],[Uitvoeringen weekend]]*Ruimtestaat[[#This Row],[Oppervlak (netto)]]</f>
        <v>0</v>
      </c>
      <c r="AD474" s="93">
        <f>IF(AC474&gt;0,Ruimtestaat[[#This Row],[Prest. (m2 /jaar) weekend]]/Ruimtestaat[[#This Row],[Norm (m2/uur) weekend]],0)</f>
        <v>0</v>
      </c>
      <c r="AE474" s="94">
        <f>Ruimtestaat[[#This Row],[uren / jaar weekend]]*Tariefsopbouw!$D$40</f>
        <v>0</v>
      </c>
      <c r="AF474" s="66">
        <f>Ruimtestaat[[#This Row],[Prest. (m2 /jaar) weekend]]+Ruimtestaat[[#This Row],[Prest. (m2 /jaar) werkdagen]]</f>
        <v>0</v>
      </c>
      <c r="AG474" s="66">
        <f>Ruimtestaat[[#This Row],[uren / jaar weekend]]+Ruimtestaat[[#This Row],[uren / jaar werkdagen]]</f>
        <v>0</v>
      </c>
      <c r="AH474" s="67">
        <f>Ruimtestaat[[#This Row],[kosten / jaar weekend]]+Ruimtestaat[[#This Row],[kosten / jaar werkdagen]]</f>
        <v>0</v>
      </c>
    </row>
    <row r="475" spans="1:34" ht="15" customHeight="1">
      <c r="A475" s="112">
        <v>3</v>
      </c>
      <c r="B475" s="23" t="str">
        <f>VLOOKUP(Ruimtestaat[[#This Row],[Code]],Locaties[#All],2,FALSE)</f>
        <v>RSG N.O. Veluwe</v>
      </c>
      <c r="C475" s="23" t="str">
        <f>VLOOKUP(Ruimtestaat[[#This Row],[Code]],Locaties[#All],4,FALSE)</f>
        <v>Schotweg 1</v>
      </c>
      <c r="D475" s="23" t="str">
        <f>VLOOKUP(Ruimtestaat[[#This Row],[Code]],Locaties[#All],5,FALSE)</f>
        <v>8162 GM</v>
      </c>
      <c r="E475" s="23" t="str">
        <f>VLOOKUP(Ruimtestaat[[#This Row],[Code]],Locaties[#All],6,FALSE)</f>
        <v>Epe</v>
      </c>
      <c r="F475" s="23" t="s">
        <v>1111</v>
      </c>
      <c r="G475" s="60"/>
      <c r="H475" s="23" t="s">
        <v>1298</v>
      </c>
      <c r="I475" s="23" t="s">
        <v>1215</v>
      </c>
      <c r="J475" s="3" t="s">
        <v>1216</v>
      </c>
      <c r="K475" s="23">
        <v>13</v>
      </c>
      <c r="L475" s="60" t="str">
        <f>VLOOKUP(K475,Ruimtegroepen[],2,FALSE)</f>
        <v>HV/Technieklokaal</v>
      </c>
      <c r="M475" s="23" t="s">
        <v>113</v>
      </c>
      <c r="N475" s="23" t="s">
        <v>1307</v>
      </c>
      <c r="O475" s="86">
        <v>85</v>
      </c>
      <c r="P475" s="86"/>
      <c r="Q475" s="95" t="str">
        <f>LEFT(VLOOKUP(Ruimtestaat[[#This Row],[Ruimte code]],Ruimtegroepen[#All],4,1),2)</f>
        <v xml:space="preserve">L </v>
      </c>
      <c r="R475" s="95"/>
      <c r="S475" s="87">
        <v>40</v>
      </c>
      <c r="T475" s="87" t="s">
        <v>15</v>
      </c>
      <c r="U475" s="88">
        <f>IF(S475&gt;0,IF(RIGHT(Ruimtestaat[[#This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V475" s="88">
        <f>IF(U475&gt;0,VLOOKUP($K475,Ruimtegroepen[],3,FALSE)*VLOOKUP($M475,Vloersoorten[],3,FALSE)*VLOOKUP($T475,Frequenties[],3,FALSE)*VLOOKUP($A475,Locaties[],3,FALSE),0)</f>
        <v>0</v>
      </c>
      <c r="W475" s="89">
        <f>Ruimtestaat[[#This Row],[Uitvoeringen werkdagen]]*Ruimtestaat[[#This Row],[Oppervlak (netto)]]</f>
        <v>3400</v>
      </c>
      <c r="X475" s="90">
        <f>IF(V475&gt;0,Ruimtestaat[[#This Row],[Prest. (m2 /jaar) werkdagen]]/Ruimtestaat[[#This Row],[Norm (m2/uur) werkdagen]],0)</f>
        <v>0</v>
      </c>
      <c r="Y475" s="91">
        <f>Ruimtestaat[[#This Row],[uren / jaar werkdagen]]*Tariefsopbouw!$E$35</f>
        <v>0</v>
      </c>
      <c r="Z475" s="88"/>
      <c r="AA475" s="92">
        <f>IF(Ruimtestaat[[#This Row],[Frequentie weekend]]&gt;0,VALUE(LEFT(Z475,1))*S475,0)</f>
        <v>0</v>
      </c>
      <c r="AB475" s="88">
        <f>IF($AA475&gt;0,VLOOKUP($K475,Ruimtegroepen[],3,FALSE)*VLOOKUP($M475,Vloersoorten[],3,FALSE)*VLOOKUP($Z475,Frequenties[],3,FALSE)*VLOOKUP(#REF!,Locaties[],3,FALSE),0)</f>
        <v>0</v>
      </c>
      <c r="AC475" s="90">
        <f>Ruimtestaat[[#This Row],[Uitvoeringen weekend]]*Ruimtestaat[[#This Row],[Oppervlak (netto)]]</f>
        <v>0</v>
      </c>
      <c r="AD475" s="93">
        <f>IF(AC475&gt;0,Ruimtestaat[[#This Row],[Prest. (m2 /jaar) weekend]]/Ruimtestaat[[#This Row],[Norm (m2/uur) weekend]],0)</f>
        <v>0</v>
      </c>
      <c r="AE475" s="94">
        <f>Ruimtestaat[[#This Row],[uren / jaar weekend]]*Tariefsopbouw!$D$40</f>
        <v>0</v>
      </c>
      <c r="AF475" s="66">
        <f>Ruimtestaat[[#This Row],[Prest. (m2 /jaar) weekend]]+Ruimtestaat[[#This Row],[Prest. (m2 /jaar) werkdagen]]</f>
        <v>3400</v>
      </c>
      <c r="AG475" s="66">
        <f>Ruimtestaat[[#This Row],[uren / jaar weekend]]+Ruimtestaat[[#This Row],[uren / jaar werkdagen]]</f>
        <v>0</v>
      </c>
      <c r="AH475" s="67">
        <f>Ruimtestaat[[#This Row],[kosten / jaar weekend]]+Ruimtestaat[[#This Row],[kosten / jaar werkdagen]]</f>
        <v>0</v>
      </c>
    </row>
    <row r="476" spans="1:34" ht="15" customHeight="1">
      <c r="A476" s="112">
        <v>3</v>
      </c>
      <c r="B476" s="23" t="str">
        <f>VLOOKUP(Ruimtestaat[[#This Row],[Code]],Locaties[#All],2,FALSE)</f>
        <v>RSG N.O. Veluwe</v>
      </c>
      <c r="C476" s="23" t="str">
        <f>VLOOKUP(Ruimtestaat[[#This Row],[Code]],Locaties[#All],4,FALSE)</f>
        <v>Schotweg 1</v>
      </c>
      <c r="D476" s="23" t="str">
        <f>VLOOKUP(Ruimtestaat[[#This Row],[Code]],Locaties[#All],5,FALSE)</f>
        <v>8162 GM</v>
      </c>
      <c r="E476" s="23" t="str">
        <f>VLOOKUP(Ruimtestaat[[#This Row],[Code]],Locaties[#All],6,FALSE)</f>
        <v>Epe</v>
      </c>
      <c r="F476" s="23" t="s">
        <v>1111</v>
      </c>
      <c r="G476" s="60"/>
      <c r="H476" s="23" t="s">
        <v>1298</v>
      </c>
      <c r="I476" s="23" t="s">
        <v>1157</v>
      </c>
      <c r="J476" s="3" t="s">
        <v>1217</v>
      </c>
      <c r="K476" s="23">
        <v>23</v>
      </c>
      <c r="L476" s="60" t="str">
        <f>VLOOKUP(K476,Ruimtegroepen[],2,FALSE)</f>
        <v>Niet in onderhoud</v>
      </c>
      <c r="M476" s="23" t="s">
        <v>113</v>
      </c>
      <c r="N476" s="23" t="s">
        <v>1307</v>
      </c>
      <c r="O476" s="86"/>
      <c r="P476" s="86">
        <v>25</v>
      </c>
      <c r="Q476" s="95" t="str">
        <f>LEFT(VLOOKUP(Ruimtestaat[[#This Row],[Ruimte code]],Ruimtegroepen[#All],4,1),2)</f>
        <v/>
      </c>
      <c r="R476" s="95"/>
      <c r="S476" s="87"/>
      <c r="T476" s="87"/>
      <c r="U476" s="88">
        <f>IF(S476&gt;0,IF(RIGHT(Ruimtestaat[[#This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476" s="88">
        <f>IF(U476&gt;0,VLOOKUP($K476,Ruimtegroepen[],3,FALSE)*VLOOKUP($M476,Vloersoorten[],3,FALSE)*VLOOKUP($T476,Frequenties[],3,FALSE)*VLOOKUP($A476,Locaties[],3,FALSE),0)</f>
        <v>0</v>
      </c>
      <c r="W476" s="89">
        <f>Ruimtestaat[[#This Row],[Uitvoeringen werkdagen]]*Ruimtestaat[[#This Row],[Oppervlak (netto)]]</f>
        <v>0</v>
      </c>
      <c r="X476" s="90">
        <f>IF(V476&gt;0,Ruimtestaat[[#This Row],[Prest. (m2 /jaar) werkdagen]]/Ruimtestaat[[#This Row],[Norm (m2/uur) werkdagen]],0)</f>
        <v>0</v>
      </c>
      <c r="Y476" s="91">
        <f>Ruimtestaat[[#This Row],[uren / jaar werkdagen]]*Tariefsopbouw!$E$35</f>
        <v>0</v>
      </c>
      <c r="Z476" s="88"/>
      <c r="AA476" s="92">
        <f>IF(Ruimtestaat[[#This Row],[Frequentie weekend]]&gt;0,VALUE(LEFT(Z476,1))*S476,0)</f>
        <v>0</v>
      </c>
      <c r="AB476" s="88">
        <f>IF($AA476&gt;0,VLOOKUP($K476,Ruimtegroepen[],3,FALSE)*VLOOKUP($M476,Vloersoorten[],3,FALSE)*VLOOKUP($Z476,Frequenties[],3,FALSE)*VLOOKUP(#REF!,Locaties[],3,FALSE),0)</f>
        <v>0</v>
      </c>
      <c r="AC476" s="90">
        <f>Ruimtestaat[[#This Row],[Uitvoeringen weekend]]*Ruimtestaat[[#This Row],[Oppervlak (netto)]]</f>
        <v>0</v>
      </c>
      <c r="AD476" s="93">
        <f>IF(AC476&gt;0,Ruimtestaat[[#This Row],[Prest. (m2 /jaar) weekend]]/Ruimtestaat[[#This Row],[Norm (m2/uur) weekend]],0)</f>
        <v>0</v>
      </c>
      <c r="AE476" s="94">
        <f>Ruimtestaat[[#This Row],[uren / jaar weekend]]*Tariefsopbouw!$D$40</f>
        <v>0</v>
      </c>
      <c r="AF476" s="66">
        <f>Ruimtestaat[[#This Row],[Prest. (m2 /jaar) weekend]]+Ruimtestaat[[#This Row],[Prest. (m2 /jaar) werkdagen]]</f>
        <v>0</v>
      </c>
      <c r="AG476" s="66">
        <f>Ruimtestaat[[#This Row],[uren / jaar weekend]]+Ruimtestaat[[#This Row],[uren / jaar werkdagen]]</f>
        <v>0</v>
      </c>
      <c r="AH476" s="67">
        <f>Ruimtestaat[[#This Row],[kosten / jaar weekend]]+Ruimtestaat[[#This Row],[kosten / jaar werkdagen]]</f>
        <v>0</v>
      </c>
    </row>
    <row r="477" spans="1:34" ht="15" customHeight="1">
      <c r="A477" s="112">
        <v>3</v>
      </c>
      <c r="B477" s="23" t="str">
        <f>VLOOKUP(Ruimtestaat[[#This Row],[Code]],Locaties[#All],2,FALSE)</f>
        <v>RSG N.O. Veluwe</v>
      </c>
      <c r="C477" s="23" t="str">
        <f>VLOOKUP(Ruimtestaat[[#This Row],[Code]],Locaties[#All],4,FALSE)</f>
        <v>Schotweg 1</v>
      </c>
      <c r="D477" s="23" t="str">
        <f>VLOOKUP(Ruimtestaat[[#This Row],[Code]],Locaties[#All],5,FALSE)</f>
        <v>8162 GM</v>
      </c>
      <c r="E477" s="23" t="str">
        <f>VLOOKUP(Ruimtestaat[[#This Row],[Code]],Locaties[#All],6,FALSE)</f>
        <v>Epe</v>
      </c>
      <c r="F477" s="23" t="s">
        <v>1111</v>
      </c>
      <c r="G477" s="60"/>
      <c r="H477" s="23" t="s">
        <v>1298</v>
      </c>
      <c r="I477" s="23" t="s">
        <v>1158</v>
      </c>
      <c r="J477" s="3" t="s">
        <v>1060</v>
      </c>
      <c r="K477" s="23">
        <v>16</v>
      </c>
      <c r="L477" s="60" t="str">
        <f>VLOOKUP(K477,Ruimtegroepen[],2,FALSE)</f>
        <v>Leslokalen theorie</v>
      </c>
      <c r="M477" s="23" t="s">
        <v>1300</v>
      </c>
      <c r="N477" s="23" t="s">
        <v>1301</v>
      </c>
      <c r="O477" s="86">
        <v>24</v>
      </c>
      <c r="P477" s="86"/>
      <c r="Q477" s="95" t="str">
        <f>LEFT(VLOOKUP(Ruimtestaat[[#This Row],[Ruimte code]],Ruimtegroepen[#All],4,1),2)</f>
        <v xml:space="preserve">L </v>
      </c>
      <c r="R477" s="95"/>
      <c r="S477" s="87">
        <v>40</v>
      </c>
      <c r="T477" s="87" t="s">
        <v>2</v>
      </c>
      <c r="U477" s="88">
        <f>IF(S477&gt;0,IF(RIGHT(Ruimtestaat[[#This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77" s="88">
        <f>IF(U477&gt;0,VLOOKUP($K477,Ruimtegroepen[],3,FALSE)*VLOOKUP($M477,Vloersoorten[],3,FALSE)*VLOOKUP($T477,Frequenties[],3,FALSE)*VLOOKUP($A477,Locaties[],3,FALSE),0)</f>
        <v>0</v>
      </c>
      <c r="W477" s="89">
        <f>Ruimtestaat[[#This Row],[Uitvoeringen werkdagen]]*Ruimtestaat[[#This Row],[Oppervlak (netto)]]</f>
        <v>4800</v>
      </c>
      <c r="X477" s="90">
        <f>IF(V477&gt;0,Ruimtestaat[[#This Row],[Prest. (m2 /jaar) werkdagen]]/Ruimtestaat[[#This Row],[Norm (m2/uur) werkdagen]],0)</f>
        <v>0</v>
      </c>
      <c r="Y477" s="91">
        <f>Ruimtestaat[[#This Row],[uren / jaar werkdagen]]*Tariefsopbouw!$E$35</f>
        <v>0</v>
      </c>
      <c r="Z477" s="88"/>
      <c r="AA477" s="92">
        <f>IF(Ruimtestaat[[#This Row],[Frequentie weekend]]&gt;0,VALUE(LEFT(Z477,1))*S477,0)</f>
        <v>0</v>
      </c>
      <c r="AB477" s="88">
        <f>IF($AA477&gt;0,VLOOKUP($K477,Ruimtegroepen[],3,FALSE)*VLOOKUP($M477,Vloersoorten[],3,FALSE)*VLOOKUP($Z477,Frequenties[],3,FALSE)*VLOOKUP(#REF!,Locaties[],3,FALSE),0)</f>
        <v>0</v>
      </c>
      <c r="AC477" s="90">
        <f>Ruimtestaat[[#This Row],[Uitvoeringen weekend]]*Ruimtestaat[[#This Row],[Oppervlak (netto)]]</f>
        <v>0</v>
      </c>
      <c r="AD477" s="93">
        <f>IF(AC477&gt;0,Ruimtestaat[[#This Row],[Prest. (m2 /jaar) weekend]]/Ruimtestaat[[#This Row],[Norm (m2/uur) weekend]],0)</f>
        <v>0</v>
      </c>
      <c r="AE477" s="94">
        <f>Ruimtestaat[[#This Row],[uren / jaar weekend]]*Tariefsopbouw!$D$40</f>
        <v>0</v>
      </c>
      <c r="AF477" s="66">
        <f>Ruimtestaat[[#This Row],[Prest. (m2 /jaar) weekend]]+Ruimtestaat[[#This Row],[Prest. (m2 /jaar) werkdagen]]</f>
        <v>4800</v>
      </c>
      <c r="AG477" s="66">
        <f>Ruimtestaat[[#This Row],[uren / jaar weekend]]+Ruimtestaat[[#This Row],[uren / jaar werkdagen]]</f>
        <v>0</v>
      </c>
      <c r="AH477" s="67">
        <f>Ruimtestaat[[#This Row],[kosten / jaar weekend]]+Ruimtestaat[[#This Row],[kosten / jaar werkdagen]]</f>
        <v>0</v>
      </c>
    </row>
    <row r="478" spans="1:34" ht="15" customHeight="1">
      <c r="A478" s="112">
        <v>3</v>
      </c>
      <c r="B478" s="23" t="str">
        <f>VLOOKUP(Ruimtestaat[[#This Row],[Code]],Locaties[#All],2,FALSE)</f>
        <v>RSG N.O. Veluwe</v>
      </c>
      <c r="C478" s="23" t="str">
        <f>VLOOKUP(Ruimtestaat[[#This Row],[Code]],Locaties[#All],4,FALSE)</f>
        <v>Schotweg 1</v>
      </c>
      <c r="D478" s="23" t="str">
        <f>VLOOKUP(Ruimtestaat[[#This Row],[Code]],Locaties[#All],5,FALSE)</f>
        <v>8162 GM</v>
      </c>
      <c r="E478" s="23" t="str">
        <f>VLOOKUP(Ruimtestaat[[#This Row],[Code]],Locaties[#All],6,FALSE)</f>
        <v>Epe</v>
      </c>
      <c r="F478" s="23" t="s">
        <v>1111</v>
      </c>
      <c r="G478" s="60"/>
      <c r="H478" s="23" t="s">
        <v>1298</v>
      </c>
      <c r="I478" s="23" t="s">
        <v>1159</v>
      </c>
      <c r="J478" s="3" t="s">
        <v>1136</v>
      </c>
      <c r="K478" s="23">
        <v>5</v>
      </c>
      <c r="L478" s="60" t="str">
        <f>VLOOKUP(K478,Ruimtegroepen[],2,FALSE)</f>
        <v>Sanitair</v>
      </c>
      <c r="M478" s="23" t="s">
        <v>114</v>
      </c>
      <c r="N478" s="23" t="s">
        <v>1304</v>
      </c>
      <c r="O478" s="86">
        <v>10</v>
      </c>
      <c r="P478" s="86"/>
      <c r="Q478" s="95" t="str">
        <f>LEFT(VLOOKUP(Ruimtestaat[[#This Row],[Ruimte code]],Ruimtegroepen[#All],4,1),2)</f>
        <v xml:space="preserve">S </v>
      </c>
      <c r="R478" s="95"/>
      <c r="S478" s="87">
        <v>40</v>
      </c>
      <c r="T478" s="87" t="s">
        <v>2</v>
      </c>
      <c r="U478" s="88">
        <f>IF(S478&gt;0,IF(RIGHT(Ruimtestaat[[#This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78" s="88">
        <f>IF(U478&gt;0,VLOOKUP($K478,Ruimtegroepen[],3,FALSE)*VLOOKUP($M478,Vloersoorten[],3,FALSE)*VLOOKUP($T478,Frequenties[],3,FALSE)*VLOOKUP($A478,Locaties[],3,FALSE),0)</f>
        <v>0</v>
      </c>
      <c r="W478" s="89">
        <f>Ruimtestaat[[#This Row],[Uitvoeringen werkdagen]]*Ruimtestaat[[#This Row],[Oppervlak (netto)]]</f>
        <v>2000</v>
      </c>
      <c r="X478" s="90">
        <f>IF(V478&gt;0,Ruimtestaat[[#This Row],[Prest. (m2 /jaar) werkdagen]]/Ruimtestaat[[#This Row],[Norm (m2/uur) werkdagen]],0)</f>
        <v>0</v>
      </c>
      <c r="Y478" s="91">
        <f>Ruimtestaat[[#This Row],[uren / jaar werkdagen]]*Tariefsopbouw!$E$35</f>
        <v>0</v>
      </c>
      <c r="Z478" s="88"/>
      <c r="AA478" s="92">
        <f>IF(Ruimtestaat[[#This Row],[Frequentie weekend]]&gt;0,VALUE(LEFT(Z478,1))*S478,0)</f>
        <v>0</v>
      </c>
      <c r="AB478" s="88">
        <f>IF($AA478&gt;0,VLOOKUP($K478,Ruimtegroepen[],3,FALSE)*VLOOKUP($M478,Vloersoorten[],3,FALSE)*VLOOKUP($Z478,Frequenties[],3,FALSE)*VLOOKUP(#REF!,Locaties[],3,FALSE),0)</f>
        <v>0</v>
      </c>
      <c r="AC478" s="90">
        <f>Ruimtestaat[[#This Row],[Uitvoeringen weekend]]*Ruimtestaat[[#This Row],[Oppervlak (netto)]]</f>
        <v>0</v>
      </c>
      <c r="AD478" s="93">
        <f>IF(AC478&gt;0,Ruimtestaat[[#This Row],[Prest. (m2 /jaar) weekend]]/Ruimtestaat[[#This Row],[Norm (m2/uur) weekend]],0)</f>
        <v>0</v>
      </c>
      <c r="AE478" s="94">
        <f>Ruimtestaat[[#This Row],[uren / jaar weekend]]*Tariefsopbouw!$D$40</f>
        <v>0</v>
      </c>
      <c r="AF478" s="66">
        <f>Ruimtestaat[[#This Row],[Prest. (m2 /jaar) weekend]]+Ruimtestaat[[#This Row],[Prest. (m2 /jaar) werkdagen]]</f>
        <v>2000</v>
      </c>
      <c r="AG478" s="66">
        <f>Ruimtestaat[[#This Row],[uren / jaar weekend]]+Ruimtestaat[[#This Row],[uren / jaar werkdagen]]</f>
        <v>0</v>
      </c>
      <c r="AH478" s="67">
        <f>Ruimtestaat[[#This Row],[kosten / jaar weekend]]+Ruimtestaat[[#This Row],[kosten / jaar werkdagen]]</f>
        <v>0</v>
      </c>
    </row>
    <row r="479" spans="1:34" ht="15" customHeight="1">
      <c r="A479" s="112">
        <v>3</v>
      </c>
      <c r="B479" s="23" t="str">
        <f>VLOOKUP(Ruimtestaat[[#This Row],[Code]],Locaties[#All],2,FALSE)</f>
        <v>RSG N.O. Veluwe</v>
      </c>
      <c r="C479" s="23" t="str">
        <f>VLOOKUP(Ruimtestaat[[#This Row],[Code]],Locaties[#All],4,FALSE)</f>
        <v>Schotweg 1</v>
      </c>
      <c r="D479" s="23" t="str">
        <f>VLOOKUP(Ruimtestaat[[#This Row],[Code]],Locaties[#All],5,FALSE)</f>
        <v>8162 GM</v>
      </c>
      <c r="E479" s="23" t="str">
        <f>VLOOKUP(Ruimtestaat[[#This Row],[Code]],Locaties[#All],6,FALSE)</f>
        <v>Epe</v>
      </c>
      <c r="F479" s="23" t="s">
        <v>1111</v>
      </c>
      <c r="G479" s="60"/>
      <c r="H479" s="23" t="s">
        <v>1298</v>
      </c>
      <c r="I479" s="23" t="s">
        <v>1161</v>
      </c>
      <c r="J479" s="3" t="s">
        <v>1149</v>
      </c>
      <c r="K479" s="23">
        <v>5</v>
      </c>
      <c r="L479" s="60" t="str">
        <f>VLOOKUP(K479,Ruimtegroepen[],2,FALSE)</f>
        <v>Sanitair</v>
      </c>
      <c r="M479" s="23" t="s">
        <v>114</v>
      </c>
      <c r="N479" s="23" t="s">
        <v>1304</v>
      </c>
      <c r="O479" s="86">
        <v>10</v>
      </c>
      <c r="P479" s="86"/>
      <c r="Q479" s="95" t="str">
        <f>LEFT(VLOOKUP(Ruimtestaat[[#This Row],[Ruimte code]],Ruimtegroepen[#All],4,1),2)</f>
        <v xml:space="preserve">S </v>
      </c>
      <c r="R479" s="95"/>
      <c r="S479" s="87">
        <v>40</v>
      </c>
      <c r="T479" s="87" t="s">
        <v>2</v>
      </c>
      <c r="U479" s="88">
        <f>IF(S479&gt;0,IF(RIGHT(Ruimtestaat[[#This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79" s="88">
        <f>IF(U479&gt;0,VLOOKUP($K479,Ruimtegroepen[],3,FALSE)*VLOOKUP($M479,Vloersoorten[],3,FALSE)*VLOOKUP($T479,Frequenties[],3,FALSE)*VLOOKUP($A479,Locaties[],3,FALSE),0)</f>
        <v>0</v>
      </c>
      <c r="W479" s="89">
        <f>Ruimtestaat[[#This Row],[Uitvoeringen werkdagen]]*Ruimtestaat[[#This Row],[Oppervlak (netto)]]</f>
        <v>2000</v>
      </c>
      <c r="X479" s="90">
        <f>IF(V479&gt;0,Ruimtestaat[[#This Row],[Prest. (m2 /jaar) werkdagen]]/Ruimtestaat[[#This Row],[Norm (m2/uur) werkdagen]],0)</f>
        <v>0</v>
      </c>
      <c r="Y479" s="91">
        <f>Ruimtestaat[[#This Row],[uren / jaar werkdagen]]*Tariefsopbouw!$E$35</f>
        <v>0</v>
      </c>
      <c r="Z479" s="88"/>
      <c r="AA479" s="92">
        <f>IF(Ruimtestaat[[#This Row],[Frequentie weekend]]&gt;0,VALUE(LEFT(Z479,1))*S479,0)</f>
        <v>0</v>
      </c>
      <c r="AB479" s="88">
        <f>IF($AA479&gt;0,VLOOKUP($K479,Ruimtegroepen[],3,FALSE)*VLOOKUP($M479,Vloersoorten[],3,FALSE)*VLOOKUP($Z479,Frequenties[],3,FALSE)*VLOOKUP(#REF!,Locaties[],3,FALSE),0)</f>
        <v>0</v>
      </c>
      <c r="AC479" s="90">
        <f>Ruimtestaat[[#This Row],[Uitvoeringen weekend]]*Ruimtestaat[[#This Row],[Oppervlak (netto)]]</f>
        <v>0</v>
      </c>
      <c r="AD479" s="93">
        <f>IF(AC479&gt;0,Ruimtestaat[[#This Row],[Prest. (m2 /jaar) weekend]]/Ruimtestaat[[#This Row],[Norm (m2/uur) weekend]],0)</f>
        <v>0</v>
      </c>
      <c r="AE479" s="94">
        <f>Ruimtestaat[[#This Row],[uren / jaar weekend]]*Tariefsopbouw!$D$40</f>
        <v>0</v>
      </c>
      <c r="AF479" s="66">
        <f>Ruimtestaat[[#This Row],[Prest. (m2 /jaar) weekend]]+Ruimtestaat[[#This Row],[Prest. (m2 /jaar) werkdagen]]</f>
        <v>2000</v>
      </c>
      <c r="AG479" s="66">
        <f>Ruimtestaat[[#This Row],[uren / jaar weekend]]+Ruimtestaat[[#This Row],[uren / jaar werkdagen]]</f>
        <v>0</v>
      </c>
      <c r="AH479" s="67">
        <f>Ruimtestaat[[#This Row],[kosten / jaar weekend]]+Ruimtestaat[[#This Row],[kosten / jaar werkdagen]]</f>
        <v>0</v>
      </c>
    </row>
    <row r="480" spans="1:34" ht="15" customHeight="1">
      <c r="A480" s="112">
        <v>3</v>
      </c>
      <c r="B480" s="23" t="str">
        <f>VLOOKUP(Ruimtestaat[[#This Row],[Code]],Locaties[#All],2,FALSE)</f>
        <v>RSG N.O. Veluwe</v>
      </c>
      <c r="C480" s="23" t="str">
        <f>VLOOKUP(Ruimtestaat[[#This Row],[Code]],Locaties[#All],4,FALSE)</f>
        <v>Schotweg 1</v>
      </c>
      <c r="D480" s="23" t="str">
        <f>VLOOKUP(Ruimtestaat[[#This Row],[Code]],Locaties[#All],5,FALSE)</f>
        <v>8162 GM</v>
      </c>
      <c r="E480" s="23" t="str">
        <f>VLOOKUP(Ruimtestaat[[#This Row],[Code]],Locaties[#All],6,FALSE)</f>
        <v>Epe</v>
      </c>
      <c r="F480" s="23" t="s">
        <v>1111</v>
      </c>
      <c r="G480" s="60"/>
      <c r="H480" s="23" t="s">
        <v>1298</v>
      </c>
      <c r="I480" s="23" t="s">
        <v>1163</v>
      </c>
      <c r="J480" s="3" t="s">
        <v>1188</v>
      </c>
      <c r="K480" s="23">
        <v>5</v>
      </c>
      <c r="L480" s="60" t="str">
        <f>VLOOKUP(K480,Ruimtegroepen[],2,FALSE)</f>
        <v>Sanitair</v>
      </c>
      <c r="M480" s="23" t="s">
        <v>113</v>
      </c>
      <c r="N480" s="23" t="s">
        <v>1302</v>
      </c>
      <c r="O480" s="86">
        <v>8</v>
      </c>
      <c r="P480" s="86"/>
      <c r="Q480" s="95" t="str">
        <f>LEFT(VLOOKUP(Ruimtestaat[[#This Row],[Ruimte code]],Ruimtegroepen[#All],4,1),2)</f>
        <v xml:space="preserve">S </v>
      </c>
      <c r="R480" s="95"/>
      <c r="S480" s="87">
        <v>40</v>
      </c>
      <c r="T480" s="87" t="s">
        <v>2</v>
      </c>
      <c r="U480" s="88">
        <f>IF(S480&gt;0,IF(RIGHT(Ruimtestaat[[#This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80" s="88">
        <f>IF(U480&gt;0,VLOOKUP($K480,Ruimtegroepen[],3,FALSE)*VLOOKUP($M480,Vloersoorten[],3,FALSE)*VLOOKUP($T480,Frequenties[],3,FALSE)*VLOOKUP($A480,Locaties[],3,FALSE),0)</f>
        <v>0</v>
      </c>
      <c r="W480" s="89">
        <f>Ruimtestaat[[#This Row],[Uitvoeringen werkdagen]]*Ruimtestaat[[#This Row],[Oppervlak (netto)]]</f>
        <v>1600</v>
      </c>
      <c r="X480" s="90">
        <f>IF(V480&gt;0,Ruimtestaat[[#This Row],[Prest. (m2 /jaar) werkdagen]]/Ruimtestaat[[#This Row],[Norm (m2/uur) werkdagen]],0)</f>
        <v>0</v>
      </c>
      <c r="Y480" s="91">
        <f>Ruimtestaat[[#This Row],[uren / jaar werkdagen]]*Tariefsopbouw!$E$35</f>
        <v>0</v>
      </c>
      <c r="Z480" s="88"/>
      <c r="AA480" s="92">
        <f>IF(Ruimtestaat[[#This Row],[Frequentie weekend]]&gt;0,VALUE(LEFT(Z480,1))*S480,0)</f>
        <v>0</v>
      </c>
      <c r="AB480" s="88">
        <f>IF($AA480&gt;0,VLOOKUP($K480,Ruimtegroepen[],3,FALSE)*VLOOKUP($M480,Vloersoorten[],3,FALSE)*VLOOKUP($Z480,Frequenties[],3,FALSE)*VLOOKUP(#REF!,Locaties[],3,FALSE),0)</f>
        <v>0</v>
      </c>
      <c r="AC480" s="90">
        <f>Ruimtestaat[[#This Row],[Uitvoeringen weekend]]*Ruimtestaat[[#This Row],[Oppervlak (netto)]]</f>
        <v>0</v>
      </c>
      <c r="AD480" s="93">
        <f>IF(AC480&gt;0,Ruimtestaat[[#This Row],[Prest. (m2 /jaar) weekend]]/Ruimtestaat[[#This Row],[Norm (m2/uur) weekend]],0)</f>
        <v>0</v>
      </c>
      <c r="AE480" s="94">
        <f>Ruimtestaat[[#This Row],[uren / jaar weekend]]*Tariefsopbouw!$D$40</f>
        <v>0</v>
      </c>
      <c r="AF480" s="66">
        <f>Ruimtestaat[[#This Row],[Prest. (m2 /jaar) weekend]]+Ruimtestaat[[#This Row],[Prest. (m2 /jaar) werkdagen]]</f>
        <v>1600</v>
      </c>
      <c r="AG480" s="66">
        <f>Ruimtestaat[[#This Row],[uren / jaar weekend]]+Ruimtestaat[[#This Row],[uren / jaar werkdagen]]</f>
        <v>0</v>
      </c>
      <c r="AH480" s="67">
        <f>Ruimtestaat[[#This Row],[kosten / jaar weekend]]+Ruimtestaat[[#This Row],[kosten / jaar werkdagen]]</f>
        <v>0</v>
      </c>
    </row>
    <row r="481" spans="1:34" ht="15" customHeight="1">
      <c r="A481" s="112">
        <v>3</v>
      </c>
      <c r="B481" s="23" t="str">
        <f>VLOOKUP(Ruimtestaat[[#This Row],[Code]],Locaties[#All],2,FALSE)</f>
        <v>RSG N.O. Veluwe</v>
      </c>
      <c r="C481" s="23" t="str">
        <f>VLOOKUP(Ruimtestaat[[#This Row],[Code]],Locaties[#All],4,FALSE)</f>
        <v>Schotweg 1</v>
      </c>
      <c r="D481" s="23" t="str">
        <f>VLOOKUP(Ruimtestaat[[#This Row],[Code]],Locaties[#All],5,FALSE)</f>
        <v>8162 GM</v>
      </c>
      <c r="E481" s="23" t="str">
        <f>VLOOKUP(Ruimtestaat[[#This Row],[Code]],Locaties[#All],6,FALSE)</f>
        <v>Epe</v>
      </c>
      <c r="F481" s="23" t="s">
        <v>1111</v>
      </c>
      <c r="G481" s="60"/>
      <c r="H481" s="23" t="s">
        <v>1298</v>
      </c>
      <c r="I481" s="23" t="s">
        <v>1164</v>
      </c>
      <c r="J481" s="3" t="s">
        <v>1119</v>
      </c>
      <c r="K481" s="23">
        <v>2</v>
      </c>
      <c r="L481" s="60" t="str">
        <f>VLOOKUP(K481,Ruimtegroepen[],2,FALSE)</f>
        <v>Kantoren</v>
      </c>
      <c r="M481" s="23" t="s">
        <v>1094</v>
      </c>
      <c r="N481" s="23" t="s">
        <v>1095</v>
      </c>
      <c r="O481" s="86">
        <v>20</v>
      </c>
      <c r="P481" s="86"/>
      <c r="Q481" s="95" t="str">
        <f>LEFT(VLOOKUP(Ruimtestaat[[#This Row],[Ruimte code]],Ruimtegroepen[#All],4,1),2)</f>
        <v xml:space="preserve">B </v>
      </c>
      <c r="R481" s="95"/>
      <c r="S481" s="87">
        <v>42</v>
      </c>
      <c r="T481" s="87" t="s">
        <v>2</v>
      </c>
      <c r="U481" s="88">
        <f>IF(S481&gt;0,IF(RIGHT(Ruimtestaat[[#This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81" s="88">
        <f>IF(U481&gt;0,VLOOKUP($K481,Ruimtegroepen[],3,FALSE)*VLOOKUP($M481,Vloersoorten[],3,FALSE)*VLOOKUP($T481,Frequenties[],3,FALSE)*VLOOKUP($A481,Locaties[],3,FALSE),0)</f>
        <v>0</v>
      </c>
      <c r="W481" s="89">
        <f>Ruimtestaat[[#This Row],[Uitvoeringen werkdagen]]*Ruimtestaat[[#This Row],[Oppervlak (netto)]]</f>
        <v>4200</v>
      </c>
      <c r="X481" s="90">
        <f>IF(V481&gt;0,Ruimtestaat[[#This Row],[Prest. (m2 /jaar) werkdagen]]/Ruimtestaat[[#This Row],[Norm (m2/uur) werkdagen]],0)</f>
        <v>0</v>
      </c>
      <c r="Y481" s="91">
        <f>Ruimtestaat[[#This Row],[uren / jaar werkdagen]]*Tariefsopbouw!$E$35</f>
        <v>0</v>
      </c>
      <c r="Z481" s="88"/>
      <c r="AA481" s="92">
        <f>IF(Ruimtestaat[[#This Row],[Frequentie weekend]]&gt;0,VALUE(LEFT(Z481,1))*S481,0)</f>
        <v>0</v>
      </c>
      <c r="AB481" s="88">
        <f>IF($AA481&gt;0,VLOOKUP($K481,Ruimtegroepen[],3,FALSE)*VLOOKUP($M481,Vloersoorten[],3,FALSE)*VLOOKUP($Z481,Frequenties[],3,FALSE)*VLOOKUP(#REF!,Locaties[],3,FALSE),0)</f>
        <v>0</v>
      </c>
      <c r="AC481" s="90">
        <f>Ruimtestaat[[#This Row],[Uitvoeringen weekend]]*Ruimtestaat[[#This Row],[Oppervlak (netto)]]</f>
        <v>0</v>
      </c>
      <c r="AD481" s="93">
        <f>IF(AC481&gt;0,Ruimtestaat[[#This Row],[Prest. (m2 /jaar) weekend]]/Ruimtestaat[[#This Row],[Norm (m2/uur) weekend]],0)</f>
        <v>0</v>
      </c>
      <c r="AE481" s="94">
        <f>Ruimtestaat[[#This Row],[uren / jaar weekend]]*Tariefsopbouw!$D$40</f>
        <v>0</v>
      </c>
      <c r="AF481" s="66">
        <f>Ruimtestaat[[#This Row],[Prest. (m2 /jaar) weekend]]+Ruimtestaat[[#This Row],[Prest. (m2 /jaar) werkdagen]]</f>
        <v>4200</v>
      </c>
      <c r="AG481" s="66">
        <f>Ruimtestaat[[#This Row],[uren / jaar weekend]]+Ruimtestaat[[#This Row],[uren / jaar werkdagen]]</f>
        <v>0</v>
      </c>
      <c r="AH481" s="67">
        <f>Ruimtestaat[[#This Row],[kosten / jaar weekend]]+Ruimtestaat[[#This Row],[kosten / jaar werkdagen]]</f>
        <v>0</v>
      </c>
    </row>
    <row r="482" spans="1:34" ht="15" customHeight="1">
      <c r="A482" s="112">
        <v>3</v>
      </c>
      <c r="B482" s="23" t="str">
        <f>VLOOKUP(Ruimtestaat[[#This Row],[Code]],Locaties[#All],2,FALSE)</f>
        <v>RSG N.O. Veluwe</v>
      </c>
      <c r="C482" s="23" t="str">
        <f>VLOOKUP(Ruimtestaat[[#This Row],[Code]],Locaties[#All],4,FALSE)</f>
        <v>Schotweg 1</v>
      </c>
      <c r="D482" s="23" t="str">
        <f>VLOOKUP(Ruimtestaat[[#This Row],[Code]],Locaties[#All],5,FALSE)</f>
        <v>8162 GM</v>
      </c>
      <c r="E482" s="23" t="str">
        <f>VLOOKUP(Ruimtestaat[[#This Row],[Code]],Locaties[#All],6,FALSE)</f>
        <v>Epe</v>
      </c>
      <c r="F482" s="23" t="s">
        <v>1111</v>
      </c>
      <c r="G482" s="60"/>
      <c r="H482" s="23" t="s">
        <v>1298</v>
      </c>
      <c r="I482" s="23" t="s">
        <v>1166</v>
      </c>
      <c r="J482" s="3" t="s">
        <v>1218</v>
      </c>
      <c r="K482" s="23">
        <v>2</v>
      </c>
      <c r="L482" s="60" t="str">
        <f>VLOOKUP(K482,Ruimtegroepen[],2,FALSE)</f>
        <v>Kantoren</v>
      </c>
      <c r="M482" s="23" t="s">
        <v>1300</v>
      </c>
      <c r="N482" s="23" t="s">
        <v>1301</v>
      </c>
      <c r="O482" s="86">
        <v>20</v>
      </c>
      <c r="P482" s="86"/>
      <c r="Q482" s="95" t="str">
        <f>LEFT(VLOOKUP(Ruimtestaat[[#This Row],[Ruimte code]],Ruimtegroepen[#All],4,1),2)</f>
        <v xml:space="preserve">B </v>
      </c>
      <c r="R482" s="95"/>
      <c r="S482" s="87">
        <v>42</v>
      </c>
      <c r="T482" s="87" t="s">
        <v>2</v>
      </c>
      <c r="U482" s="88">
        <f>IF(S482&gt;0,IF(RIGHT(Ruimtestaat[[#This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82" s="88">
        <f>IF(U482&gt;0,VLOOKUP($K482,Ruimtegroepen[],3,FALSE)*VLOOKUP($M482,Vloersoorten[],3,FALSE)*VLOOKUP($T482,Frequenties[],3,FALSE)*VLOOKUP($A482,Locaties[],3,FALSE),0)</f>
        <v>0</v>
      </c>
      <c r="W482" s="89">
        <f>Ruimtestaat[[#This Row],[Uitvoeringen werkdagen]]*Ruimtestaat[[#This Row],[Oppervlak (netto)]]</f>
        <v>4200</v>
      </c>
      <c r="X482" s="90">
        <f>IF(V482&gt;0,Ruimtestaat[[#This Row],[Prest. (m2 /jaar) werkdagen]]/Ruimtestaat[[#This Row],[Norm (m2/uur) werkdagen]],0)</f>
        <v>0</v>
      </c>
      <c r="Y482" s="91">
        <f>Ruimtestaat[[#This Row],[uren / jaar werkdagen]]*Tariefsopbouw!$E$35</f>
        <v>0</v>
      </c>
      <c r="Z482" s="88"/>
      <c r="AA482" s="92">
        <f>IF(Ruimtestaat[[#This Row],[Frequentie weekend]]&gt;0,VALUE(LEFT(Z482,1))*S482,0)</f>
        <v>0</v>
      </c>
      <c r="AB482" s="88">
        <f>IF($AA482&gt;0,VLOOKUP($K482,Ruimtegroepen[],3,FALSE)*VLOOKUP($M482,Vloersoorten[],3,FALSE)*VLOOKUP($Z482,Frequenties[],3,FALSE)*VLOOKUP(#REF!,Locaties[],3,FALSE),0)</f>
        <v>0</v>
      </c>
      <c r="AC482" s="90">
        <f>Ruimtestaat[[#This Row],[Uitvoeringen weekend]]*Ruimtestaat[[#This Row],[Oppervlak (netto)]]</f>
        <v>0</v>
      </c>
      <c r="AD482" s="93">
        <f>IF(AC482&gt;0,Ruimtestaat[[#This Row],[Prest. (m2 /jaar) weekend]]/Ruimtestaat[[#This Row],[Norm (m2/uur) weekend]],0)</f>
        <v>0</v>
      </c>
      <c r="AE482" s="94">
        <f>Ruimtestaat[[#This Row],[uren / jaar weekend]]*Tariefsopbouw!$D$40</f>
        <v>0</v>
      </c>
      <c r="AF482" s="66">
        <f>Ruimtestaat[[#This Row],[Prest. (m2 /jaar) weekend]]+Ruimtestaat[[#This Row],[Prest. (m2 /jaar) werkdagen]]</f>
        <v>4200</v>
      </c>
      <c r="AG482" s="66">
        <f>Ruimtestaat[[#This Row],[uren / jaar weekend]]+Ruimtestaat[[#This Row],[uren / jaar werkdagen]]</f>
        <v>0</v>
      </c>
      <c r="AH482" s="67">
        <f>Ruimtestaat[[#This Row],[kosten / jaar weekend]]+Ruimtestaat[[#This Row],[kosten / jaar werkdagen]]</f>
        <v>0</v>
      </c>
    </row>
    <row r="483" spans="1:34" ht="15" customHeight="1">
      <c r="A483" s="112">
        <v>3</v>
      </c>
      <c r="B483" s="23" t="str">
        <f>VLOOKUP(Ruimtestaat[[#This Row],[Code]],Locaties[#All],2,FALSE)</f>
        <v>RSG N.O. Veluwe</v>
      </c>
      <c r="C483" s="23" t="str">
        <f>VLOOKUP(Ruimtestaat[[#This Row],[Code]],Locaties[#All],4,FALSE)</f>
        <v>Schotweg 1</v>
      </c>
      <c r="D483" s="23" t="str">
        <f>VLOOKUP(Ruimtestaat[[#This Row],[Code]],Locaties[#All],5,FALSE)</f>
        <v>8162 GM</v>
      </c>
      <c r="E483" s="23" t="str">
        <f>VLOOKUP(Ruimtestaat[[#This Row],[Code]],Locaties[#All],6,FALSE)</f>
        <v>Epe</v>
      </c>
      <c r="F483" s="23" t="s">
        <v>1111</v>
      </c>
      <c r="G483" s="60"/>
      <c r="H483" s="23" t="s">
        <v>1298</v>
      </c>
      <c r="J483" s="3" t="s">
        <v>1219</v>
      </c>
      <c r="K483" s="23">
        <v>6</v>
      </c>
      <c r="L483" s="60" t="str">
        <f>VLOOKUP(K483,Ruimtegroepen[],2,FALSE)</f>
        <v>Gangen/hallen</v>
      </c>
      <c r="M483" s="23" t="s">
        <v>1300</v>
      </c>
      <c r="N483" s="23" t="s">
        <v>1301</v>
      </c>
      <c r="O483" s="86">
        <v>75</v>
      </c>
      <c r="P483" s="86"/>
      <c r="Q483" s="95" t="str">
        <f>LEFT(VLOOKUP(Ruimtestaat[[#This Row],[Ruimte code]],Ruimtegroepen[#All],4,1),2)</f>
        <v xml:space="preserve">V </v>
      </c>
      <c r="R483" s="95"/>
      <c r="S483" s="87">
        <v>42</v>
      </c>
      <c r="T483" s="87" t="s">
        <v>2</v>
      </c>
      <c r="U483" s="88">
        <f>IF(S483&gt;0,IF(RIGHT(Ruimtestaat[[#This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83" s="88">
        <f>IF(U483&gt;0,VLOOKUP($K483,Ruimtegroepen[],3,FALSE)*VLOOKUP($M483,Vloersoorten[],3,FALSE)*VLOOKUP($T483,Frequenties[],3,FALSE)*VLOOKUP($A483,Locaties[],3,FALSE),0)</f>
        <v>0</v>
      </c>
      <c r="W483" s="89">
        <f>Ruimtestaat[[#This Row],[Uitvoeringen werkdagen]]*Ruimtestaat[[#This Row],[Oppervlak (netto)]]</f>
        <v>15750</v>
      </c>
      <c r="X483" s="90">
        <f>IF(V483&gt;0,Ruimtestaat[[#This Row],[Prest. (m2 /jaar) werkdagen]]/Ruimtestaat[[#This Row],[Norm (m2/uur) werkdagen]],0)</f>
        <v>0</v>
      </c>
      <c r="Y483" s="91">
        <f>Ruimtestaat[[#This Row],[uren / jaar werkdagen]]*Tariefsopbouw!$E$35</f>
        <v>0</v>
      </c>
      <c r="Z483" s="88"/>
      <c r="AA483" s="92">
        <f>IF(Ruimtestaat[[#This Row],[Frequentie weekend]]&gt;0,VALUE(LEFT(Z483,1))*S483,0)</f>
        <v>0</v>
      </c>
      <c r="AB483" s="88">
        <f>IF($AA483&gt;0,VLOOKUP($K483,Ruimtegroepen[],3,FALSE)*VLOOKUP($M483,Vloersoorten[],3,FALSE)*VLOOKUP($Z483,Frequenties[],3,FALSE)*VLOOKUP(#REF!,Locaties[],3,FALSE),0)</f>
        <v>0</v>
      </c>
      <c r="AC483" s="90">
        <f>Ruimtestaat[[#This Row],[Uitvoeringen weekend]]*Ruimtestaat[[#This Row],[Oppervlak (netto)]]</f>
        <v>0</v>
      </c>
      <c r="AD483" s="93">
        <f>IF(AC483&gt;0,Ruimtestaat[[#This Row],[Prest. (m2 /jaar) weekend]]/Ruimtestaat[[#This Row],[Norm (m2/uur) weekend]],0)</f>
        <v>0</v>
      </c>
      <c r="AE483" s="94">
        <f>Ruimtestaat[[#This Row],[uren / jaar weekend]]*Tariefsopbouw!$D$40</f>
        <v>0</v>
      </c>
      <c r="AF483" s="66">
        <f>Ruimtestaat[[#This Row],[Prest. (m2 /jaar) weekend]]+Ruimtestaat[[#This Row],[Prest. (m2 /jaar) werkdagen]]</f>
        <v>15750</v>
      </c>
      <c r="AG483" s="66">
        <f>Ruimtestaat[[#This Row],[uren / jaar weekend]]+Ruimtestaat[[#This Row],[uren / jaar werkdagen]]</f>
        <v>0</v>
      </c>
      <c r="AH483" s="67">
        <f>Ruimtestaat[[#This Row],[kosten / jaar weekend]]+Ruimtestaat[[#This Row],[kosten / jaar werkdagen]]</f>
        <v>0</v>
      </c>
    </row>
    <row r="484" spans="1:34" ht="15" customHeight="1">
      <c r="A484" s="112">
        <v>3</v>
      </c>
      <c r="B484" s="23" t="str">
        <f>VLOOKUP(Ruimtestaat[[#This Row],[Code]],Locaties[#All],2,FALSE)</f>
        <v>RSG N.O. Veluwe</v>
      </c>
      <c r="C484" s="23" t="str">
        <f>VLOOKUP(Ruimtestaat[[#This Row],[Code]],Locaties[#All],4,FALSE)</f>
        <v>Schotweg 1</v>
      </c>
      <c r="D484" s="23" t="str">
        <f>VLOOKUP(Ruimtestaat[[#This Row],[Code]],Locaties[#All],5,FALSE)</f>
        <v>8162 GM</v>
      </c>
      <c r="E484" s="23" t="str">
        <f>VLOOKUP(Ruimtestaat[[#This Row],[Code]],Locaties[#All],6,FALSE)</f>
        <v>Epe</v>
      </c>
      <c r="F484" s="23" t="s">
        <v>1111</v>
      </c>
      <c r="G484" s="60"/>
      <c r="H484" s="23" t="s">
        <v>1298</v>
      </c>
      <c r="J484" s="3" t="s">
        <v>1220</v>
      </c>
      <c r="K484" s="23">
        <v>10</v>
      </c>
      <c r="L484" s="60" t="str">
        <f>VLOOKUP(K484,Ruimtegroepen[],2,FALSE)</f>
        <v>Trappenhuizen/lift</v>
      </c>
      <c r="M484" s="23" t="s">
        <v>113</v>
      </c>
      <c r="N484" s="23" t="s">
        <v>1092</v>
      </c>
      <c r="O484" s="86">
        <v>20</v>
      </c>
      <c r="P484" s="86"/>
      <c r="Q484" s="95" t="str">
        <f>LEFT(VLOOKUP(Ruimtestaat[[#This Row],[Ruimte code]],Ruimtegroepen[#All],4,1),2)</f>
        <v xml:space="preserve">V </v>
      </c>
      <c r="R484" s="95"/>
      <c r="S484" s="87">
        <v>42</v>
      </c>
      <c r="T484" s="87" t="s">
        <v>2</v>
      </c>
      <c r="U484" s="88">
        <f>IF(S484&gt;0,IF(RIGHT(Ruimtestaat[[#This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84" s="88">
        <f>IF(U484&gt;0,VLOOKUP($K484,Ruimtegroepen[],3,FALSE)*VLOOKUP($M484,Vloersoorten[],3,FALSE)*VLOOKUP($T484,Frequenties[],3,FALSE)*VLOOKUP($A484,Locaties[],3,FALSE),0)</f>
        <v>0</v>
      </c>
      <c r="W484" s="89">
        <f>Ruimtestaat[[#This Row],[Uitvoeringen werkdagen]]*Ruimtestaat[[#This Row],[Oppervlak (netto)]]</f>
        <v>4200</v>
      </c>
      <c r="X484" s="90">
        <f>IF(V484&gt;0,Ruimtestaat[[#This Row],[Prest. (m2 /jaar) werkdagen]]/Ruimtestaat[[#This Row],[Norm (m2/uur) werkdagen]],0)</f>
        <v>0</v>
      </c>
      <c r="Y484" s="91">
        <f>Ruimtestaat[[#This Row],[uren / jaar werkdagen]]*Tariefsopbouw!$E$35</f>
        <v>0</v>
      </c>
      <c r="Z484" s="88"/>
      <c r="AA484" s="92">
        <f>IF(Ruimtestaat[[#This Row],[Frequentie weekend]]&gt;0,VALUE(LEFT(Z484,1))*S484,0)</f>
        <v>0</v>
      </c>
      <c r="AB484" s="88">
        <f>IF($AA484&gt;0,VLOOKUP($K484,Ruimtegroepen[],3,FALSE)*VLOOKUP($M484,Vloersoorten[],3,FALSE)*VLOOKUP($Z484,Frequenties[],3,FALSE)*VLOOKUP(#REF!,Locaties[],3,FALSE),0)</f>
        <v>0</v>
      </c>
      <c r="AC484" s="90">
        <f>Ruimtestaat[[#This Row],[Uitvoeringen weekend]]*Ruimtestaat[[#This Row],[Oppervlak (netto)]]</f>
        <v>0</v>
      </c>
      <c r="AD484" s="93">
        <f>IF(AC484&gt;0,Ruimtestaat[[#This Row],[Prest. (m2 /jaar) weekend]]/Ruimtestaat[[#This Row],[Norm (m2/uur) weekend]],0)</f>
        <v>0</v>
      </c>
      <c r="AE484" s="94">
        <f>Ruimtestaat[[#This Row],[uren / jaar weekend]]*Tariefsopbouw!$D$40</f>
        <v>0</v>
      </c>
      <c r="AF484" s="66">
        <f>Ruimtestaat[[#This Row],[Prest. (m2 /jaar) weekend]]+Ruimtestaat[[#This Row],[Prest. (m2 /jaar) werkdagen]]</f>
        <v>4200</v>
      </c>
      <c r="AG484" s="66">
        <f>Ruimtestaat[[#This Row],[uren / jaar weekend]]+Ruimtestaat[[#This Row],[uren / jaar werkdagen]]</f>
        <v>0</v>
      </c>
      <c r="AH484" s="67">
        <f>Ruimtestaat[[#This Row],[kosten / jaar weekend]]+Ruimtestaat[[#This Row],[kosten / jaar werkdagen]]</f>
        <v>0</v>
      </c>
    </row>
    <row r="485" spans="1:34" ht="15" customHeight="1">
      <c r="A485" s="112">
        <v>3</v>
      </c>
      <c r="B485" s="23" t="str">
        <f>VLOOKUP(Ruimtestaat[[#This Row],[Code]],Locaties[#All],2,FALSE)</f>
        <v>RSG N.O. Veluwe</v>
      </c>
      <c r="C485" s="23" t="str">
        <f>VLOOKUP(Ruimtestaat[[#This Row],[Code]],Locaties[#All],4,FALSE)</f>
        <v>Schotweg 1</v>
      </c>
      <c r="D485" s="23" t="str">
        <f>VLOOKUP(Ruimtestaat[[#This Row],[Code]],Locaties[#All],5,FALSE)</f>
        <v>8162 GM</v>
      </c>
      <c r="E485" s="23" t="str">
        <f>VLOOKUP(Ruimtestaat[[#This Row],[Code]],Locaties[#All],6,FALSE)</f>
        <v>Epe</v>
      </c>
      <c r="F485" s="23" t="s">
        <v>1111</v>
      </c>
      <c r="G485" s="60"/>
      <c r="H485" s="23" t="s">
        <v>1298</v>
      </c>
      <c r="J485" s="3" t="s">
        <v>1221</v>
      </c>
      <c r="K485" s="23">
        <v>6</v>
      </c>
      <c r="L485" s="60" t="str">
        <f>VLOOKUP(K485,Ruimtegroepen[],2,FALSE)</f>
        <v>Gangen/hallen</v>
      </c>
      <c r="M485" s="23" t="s">
        <v>1300</v>
      </c>
      <c r="N485" s="23" t="s">
        <v>1301</v>
      </c>
      <c r="O485" s="86">
        <v>135</v>
      </c>
      <c r="P485" s="86"/>
      <c r="Q485" s="95" t="str">
        <f>LEFT(VLOOKUP(Ruimtestaat[[#This Row],[Ruimte code]],Ruimtegroepen[#All],4,1),2)</f>
        <v xml:space="preserve">V </v>
      </c>
      <c r="R485" s="95"/>
      <c r="S485" s="87">
        <v>42</v>
      </c>
      <c r="T485" s="87" t="s">
        <v>2</v>
      </c>
      <c r="U485" s="88">
        <f>IF(S485&gt;0,IF(RIGHT(Ruimtestaat[[#This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85" s="88">
        <f>IF(U485&gt;0,VLOOKUP($K485,Ruimtegroepen[],3,FALSE)*VLOOKUP($M485,Vloersoorten[],3,FALSE)*VLOOKUP($T485,Frequenties[],3,FALSE)*VLOOKUP($A485,Locaties[],3,FALSE),0)</f>
        <v>0</v>
      </c>
      <c r="W485" s="89">
        <f>Ruimtestaat[[#This Row],[Uitvoeringen werkdagen]]*Ruimtestaat[[#This Row],[Oppervlak (netto)]]</f>
        <v>28350</v>
      </c>
      <c r="X485" s="90">
        <f>IF(V485&gt;0,Ruimtestaat[[#This Row],[Prest. (m2 /jaar) werkdagen]]/Ruimtestaat[[#This Row],[Norm (m2/uur) werkdagen]],0)</f>
        <v>0</v>
      </c>
      <c r="Y485" s="91">
        <f>Ruimtestaat[[#This Row],[uren / jaar werkdagen]]*Tariefsopbouw!$E$35</f>
        <v>0</v>
      </c>
      <c r="Z485" s="88"/>
      <c r="AA485" s="92">
        <f>IF(Ruimtestaat[[#This Row],[Frequentie weekend]]&gt;0,VALUE(LEFT(Z485,1))*S485,0)</f>
        <v>0</v>
      </c>
      <c r="AB485" s="88">
        <f>IF($AA485&gt;0,VLOOKUP($K485,Ruimtegroepen[],3,FALSE)*VLOOKUP($M485,Vloersoorten[],3,FALSE)*VLOOKUP($Z485,Frequenties[],3,FALSE)*VLOOKUP(#REF!,Locaties[],3,FALSE),0)</f>
        <v>0</v>
      </c>
      <c r="AC485" s="90">
        <f>Ruimtestaat[[#This Row],[Uitvoeringen weekend]]*Ruimtestaat[[#This Row],[Oppervlak (netto)]]</f>
        <v>0</v>
      </c>
      <c r="AD485" s="93">
        <f>IF(AC485&gt;0,Ruimtestaat[[#This Row],[Prest. (m2 /jaar) weekend]]/Ruimtestaat[[#This Row],[Norm (m2/uur) weekend]],0)</f>
        <v>0</v>
      </c>
      <c r="AE485" s="94">
        <f>Ruimtestaat[[#This Row],[uren / jaar weekend]]*Tariefsopbouw!$D$40</f>
        <v>0</v>
      </c>
      <c r="AF485" s="66">
        <f>Ruimtestaat[[#This Row],[Prest. (m2 /jaar) weekend]]+Ruimtestaat[[#This Row],[Prest. (m2 /jaar) werkdagen]]</f>
        <v>28350</v>
      </c>
      <c r="AG485" s="66">
        <f>Ruimtestaat[[#This Row],[uren / jaar weekend]]+Ruimtestaat[[#This Row],[uren / jaar werkdagen]]</f>
        <v>0</v>
      </c>
      <c r="AH485" s="67">
        <f>Ruimtestaat[[#This Row],[kosten / jaar weekend]]+Ruimtestaat[[#This Row],[kosten / jaar werkdagen]]</f>
        <v>0</v>
      </c>
    </row>
    <row r="486" spans="1:34" ht="15" customHeight="1">
      <c r="A486" s="112">
        <v>3</v>
      </c>
      <c r="B486" s="23" t="str">
        <f>VLOOKUP(Ruimtestaat[[#This Row],[Code]],Locaties[#All],2,FALSE)</f>
        <v>RSG N.O. Veluwe</v>
      </c>
      <c r="C486" s="23" t="str">
        <f>VLOOKUP(Ruimtestaat[[#This Row],[Code]],Locaties[#All],4,FALSE)</f>
        <v>Schotweg 1</v>
      </c>
      <c r="D486" s="23" t="str">
        <f>VLOOKUP(Ruimtestaat[[#This Row],[Code]],Locaties[#All],5,FALSE)</f>
        <v>8162 GM</v>
      </c>
      <c r="E486" s="23" t="str">
        <f>VLOOKUP(Ruimtestaat[[#This Row],[Code]],Locaties[#All],6,FALSE)</f>
        <v>Epe</v>
      </c>
      <c r="F486" s="23" t="s">
        <v>1111</v>
      </c>
      <c r="G486" s="60"/>
      <c r="H486" s="23" t="s">
        <v>1298</v>
      </c>
      <c r="J486" s="3" t="s">
        <v>1222</v>
      </c>
      <c r="K486" s="23">
        <v>6</v>
      </c>
      <c r="L486" s="60" t="str">
        <f>VLOOKUP(K486,Ruimtegroepen[],2,FALSE)</f>
        <v>Gangen/hallen</v>
      </c>
      <c r="M486" s="23" t="s">
        <v>1300</v>
      </c>
      <c r="N486" s="23" t="s">
        <v>1301</v>
      </c>
      <c r="O486" s="86">
        <v>48</v>
      </c>
      <c r="P486" s="86"/>
      <c r="Q486" s="95" t="str">
        <f>LEFT(VLOOKUP(Ruimtestaat[[#This Row],[Ruimte code]],Ruimtegroepen[#All],4,1),2)</f>
        <v xml:space="preserve">V </v>
      </c>
      <c r="R486" s="95"/>
      <c r="S486" s="87">
        <v>42</v>
      </c>
      <c r="T486" s="87" t="s">
        <v>2</v>
      </c>
      <c r="U486" s="88">
        <f>IF(S486&gt;0,IF(RIGHT(Ruimtestaat[[#This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86" s="88">
        <f>IF(U486&gt;0,VLOOKUP($K486,Ruimtegroepen[],3,FALSE)*VLOOKUP($M486,Vloersoorten[],3,FALSE)*VLOOKUP($T486,Frequenties[],3,FALSE)*VLOOKUP($A486,Locaties[],3,FALSE),0)</f>
        <v>0</v>
      </c>
      <c r="W486" s="89">
        <f>Ruimtestaat[[#This Row],[Uitvoeringen werkdagen]]*Ruimtestaat[[#This Row],[Oppervlak (netto)]]</f>
        <v>10080</v>
      </c>
      <c r="X486" s="90">
        <f>IF(V486&gt;0,Ruimtestaat[[#This Row],[Prest. (m2 /jaar) werkdagen]]/Ruimtestaat[[#This Row],[Norm (m2/uur) werkdagen]],0)</f>
        <v>0</v>
      </c>
      <c r="Y486" s="91">
        <f>Ruimtestaat[[#This Row],[uren / jaar werkdagen]]*Tariefsopbouw!$E$35</f>
        <v>0</v>
      </c>
      <c r="Z486" s="88"/>
      <c r="AA486" s="92">
        <f>IF(Ruimtestaat[[#This Row],[Frequentie weekend]]&gt;0,VALUE(LEFT(Z486,1))*S486,0)</f>
        <v>0</v>
      </c>
      <c r="AB486" s="88">
        <f>IF($AA486&gt;0,VLOOKUP($K486,Ruimtegroepen[],3,FALSE)*VLOOKUP($M486,Vloersoorten[],3,FALSE)*VLOOKUP($Z486,Frequenties[],3,FALSE)*VLOOKUP(#REF!,Locaties[],3,FALSE),0)</f>
        <v>0</v>
      </c>
      <c r="AC486" s="90">
        <f>Ruimtestaat[[#This Row],[Uitvoeringen weekend]]*Ruimtestaat[[#This Row],[Oppervlak (netto)]]</f>
        <v>0</v>
      </c>
      <c r="AD486" s="93">
        <f>IF(AC486&gt;0,Ruimtestaat[[#This Row],[Prest. (m2 /jaar) weekend]]/Ruimtestaat[[#This Row],[Norm (m2/uur) weekend]],0)</f>
        <v>0</v>
      </c>
      <c r="AE486" s="94">
        <f>Ruimtestaat[[#This Row],[uren / jaar weekend]]*Tariefsopbouw!$D$40</f>
        <v>0</v>
      </c>
      <c r="AF486" s="66">
        <f>Ruimtestaat[[#This Row],[Prest. (m2 /jaar) weekend]]+Ruimtestaat[[#This Row],[Prest. (m2 /jaar) werkdagen]]</f>
        <v>10080</v>
      </c>
      <c r="AG486" s="66">
        <f>Ruimtestaat[[#This Row],[uren / jaar weekend]]+Ruimtestaat[[#This Row],[uren / jaar werkdagen]]</f>
        <v>0</v>
      </c>
      <c r="AH486" s="67">
        <f>Ruimtestaat[[#This Row],[kosten / jaar weekend]]+Ruimtestaat[[#This Row],[kosten / jaar werkdagen]]</f>
        <v>0</v>
      </c>
    </row>
    <row r="487" spans="1:34" ht="15" customHeight="1">
      <c r="A487" s="112">
        <v>3</v>
      </c>
      <c r="B487" s="23" t="str">
        <f>VLOOKUP(Ruimtestaat[[#This Row],[Code]],Locaties[#All],2,FALSE)</f>
        <v>RSG N.O. Veluwe</v>
      </c>
      <c r="C487" s="23" t="str">
        <f>VLOOKUP(Ruimtestaat[[#This Row],[Code]],Locaties[#All],4,FALSE)</f>
        <v>Schotweg 1</v>
      </c>
      <c r="D487" s="23" t="str">
        <f>VLOOKUP(Ruimtestaat[[#This Row],[Code]],Locaties[#All],5,FALSE)</f>
        <v>8162 GM</v>
      </c>
      <c r="E487" s="23" t="str">
        <f>VLOOKUP(Ruimtestaat[[#This Row],[Code]],Locaties[#All],6,FALSE)</f>
        <v>Epe</v>
      </c>
      <c r="F487" s="23" t="s">
        <v>1108</v>
      </c>
      <c r="G487" s="60"/>
      <c r="H487" s="23" t="s">
        <v>1299</v>
      </c>
      <c r="I487" s="23" t="s">
        <v>1223</v>
      </c>
      <c r="J487" s="3" t="s">
        <v>1031</v>
      </c>
      <c r="K487" s="23">
        <v>23</v>
      </c>
      <c r="L487" s="60" t="str">
        <f>VLOOKUP(K487,Ruimtegroepen[],2,FALSE)</f>
        <v>Niet in onderhoud</v>
      </c>
      <c r="M487" s="23" t="s">
        <v>1300</v>
      </c>
      <c r="N487" s="23" t="s">
        <v>1301</v>
      </c>
      <c r="O487" s="86"/>
      <c r="P487" s="86">
        <v>6</v>
      </c>
      <c r="Q487" s="95" t="str">
        <f>LEFT(VLOOKUP(Ruimtestaat[[#This Row],[Ruimte code]],Ruimtegroepen[#All],4,1),2)</f>
        <v/>
      </c>
      <c r="R487" s="95"/>
      <c r="S487" s="87"/>
      <c r="T487" s="87"/>
      <c r="U487" s="88">
        <f>IF(S487&gt;0,IF(RIGHT(Ruimtestaat[[#This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487" s="88">
        <f>IF(U487&gt;0,VLOOKUP($K487,Ruimtegroepen[],3,FALSE)*VLOOKUP($M487,Vloersoorten[],3,FALSE)*VLOOKUP($T487,Frequenties[],3,FALSE)*VLOOKUP($A487,Locaties[],3,FALSE),0)</f>
        <v>0</v>
      </c>
      <c r="W487" s="89">
        <f>Ruimtestaat[[#This Row],[Uitvoeringen werkdagen]]*Ruimtestaat[[#This Row],[Oppervlak (netto)]]</f>
        <v>0</v>
      </c>
      <c r="X487" s="90">
        <f>IF(V487&gt;0,Ruimtestaat[[#This Row],[Prest. (m2 /jaar) werkdagen]]/Ruimtestaat[[#This Row],[Norm (m2/uur) werkdagen]],0)</f>
        <v>0</v>
      </c>
      <c r="Y487" s="91">
        <f>Ruimtestaat[[#This Row],[uren / jaar werkdagen]]*Tariefsopbouw!$E$35</f>
        <v>0</v>
      </c>
      <c r="Z487" s="88"/>
      <c r="AA487" s="92">
        <f>IF(Ruimtestaat[[#This Row],[Frequentie weekend]]&gt;0,VALUE(LEFT(Z487,1))*S487,0)</f>
        <v>0</v>
      </c>
      <c r="AB487" s="88">
        <f>IF($AA487&gt;0,VLOOKUP($K487,Ruimtegroepen[],3,FALSE)*VLOOKUP($M487,Vloersoorten[],3,FALSE)*VLOOKUP($Z487,Frequenties[],3,FALSE)*VLOOKUP(#REF!,Locaties[],3,FALSE),0)</f>
        <v>0</v>
      </c>
      <c r="AC487" s="90">
        <f>Ruimtestaat[[#This Row],[Uitvoeringen weekend]]*Ruimtestaat[[#This Row],[Oppervlak (netto)]]</f>
        <v>0</v>
      </c>
      <c r="AD487" s="93">
        <f>IF(AC487&gt;0,Ruimtestaat[[#This Row],[Prest. (m2 /jaar) weekend]]/Ruimtestaat[[#This Row],[Norm (m2/uur) weekend]],0)</f>
        <v>0</v>
      </c>
      <c r="AE487" s="94">
        <f>Ruimtestaat[[#This Row],[uren / jaar weekend]]*Tariefsopbouw!$D$40</f>
        <v>0</v>
      </c>
      <c r="AF487" s="66">
        <f>Ruimtestaat[[#This Row],[Prest. (m2 /jaar) weekend]]+Ruimtestaat[[#This Row],[Prest. (m2 /jaar) werkdagen]]</f>
        <v>0</v>
      </c>
      <c r="AG487" s="66">
        <f>Ruimtestaat[[#This Row],[uren / jaar weekend]]+Ruimtestaat[[#This Row],[uren / jaar werkdagen]]</f>
        <v>0</v>
      </c>
      <c r="AH487" s="67">
        <f>Ruimtestaat[[#This Row],[kosten / jaar weekend]]+Ruimtestaat[[#This Row],[kosten / jaar werkdagen]]</f>
        <v>0</v>
      </c>
    </row>
    <row r="488" spans="1:34" ht="15" customHeight="1">
      <c r="A488" s="112">
        <v>3</v>
      </c>
      <c r="B488" s="23" t="str">
        <f>VLOOKUP(Ruimtestaat[[#This Row],[Code]],Locaties[#All],2,FALSE)</f>
        <v>RSG N.O. Veluwe</v>
      </c>
      <c r="C488" s="23" t="str">
        <f>VLOOKUP(Ruimtestaat[[#This Row],[Code]],Locaties[#All],4,FALSE)</f>
        <v>Schotweg 1</v>
      </c>
      <c r="D488" s="23" t="str">
        <f>VLOOKUP(Ruimtestaat[[#This Row],[Code]],Locaties[#All],5,FALSE)</f>
        <v>8162 GM</v>
      </c>
      <c r="E488" s="23" t="str">
        <f>VLOOKUP(Ruimtestaat[[#This Row],[Code]],Locaties[#All],6,FALSE)</f>
        <v>Epe</v>
      </c>
      <c r="F488" s="23" t="s">
        <v>1108</v>
      </c>
      <c r="G488" s="60"/>
      <c r="H488" s="23" t="s">
        <v>1299</v>
      </c>
      <c r="I488" s="23" t="s">
        <v>1224</v>
      </c>
      <c r="J488" s="3" t="s">
        <v>1154</v>
      </c>
      <c r="K488" s="23">
        <v>23</v>
      </c>
      <c r="L488" s="60" t="str">
        <f>VLOOKUP(K488,Ruimtegroepen[],2,FALSE)</f>
        <v>Niet in onderhoud</v>
      </c>
      <c r="M488" s="23" t="s">
        <v>113</v>
      </c>
      <c r="N488" s="23" t="s">
        <v>1092</v>
      </c>
      <c r="O488" s="86"/>
      <c r="P488" s="86">
        <v>75</v>
      </c>
      <c r="Q488" s="95" t="str">
        <f>LEFT(VLOOKUP(Ruimtestaat[[#This Row],[Ruimte code]],Ruimtegroepen[#All],4,1),2)</f>
        <v/>
      </c>
      <c r="R488" s="95"/>
      <c r="S488" s="87"/>
      <c r="T488" s="87"/>
      <c r="U488" s="88">
        <f>IF(S488&gt;0,IF(RIGHT(Ruimtestaat[[#This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488" s="88">
        <f>IF(U488&gt;0,VLOOKUP($K488,Ruimtegroepen[],3,FALSE)*VLOOKUP($M488,Vloersoorten[],3,FALSE)*VLOOKUP($T488,Frequenties[],3,FALSE)*VLOOKUP($A488,Locaties[],3,FALSE),0)</f>
        <v>0</v>
      </c>
      <c r="W488" s="89">
        <f>Ruimtestaat[[#This Row],[Uitvoeringen werkdagen]]*Ruimtestaat[[#This Row],[Oppervlak (netto)]]</f>
        <v>0</v>
      </c>
      <c r="X488" s="90">
        <f>IF(V488&gt;0,Ruimtestaat[[#This Row],[Prest. (m2 /jaar) werkdagen]]/Ruimtestaat[[#This Row],[Norm (m2/uur) werkdagen]],0)</f>
        <v>0</v>
      </c>
      <c r="Y488" s="91">
        <f>Ruimtestaat[[#This Row],[uren / jaar werkdagen]]*Tariefsopbouw!$E$35</f>
        <v>0</v>
      </c>
      <c r="Z488" s="88"/>
      <c r="AA488" s="92">
        <f>IF(Ruimtestaat[[#This Row],[Frequentie weekend]]&gt;0,VALUE(LEFT(Z488,1))*S488,0)</f>
        <v>0</v>
      </c>
      <c r="AB488" s="88">
        <f>IF($AA488&gt;0,VLOOKUP($K488,Ruimtegroepen[],3,FALSE)*VLOOKUP($M488,Vloersoorten[],3,FALSE)*VLOOKUP($Z488,Frequenties[],3,FALSE)*VLOOKUP(#REF!,Locaties[],3,FALSE),0)</f>
        <v>0</v>
      </c>
      <c r="AC488" s="90">
        <f>Ruimtestaat[[#This Row],[Uitvoeringen weekend]]*Ruimtestaat[[#This Row],[Oppervlak (netto)]]</f>
        <v>0</v>
      </c>
      <c r="AD488" s="93">
        <f>IF(AC488&gt;0,Ruimtestaat[[#This Row],[Prest. (m2 /jaar) weekend]]/Ruimtestaat[[#This Row],[Norm (m2/uur) weekend]],0)</f>
        <v>0</v>
      </c>
      <c r="AE488" s="94">
        <f>Ruimtestaat[[#This Row],[uren / jaar weekend]]*Tariefsopbouw!$D$40</f>
        <v>0</v>
      </c>
      <c r="AF488" s="66">
        <f>Ruimtestaat[[#This Row],[Prest. (m2 /jaar) weekend]]+Ruimtestaat[[#This Row],[Prest. (m2 /jaar) werkdagen]]</f>
        <v>0</v>
      </c>
      <c r="AG488" s="66">
        <f>Ruimtestaat[[#This Row],[uren / jaar weekend]]+Ruimtestaat[[#This Row],[uren / jaar werkdagen]]</f>
        <v>0</v>
      </c>
      <c r="AH488" s="67">
        <f>Ruimtestaat[[#This Row],[kosten / jaar weekend]]+Ruimtestaat[[#This Row],[kosten / jaar werkdagen]]</f>
        <v>0</v>
      </c>
    </row>
    <row r="489" spans="1:34" ht="15" customHeight="1">
      <c r="A489" s="112">
        <v>3</v>
      </c>
      <c r="B489" s="23" t="str">
        <f>VLOOKUP(Ruimtestaat[[#This Row],[Code]],Locaties[#All],2,FALSE)</f>
        <v>RSG N.O. Veluwe</v>
      </c>
      <c r="C489" s="23" t="str">
        <f>VLOOKUP(Ruimtestaat[[#This Row],[Code]],Locaties[#All],4,FALSE)</f>
        <v>Schotweg 1</v>
      </c>
      <c r="D489" s="23" t="str">
        <f>VLOOKUP(Ruimtestaat[[#This Row],[Code]],Locaties[#All],5,FALSE)</f>
        <v>8162 GM</v>
      </c>
      <c r="E489" s="23" t="str">
        <f>VLOOKUP(Ruimtestaat[[#This Row],[Code]],Locaties[#All],6,FALSE)</f>
        <v>Epe</v>
      </c>
      <c r="F489" s="23" t="s">
        <v>1108</v>
      </c>
      <c r="G489" s="60"/>
      <c r="H489" s="23" t="s">
        <v>1299</v>
      </c>
      <c r="I489" s="23" t="s">
        <v>1225</v>
      </c>
      <c r="J489" s="3" t="s">
        <v>1136</v>
      </c>
      <c r="K489" s="23">
        <v>5</v>
      </c>
      <c r="L489" s="60" t="str">
        <f>VLOOKUP(K489,Ruimtegroepen[],2,FALSE)</f>
        <v>Sanitair</v>
      </c>
      <c r="M489" s="23" t="s">
        <v>113</v>
      </c>
      <c r="N489" s="23" t="s">
        <v>1091</v>
      </c>
      <c r="O489" s="86">
        <v>22</v>
      </c>
      <c r="P489" s="86"/>
      <c r="Q489" s="95" t="str">
        <f>LEFT(VLOOKUP(Ruimtestaat[[#This Row],[Ruimte code]],Ruimtegroepen[#All],4,1),2)</f>
        <v xml:space="preserve">S </v>
      </c>
      <c r="R489" s="95"/>
      <c r="S489" s="87">
        <v>40</v>
      </c>
      <c r="T489" s="87" t="s">
        <v>2</v>
      </c>
      <c r="U489" s="88">
        <f>IF(S489&gt;0,IF(RIGHT(Ruimtestaat[[#This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89" s="88">
        <f>IF(U489&gt;0,VLOOKUP($K489,Ruimtegroepen[],3,FALSE)*VLOOKUP($M489,Vloersoorten[],3,FALSE)*VLOOKUP($T489,Frequenties[],3,FALSE)*VLOOKUP($A489,Locaties[],3,FALSE),0)</f>
        <v>0</v>
      </c>
      <c r="W489" s="89">
        <f>Ruimtestaat[[#This Row],[Uitvoeringen werkdagen]]*Ruimtestaat[[#This Row],[Oppervlak (netto)]]</f>
        <v>4400</v>
      </c>
      <c r="X489" s="90">
        <f>IF(V489&gt;0,Ruimtestaat[[#This Row],[Prest. (m2 /jaar) werkdagen]]/Ruimtestaat[[#This Row],[Norm (m2/uur) werkdagen]],0)</f>
        <v>0</v>
      </c>
      <c r="Y489" s="91">
        <f>Ruimtestaat[[#This Row],[uren / jaar werkdagen]]*Tariefsopbouw!$E$35</f>
        <v>0</v>
      </c>
      <c r="Z489" s="88"/>
      <c r="AA489" s="92">
        <f>IF(Ruimtestaat[[#This Row],[Frequentie weekend]]&gt;0,VALUE(LEFT(Z489,1))*S489,0)</f>
        <v>0</v>
      </c>
      <c r="AB489" s="88">
        <f>IF($AA489&gt;0,VLOOKUP($K489,Ruimtegroepen[],3,FALSE)*VLOOKUP($M489,Vloersoorten[],3,FALSE)*VLOOKUP($Z489,Frequenties[],3,FALSE)*VLOOKUP(#REF!,Locaties[],3,FALSE),0)</f>
        <v>0</v>
      </c>
      <c r="AC489" s="90">
        <f>Ruimtestaat[[#This Row],[Uitvoeringen weekend]]*Ruimtestaat[[#This Row],[Oppervlak (netto)]]</f>
        <v>0</v>
      </c>
      <c r="AD489" s="93">
        <f>IF(AC489&gt;0,Ruimtestaat[[#This Row],[Prest. (m2 /jaar) weekend]]/Ruimtestaat[[#This Row],[Norm (m2/uur) weekend]],0)</f>
        <v>0</v>
      </c>
      <c r="AE489" s="94">
        <f>Ruimtestaat[[#This Row],[uren / jaar weekend]]*Tariefsopbouw!$D$40</f>
        <v>0</v>
      </c>
      <c r="AF489" s="66">
        <f>Ruimtestaat[[#This Row],[Prest. (m2 /jaar) weekend]]+Ruimtestaat[[#This Row],[Prest. (m2 /jaar) werkdagen]]</f>
        <v>4400</v>
      </c>
      <c r="AG489" s="66">
        <f>Ruimtestaat[[#This Row],[uren / jaar weekend]]+Ruimtestaat[[#This Row],[uren / jaar werkdagen]]</f>
        <v>0</v>
      </c>
      <c r="AH489" s="67">
        <f>Ruimtestaat[[#This Row],[kosten / jaar weekend]]+Ruimtestaat[[#This Row],[kosten / jaar werkdagen]]</f>
        <v>0</v>
      </c>
    </row>
    <row r="490" spans="1:34" ht="15" customHeight="1">
      <c r="A490" s="112">
        <v>3</v>
      </c>
      <c r="B490" s="23" t="str">
        <f>VLOOKUP(Ruimtestaat[[#This Row],[Code]],Locaties[#All],2,FALSE)</f>
        <v>RSG N.O. Veluwe</v>
      </c>
      <c r="C490" s="23" t="str">
        <f>VLOOKUP(Ruimtestaat[[#This Row],[Code]],Locaties[#All],4,FALSE)</f>
        <v>Schotweg 1</v>
      </c>
      <c r="D490" s="23" t="str">
        <f>VLOOKUP(Ruimtestaat[[#This Row],[Code]],Locaties[#All],5,FALSE)</f>
        <v>8162 GM</v>
      </c>
      <c r="E490" s="23" t="str">
        <f>VLOOKUP(Ruimtestaat[[#This Row],[Code]],Locaties[#All],6,FALSE)</f>
        <v>Epe</v>
      </c>
      <c r="F490" s="23" t="s">
        <v>1108</v>
      </c>
      <c r="G490" s="60"/>
      <c r="H490" s="23" t="s">
        <v>1299</v>
      </c>
      <c r="I490" s="23" t="s">
        <v>1226</v>
      </c>
      <c r="J490" s="3" t="s">
        <v>1149</v>
      </c>
      <c r="K490" s="23">
        <v>5</v>
      </c>
      <c r="L490" s="60" t="str">
        <f>VLOOKUP(K490,Ruimtegroepen[],2,FALSE)</f>
        <v>Sanitair</v>
      </c>
      <c r="M490" s="23" t="s">
        <v>113</v>
      </c>
      <c r="N490" s="23" t="s">
        <v>1091</v>
      </c>
      <c r="O490" s="86">
        <v>22</v>
      </c>
      <c r="P490" s="86"/>
      <c r="Q490" s="95" t="str">
        <f>LEFT(VLOOKUP(Ruimtestaat[[#This Row],[Ruimte code]],Ruimtegroepen[#All],4,1),2)</f>
        <v xml:space="preserve">S </v>
      </c>
      <c r="R490" s="95"/>
      <c r="S490" s="87">
        <v>40</v>
      </c>
      <c r="T490" s="87" t="s">
        <v>2</v>
      </c>
      <c r="U490" s="88">
        <f>IF(S490&gt;0,IF(RIGHT(Ruimtestaat[[#This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90" s="88">
        <f>IF(U490&gt;0,VLOOKUP($K490,Ruimtegroepen[],3,FALSE)*VLOOKUP($M490,Vloersoorten[],3,FALSE)*VLOOKUP($T490,Frequenties[],3,FALSE)*VLOOKUP($A490,Locaties[],3,FALSE),0)</f>
        <v>0</v>
      </c>
      <c r="W490" s="89">
        <f>Ruimtestaat[[#This Row],[Uitvoeringen werkdagen]]*Ruimtestaat[[#This Row],[Oppervlak (netto)]]</f>
        <v>4400</v>
      </c>
      <c r="X490" s="90">
        <f>IF(V490&gt;0,Ruimtestaat[[#This Row],[Prest. (m2 /jaar) werkdagen]]/Ruimtestaat[[#This Row],[Norm (m2/uur) werkdagen]],0)</f>
        <v>0</v>
      </c>
      <c r="Y490" s="91">
        <f>Ruimtestaat[[#This Row],[uren / jaar werkdagen]]*Tariefsopbouw!$E$35</f>
        <v>0</v>
      </c>
      <c r="Z490" s="88"/>
      <c r="AA490" s="92">
        <f>IF(Ruimtestaat[[#This Row],[Frequentie weekend]]&gt;0,VALUE(LEFT(Z490,1))*S490,0)</f>
        <v>0</v>
      </c>
      <c r="AB490" s="88">
        <f>IF($AA490&gt;0,VLOOKUP($K490,Ruimtegroepen[],3,FALSE)*VLOOKUP($M490,Vloersoorten[],3,FALSE)*VLOOKUP($Z490,Frequenties[],3,FALSE)*VLOOKUP(#REF!,Locaties[],3,FALSE),0)</f>
        <v>0</v>
      </c>
      <c r="AC490" s="90">
        <f>Ruimtestaat[[#This Row],[Uitvoeringen weekend]]*Ruimtestaat[[#This Row],[Oppervlak (netto)]]</f>
        <v>0</v>
      </c>
      <c r="AD490" s="93">
        <f>IF(AC490&gt;0,Ruimtestaat[[#This Row],[Prest. (m2 /jaar) weekend]]/Ruimtestaat[[#This Row],[Norm (m2/uur) weekend]],0)</f>
        <v>0</v>
      </c>
      <c r="AE490" s="94">
        <f>Ruimtestaat[[#This Row],[uren / jaar weekend]]*Tariefsopbouw!$D$40</f>
        <v>0</v>
      </c>
      <c r="AF490" s="66">
        <f>Ruimtestaat[[#This Row],[Prest. (m2 /jaar) weekend]]+Ruimtestaat[[#This Row],[Prest. (m2 /jaar) werkdagen]]</f>
        <v>4400</v>
      </c>
      <c r="AG490" s="66">
        <f>Ruimtestaat[[#This Row],[uren / jaar weekend]]+Ruimtestaat[[#This Row],[uren / jaar werkdagen]]</f>
        <v>0</v>
      </c>
      <c r="AH490" s="67">
        <f>Ruimtestaat[[#This Row],[kosten / jaar weekend]]+Ruimtestaat[[#This Row],[kosten / jaar werkdagen]]</f>
        <v>0</v>
      </c>
    </row>
    <row r="491" spans="1:34" ht="15" customHeight="1">
      <c r="A491" s="112">
        <v>3</v>
      </c>
      <c r="B491" s="23" t="str">
        <f>VLOOKUP(Ruimtestaat[[#This Row],[Code]],Locaties[#All],2,FALSE)</f>
        <v>RSG N.O. Veluwe</v>
      </c>
      <c r="C491" s="23" t="str">
        <f>VLOOKUP(Ruimtestaat[[#This Row],[Code]],Locaties[#All],4,FALSE)</f>
        <v>Schotweg 1</v>
      </c>
      <c r="D491" s="23" t="str">
        <f>VLOOKUP(Ruimtestaat[[#This Row],[Code]],Locaties[#All],5,FALSE)</f>
        <v>8162 GM</v>
      </c>
      <c r="E491" s="23" t="str">
        <f>VLOOKUP(Ruimtestaat[[#This Row],[Code]],Locaties[#All],6,FALSE)</f>
        <v>Epe</v>
      </c>
      <c r="F491" s="23" t="s">
        <v>1108</v>
      </c>
      <c r="G491" s="60"/>
      <c r="H491" s="23" t="s">
        <v>1299</v>
      </c>
      <c r="I491" s="23" t="s">
        <v>1227</v>
      </c>
      <c r="J491" s="3" t="s">
        <v>1228</v>
      </c>
      <c r="K491" s="23">
        <v>2</v>
      </c>
      <c r="L491" s="60" t="str">
        <f>VLOOKUP(K491,Ruimtegroepen[],2,FALSE)</f>
        <v>Kantoren</v>
      </c>
      <c r="M491" s="23" t="s">
        <v>1094</v>
      </c>
      <c r="N491" s="23" t="s">
        <v>1095</v>
      </c>
      <c r="O491" s="86">
        <v>27</v>
      </c>
      <c r="P491" s="86"/>
      <c r="Q491" s="95" t="str">
        <f>LEFT(VLOOKUP(Ruimtestaat[[#This Row],[Ruimte code]],Ruimtegroepen[#All],4,1),2)</f>
        <v xml:space="preserve">B </v>
      </c>
      <c r="R491" s="95"/>
      <c r="S491" s="87">
        <v>42</v>
      </c>
      <c r="T491" s="87" t="s">
        <v>2</v>
      </c>
      <c r="U491" s="88">
        <f>IF(S491&gt;0,IF(RIGHT(Ruimtestaat[[#This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91" s="88">
        <f>IF(U491&gt;0,VLOOKUP($K491,Ruimtegroepen[],3,FALSE)*VLOOKUP($M491,Vloersoorten[],3,FALSE)*VLOOKUP($T491,Frequenties[],3,FALSE)*VLOOKUP($A491,Locaties[],3,FALSE),0)</f>
        <v>0</v>
      </c>
      <c r="W491" s="89">
        <f>Ruimtestaat[[#This Row],[Uitvoeringen werkdagen]]*Ruimtestaat[[#This Row],[Oppervlak (netto)]]</f>
        <v>5670</v>
      </c>
      <c r="X491" s="90">
        <f>IF(V491&gt;0,Ruimtestaat[[#This Row],[Prest. (m2 /jaar) werkdagen]]/Ruimtestaat[[#This Row],[Norm (m2/uur) werkdagen]],0)</f>
        <v>0</v>
      </c>
      <c r="Y491" s="91">
        <f>Ruimtestaat[[#This Row],[uren / jaar werkdagen]]*Tariefsopbouw!$E$35</f>
        <v>0</v>
      </c>
      <c r="Z491" s="88"/>
      <c r="AA491" s="92">
        <f>IF(Ruimtestaat[[#This Row],[Frequentie weekend]]&gt;0,VALUE(LEFT(Z491,1))*S491,0)</f>
        <v>0</v>
      </c>
      <c r="AB491" s="88">
        <f>IF($AA491&gt;0,VLOOKUP($K491,Ruimtegroepen[],3,FALSE)*VLOOKUP($M491,Vloersoorten[],3,FALSE)*VLOOKUP($Z491,Frequenties[],3,FALSE)*VLOOKUP(#REF!,Locaties[],3,FALSE),0)</f>
        <v>0</v>
      </c>
      <c r="AC491" s="90">
        <f>Ruimtestaat[[#This Row],[Uitvoeringen weekend]]*Ruimtestaat[[#This Row],[Oppervlak (netto)]]</f>
        <v>0</v>
      </c>
      <c r="AD491" s="93">
        <f>IF(AC491&gt;0,Ruimtestaat[[#This Row],[Prest. (m2 /jaar) weekend]]/Ruimtestaat[[#This Row],[Norm (m2/uur) weekend]],0)</f>
        <v>0</v>
      </c>
      <c r="AE491" s="94">
        <f>Ruimtestaat[[#This Row],[uren / jaar weekend]]*Tariefsopbouw!$D$40</f>
        <v>0</v>
      </c>
      <c r="AF491" s="66">
        <f>Ruimtestaat[[#This Row],[Prest. (m2 /jaar) weekend]]+Ruimtestaat[[#This Row],[Prest. (m2 /jaar) werkdagen]]</f>
        <v>5670</v>
      </c>
      <c r="AG491" s="66">
        <f>Ruimtestaat[[#This Row],[uren / jaar weekend]]+Ruimtestaat[[#This Row],[uren / jaar werkdagen]]</f>
        <v>0</v>
      </c>
      <c r="AH491" s="67">
        <f>Ruimtestaat[[#This Row],[kosten / jaar weekend]]+Ruimtestaat[[#This Row],[kosten / jaar werkdagen]]</f>
        <v>0</v>
      </c>
    </row>
    <row r="492" spans="1:34" ht="15" customHeight="1">
      <c r="A492" s="112">
        <v>3</v>
      </c>
      <c r="B492" s="23" t="str">
        <f>VLOOKUP(Ruimtestaat[[#This Row],[Code]],Locaties[#All],2,FALSE)</f>
        <v>RSG N.O. Veluwe</v>
      </c>
      <c r="C492" s="23" t="str">
        <f>VLOOKUP(Ruimtestaat[[#This Row],[Code]],Locaties[#All],4,FALSE)</f>
        <v>Schotweg 1</v>
      </c>
      <c r="D492" s="23" t="str">
        <f>VLOOKUP(Ruimtestaat[[#This Row],[Code]],Locaties[#All],5,FALSE)</f>
        <v>8162 GM</v>
      </c>
      <c r="E492" s="23" t="str">
        <f>VLOOKUP(Ruimtestaat[[#This Row],[Code]],Locaties[#All],6,FALSE)</f>
        <v>Epe</v>
      </c>
      <c r="F492" s="23" t="s">
        <v>1108</v>
      </c>
      <c r="G492" s="60"/>
      <c r="H492" s="23" t="s">
        <v>1299</v>
      </c>
      <c r="J492" s="3" t="s">
        <v>1229</v>
      </c>
      <c r="K492" s="23">
        <v>6</v>
      </c>
      <c r="L492" s="60" t="str">
        <f>VLOOKUP(K492,Ruimtegroepen[],2,FALSE)</f>
        <v>Gangen/hallen</v>
      </c>
      <c r="M492" s="23" t="s">
        <v>1300</v>
      </c>
      <c r="N492" s="23" t="s">
        <v>1301</v>
      </c>
      <c r="O492" s="86">
        <v>90</v>
      </c>
      <c r="P492" s="86"/>
      <c r="Q492" s="95" t="str">
        <f>LEFT(VLOOKUP(Ruimtestaat[[#This Row],[Ruimte code]],Ruimtegroepen[#All],4,1),2)</f>
        <v xml:space="preserve">V </v>
      </c>
      <c r="R492" s="95"/>
      <c r="S492" s="87">
        <v>42</v>
      </c>
      <c r="T492" s="87" t="s">
        <v>2</v>
      </c>
      <c r="U492" s="88">
        <f>IF(S492&gt;0,IF(RIGHT(Ruimtestaat[[#This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92" s="88">
        <f>IF(U492&gt;0,VLOOKUP($K492,Ruimtegroepen[],3,FALSE)*VLOOKUP($M492,Vloersoorten[],3,FALSE)*VLOOKUP($T492,Frequenties[],3,FALSE)*VLOOKUP($A492,Locaties[],3,FALSE),0)</f>
        <v>0</v>
      </c>
      <c r="W492" s="89">
        <f>Ruimtestaat[[#This Row],[Uitvoeringen werkdagen]]*Ruimtestaat[[#This Row],[Oppervlak (netto)]]</f>
        <v>18900</v>
      </c>
      <c r="X492" s="90">
        <f>IF(V492&gt;0,Ruimtestaat[[#This Row],[Prest. (m2 /jaar) werkdagen]]/Ruimtestaat[[#This Row],[Norm (m2/uur) werkdagen]],0)</f>
        <v>0</v>
      </c>
      <c r="Y492" s="91">
        <f>Ruimtestaat[[#This Row],[uren / jaar werkdagen]]*Tariefsopbouw!$E$35</f>
        <v>0</v>
      </c>
      <c r="Z492" s="88"/>
      <c r="AA492" s="92">
        <f>IF(Ruimtestaat[[#This Row],[Frequentie weekend]]&gt;0,VALUE(LEFT(Z492,1))*S492,0)</f>
        <v>0</v>
      </c>
      <c r="AB492" s="88">
        <f>IF($AA492&gt;0,VLOOKUP($K492,Ruimtegroepen[],3,FALSE)*VLOOKUP($M492,Vloersoorten[],3,FALSE)*VLOOKUP($Z492,Frequenties[],3,FALSE)*VLOOKUP(#REF!,Locaties[],3,FALSE),0)</f>
        <v>0</v>
      </c>
      <c r="AC492" s="90">
        <f>Ruimtestaat[[#This Row],[Uitvoeringen weekend]]*Ruimtestaat[[#This Row],[Oppervlak (netto)]]</f>
        <v>0</v>
      </c>
      <c r="AD492" s="93">
        <f>IF(AC492&gt;0,Ruimtestaat[[#This Row],[Prest. (m2 /jaar) weekend]]/Ruimtestaat[[#This Row],[Norm (m2/uur) weekend]],0)</f>
        <v>0</v>
      </c>
      <c r="AE492" s="94">
        <f>Ruimtestaat[[#This Row],[uren / jaar weekend]]*Tariefsopbouw!$D$40</f>
        <v>0</v>
      </c>
      <c r="AF492" s="66">
        <f>Ruimtestaat[[#This Row],[Prest. (m2 /jaar) weekend]]+Ruimtestaat[[#This Row],[Prest. (m2 /jaar) werkdagen]]</f>
        <v>18900</v>
      </c>
      <c r="AG492" s="66">
        <f>Ruimtestaat[[#This Row],[uren / jaar weekend]]+Ruimtestaat[[#This Row],[uren / jaar werkdagen]]</f>
        <v>0</v>
      </c>
      <c r="AH492" s="67">
        <f>Ruimtestaat[[#This Row],[kosten / jaar weekend]]+Ruimtestaat[[#This Row],[kosten / jaar werkdagen]]</f>
        <v>0</v>
      </c>
    </row>
    <row r="493" spans="1:34" ht="15" customHeight="1">
      <c r="A493" s="112">
        <v>3</v>
      </c>
      <c r="B493" s="23" t="str">
        <f>VLOOKUP(Ruimtestaat[[#This Row],[Code]],Locaties[#All],2,FALSE)</f>
        <v>RSG N.O. Veluwe</v>
      </c>
      <c r="C493" s="23" t="str">
        <f>VLOOKUP(Ruimtestaat[[#This Row],[Code]],Locaties[#All],4,FALSE)</f>
        <v>Schotweg 1</v>
      </c>
      <c r="D493" s="23" t="str">
        <f>VLOOKUP(Ruimtestaat[[#This Row],[Code]],Locaties[#All],5,FALSE)</f>
        <v>8162 GM</v>
      </c>
      <c r="E493" s="23" t="str">
        <f>VLOOKUP(Ruimtestaat[[#This Row],[Code]],Locaties[#All],6,FALSE)</f>
        <v>Epe</v>
      </c>
      <c r="F493" s="23" t="s">
        <v>1108</v>
      </c>
      <c r="G493" s="60"/>
      <c r="H493" s="23" t="s">
        <v>1299</v>
      </c>
      <c r="J493" s="3" t="s">
        <v>1230</v>
      </c>
      <c r="K493" s="23">
        <v>10</v>
      </c>
      <c r="L493" s="60" t="str">
        <f>VLOOKUP(K493,Ruimtegroepen[],2,FALSE)</f>
        <v>Trappenhuizen/lift</v>
      </c>
      <c r="M493" s="23" t="s">
        <v>114</v>
      </c>
      <c r="N493" s="23" t="s">
        <v>1308</v>
      </c>
      <c r="O493" s="86">
        <v>16</v>
      </c>
      <c r="P493" s="86"/>
      <c r="Q493" s="95" t="str">
        <f>LEFT(VLOOKUP(Ruimtestaat[[#This Row],[Ruimte code]],Ruimtegroepen[#All],4,1),2)</f>
        <v xml:space="preserve">V </v>
      </c>
      <c r="R493" s="95"/>
      <c r="S493" s="87">
        <v>42</v>
      </c>
      <c r="T493" s="87" t="s">
        <v>2</v>
      </c>
      <c r="U493" s="88">
        <f>IF(S493&gt;0,IF(RIGHT(Ruimtestaat[[#This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93" s="88">
        <f>IF(U493&gt;0,VLOOKUP($K493,Ruimtegroepen[],3,FALSE)*VLOOKUP($M493,Vloersoorten[],3,FALSE)*VLOOKUP($T493,Frequenties[],3,FALSE)*VLOOKUP($A493,Locaties[],3,FALSE),0)</f>
        <v>0</v>
      </c>
      <c r="W493" s="89">
        <f>Ruimtestaat[[#This Row],[Uitvoeringen werkdagen]]*Ruimtestaat[[#This Row],[Oppervlak (netto)]]</f>
        <v>3360</v>
      </c>
      <c r="X493" s="90">
        <f>IF(V493&gt;0,Ruimtestaat[[#This Row],[Prest. (m2 /jaar) werkdagen]]/Ruimtestaat[[#This Row],[Norm (m2/uur) werkdagen]],0)</f>
        <v>0</v>
      </c>
      <c r="Y493" s="91">
        <f>Ruimtestaat[[#This Row],[uren / jaar werkdagen]]*Tariefsopbouw!$E$35</f>
        <v>0</v>
      </c>
      <c r="Z493" s="88"/>
      <c r="AA493" s="92">
        <f>IF(Ruimtestaat[[#This Row],[Frequentie weekend]]&gt;0,VALUE(LEFT(Z493,1))*S493,0)</f>
        <v>0</v>
      </c>
      <c r="AB493" s="88">
        <f>IF($AA493&gt;0,VLOOKUP($K493,Ruimtegroepen[],3,FALSE)*VLOOKUP($M493,Vloersoorten[],3,FALSE)*VLOOKUP($Z493,Frequenties[],3,FALSE)*VLOOKUP(#REF!,Locaties[],3,FALSE),0)</f>
        <v>0</v>
      </c>
      <c r="AC493" s="90">
        <f>Ruimtestaat[[#This Row],[Uitvoeringen weekend]]*Ruimtestaat[[#This Row],[Oppervlak (netto)]]</f>
        <v>0</v>
      </c>
      <c r="AD493" s="93">
        <f>IF(AC493&gt;0,Ruimtestaat[[#This Row],[Prest. (m2 /jaar) weekend]]/Ruimtestaat[[#This Row],[Norm (m2/uur) weekend]],0)</f>
        <v>0</v>
      </c>
      <c r="AE493" s="94">
        <f>Ruimtestaat[[#This Row],[uren / jaar weekend]]*Tariefsopbouw!$D$40</f>
        <v>0</v>
      </c>
      <c r="AF493" s="66">
        <f>Ruimtestaat[[#This Row],[Prest. (m2 /jaar) weekend]]+Ruimtestaat[[#This Row],[Prest. (m2 /jaar) werkdagen]]</f>
        <v>3360</v>
      </c>
      <c r="AG493" s="66">
        <f>Ruimtestaat[[#This Row],[uren / jaar weekend]]+Ruimtestaat[[#This Row],[uren / jaar werkdagen]]</f>
        <v>0</v>
      </c>
      <c r="AH493" s="67">
        <f>Ruimtestaat[[#This Row],[kosten / jaar weekend]]+Ruimtestaat[[#This Row],[kosten / jaar werkdagen]]</f>
        <v>0</v>
      </c>
    </row>
    <row r="494" spans="1:34" ht="15" customHeight="1">
      <c r="A494" s="112">
        <v>3</v>
      </c>
      <c r="B494" s="23" t="str">
        <f>VLOOKUP(Ruimtestaat[[#This Row],[Code]],Locaties[#All],2,FALSE)</f>
        <v>RSG N.O. Veluwe</v>
      </c>
      <c r="C494" s="23" t="str">
        <f>VLOOKUP(Ruimtestaat[[#This Row],[Code]],Locaties[#All],4,FALSE)</f>
        <v>Schotweg 1</v>
      </c>
      <c r="D494" s="23" t="str">
        <f>VLOOKUP(Ruimtestaat[[#This Row],[Code]],Locaties[#All],5,FALSE)</f>
        <v>8162 GM</v>
      </c>
      <c r="E494" s="23" t="str">
        <f>VLOOKUP(Ruimtestaat[[#This Row],[Code]],Locaties[#All],6,FALSE)</f>
        <v>Epe</v>
      </c>
      <c r="F494" s="23" t="s">
        <v>1109</v>
      </c>
      <c r="G494" s="60"/>
      <c r="H494" s="23" t="s">
        <v>1299</v>
      </c>
      <c r="I494" s="23" t="s">
        <v>1231</v>
      </c>
      <c r="J494" s="3" t="s">
        <v>1232</v>
      </c>
      <c r="K494" s="23">
        <v>16</v>
      </c>
      <c r="L494" s="60" t="str">
        <f>VLOOKUP(K494,Ruimtegroepen[],2,FALSE)</f>
        <v>Leslokalen theorie</v>
      </c>
      <c r="M494" s="23" t="s">
        <v>113</v>
      </c>
      <c r="N494" s="23" t="s">
        <v>1092</v>
      </c>
      <c r="O494" s="86">
        <v>24</v>
      </c>
      <c r="P494" s="86"/>
      <c r="Q494" s="95" t="str">
        <f>LEFT(VLOOKUP(Ruimtestaat[[#This Row],[Ruimte code]],Ruimtegroepen[#All],4,1),2)</f>
        <v xml:space="preserve">L </v>
      </c>
      <c r="R494" s="95"/>
      <c r="S494" s="87">
        <v>40</v>
      </c>
      <c r="T494" s="87" t="s">
        <v>2</v>
      </c>
      <c r="U494" s="88">
        <f>IF(S494&gt;0,IF(RIGHT(Ruimtestaat[[#This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94" s="88">
        <f>IF(U494&gt;0,VLOOKUP($K494,Ruimtegroepen[],3,FALSE)*VLOOKUP($M494,Vloersoorten[],3,FALSE)*VLOOKUP($T494,Frequenties[],3,FALSE)*VLOOKUP($A494,Locaties[],3,FALSE),0)</f>
        <v>0</v>
      </c>
      <c r="W494" s="89">
        <f>Ruimtestaat[[#This Row],[Uitvoeringen werkdagen]]*Ruimtestaat[[#This Row],[Oppervlak (netto)]]</f>
        <v>4800</v>
      </c>
      <c r="X494" s="90">
        <f>IF(V494&gt;0,Ruimtestaat[[#This Row],[Prest. (m2 /jaar) werkdagen]]/Ruimtestaat[[#This Row],[Norm (m2/uur) werkdagen]],0)</f>
        <v>0</v>
      </c>
      <c r="Y494" s="91">
        <f>Ruimtestaat[[#This Row],[uren / jaar werkdagen]]*Tariefsopbouw!$E$35</f>
        <v>0</v>
      </c>
      <c r="Z494" s="88"/>
      <c r="AA494" s="92">
        <f>IF(Ruimtestaat[[#This Row],[Frequentie weekend]]&gt;0,VALUE(LEFT(Z494,1))*S494,0)</f>
        <v>0</v>
      </c>
      <c r="AB494" s="88">
        <f>IF($AA494&gt;0,VLOOKUP($K494,Ruimtegroepen[],3,FALSE)*VLOOKUP($M494,Vloersoorten[],3,FALSE)*VLOOKUP($Z494,Frequenties[],3,FALSE)*VLOOKUP(#REF!,Locaties[],3,FALSE),0)</f>
        <v>0</v>
      </c>
      <c r="AC494" s="90">
        <f>Ruimtestaat[[#This Row],[Uitvoeringen weekend]]*Ruimtestaat[[#This Row],[Oppervlak (netto)]]</f>
        <v>0</v>
      </c>
      <c r="AD494" s="93">
        <f>IF(AC494&gt;0,Ruimtestaat[[#This Row],[Prest. (m2 /jaar) weekend]]/Ruimtestaat[[#This Row],[Norm (m2/uur) weekend]],0)</f>
        <v>0</v>
      </c>
      <c r="AE494" s="94">
        <f>Ruimtestaat[[#This Row],[uren / jaar weekend]]*Tariefsopbouw!$D$40</f>
        <v>0</v>
      </c>
      <c r="AF494" s="66">
        <f>Ruimtestaat[[#This Row],[Prest. (m2 /jaar) weekend]]+Ruimtestaat[[#This Row],[Prest. (m2 /jaar) werkdagen]]</f>
        <v>4800</v>
      </c>
      <c r="AG494" s="66">
        <f>Ruimtestaat[[#This Row],[uren / jaar weekend]]+Ruimtestaat[[#This Row],[uren / jaar werkdagen]]</f>
        <v>0</v>
      </c>
      <c r="AH494" s="67">
        <f>Ruimtestaat[[#This Row],[kosten / jaar weekend]]+Ruimtestaat[[#This Row],[kosten / jaar werkdagen]]</f>
        <v>0</v>
      </c>
    </row>
    <row r="495" spans="1:34" ht="15" customHeight="1">
      <c r="A495" s="112">
        <v>3</v>
      </c>
      <c r="B495" s="23" t="str">
        <f>VLOOKUP(Ruimtestaat[[#This Row],[Code]],Locaties[#All],2,FALSE)</f>
        <v>RSG N.O. Veluwe</v>
      </c>
      <c r="C495" s="23" t="str">
        <f>VLOOKUP(Ruimtestaat[[#This Row],[Code]],Locaties[#All],4,FALSE)</f>
        <v>Schotweg 1</v>
      </c>
      <c r="D495" s="23" t="str">
        <f>VLOOKUP(Ruimtestaat[[#This Row],[Code]],Locaties[#All],5,FALSE)</f>
        <v>8162 GM</v>
      </c>
      <c r="E495" s="23" t="str">
        <f>VLOOKUP(Ruimtestaat[[#This Row],[Code]],Locaties[#All],6,FALSE)</f>
        <v>Epe</v>
      </c>
      <c r="F495" s="23" t="s">
        <v>1109</v>
      </c>
      <c r="G495" s="60"/>
      <c r="H495" s="23" t="s">
        <v>1299</v>
      </c>
      <c r="I495" s="23" t="s">
        <v>1233</v>
      </c>
      <c r="J495" s="3" t="s">
        <v>1232</v>
      </c>
      <c r="K495" s="23">
        <v>16</v>
      </c>
      <c r="L495" s="60" t="str">
        <f>VLOOKUP(K495,Ruimtegroepen[],2,FALSE)</f>
        <v>Leslokalen theorie</v>
      </c>
      <c r="M495" s="23" t="s">
        <v>1300</v>
      </c>
      <c r="N495" s="23" t="s">
        <v>1301</v>
      </c>
      <c r="O495" s="86">
        <v>76</v>
      </c>
      <c r="P495" s="86"/>
      <c r="Q495" s="95" t="str">
        <f>LEFT(VLOOKUP(Ruimtestaat[[#This Row],[Ruimte code]],Ruimtegroepen[#All],4,1),2)</f>
        <v xml:space="preserve">L </v>
      </c>
      <c r="R495" s="95"/>
      <c r="S495" s="87">
        <v>40</v>
      </c>
      <c r="T495" s="87" t="s">
        <v>2</v>
      </c>
      <c r="U495" s="88">
        <f>IF(S495&gt;0,IF(RIGHT(Ruimtestaat[[#This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95" s="88">
        <f>IF(U495&gt;0,VLOOKUP($K495,Ruimtegroepen[],3,FALSE)*VLOOKUP($M495,Vloersoorten[],3,FALSE)*VLOOKUP($T495,Frequenties[],3,FALSE)*VLOOKUP($A495,Locaties[],3,FALSE),0)</f>
        <v>0</v>
      </c>
      <c r="W495" s="89">
        <f>Ruimtestaat[[#This Row],[Uitvoeringen werkdagen]]*Ruimtestaat[[#This Row],[Oppervlak (netto)]]</f>
        <v>15200</v>
      </c>
      <c r="X495" s="90">
        <f>IF(V495&gt;0,Ruimtestaat[[#This Row],[Prest. (m2 /jaar) werkdagen]]/Ruimtestaat[[#This Row],[Norm (m2/uur) werkdagen]],0)</f>
        <v>0</v>
      </c>
      <c r="Y495" s="91">
        <f>Ruimtestaat[[#This Row],[uren / jaar werkdagen]]*Tariefsopbouw!$E$35</f>
        <v>0</v>
      </c>
      <c r="Z495" s="88"/>
      <c r="AA495" s="92">
        <f>IF(Ruimtestaat[[#This Row],[Frequentie weekend]]&gt;0,VALUE(LEFT(Z495,1))*S495,0)</f>
        <v>0</v>
      </c>
      <c r="AB495" s="88">
        <f>IF($AA495&gt;0,VLOOKUP($K495,Ruimtegroepen[],3,FALSE)*VLOOKUP($M495,Vloersoorten[],3,FALSE)*VLOOKUP($Z495,Frequenties[],3,FALSE)*VLOOKUP(#REF!,Locaties[],3,FALSE),0)</f>
        <v>0</v>
      </c>
      <c r="AC495" s="90">
        <f>Ruimtestaat[[#This Row],[Uitvoeringen weekend]]*Ruimtestaat[[#This Row],[Oppervlak (netto)]]</f>
        <v>0</v>
      </c>
      <c r="AD495" s="93">
        <f>IF(AC495&gt;0,Ruimtestaat[[#This Row],[Prest. (m2 /jaar) weekend]]/Ruimtestaat[[#This Row],[Norm (m2/uur) weekend]],0)</f>
        <v>0</v>
      </c>
      <c r="AE495" s="94">
        <f>Ruimtestaat[[#This Row],[uren / jaar weekend]]*Tariefsopbouw!$D$40</f>
        <v>0</v>
      </c>
      <c r="AF495" s="66">
        <f>Ruimtestaat[[#This Row],[Prest. (m2 /jaar) weekend]]+Ruimtestaat[[#This Row],[Prest. (m2 /jaar) werkdagen]]</f>
        <v>15200</v>
      </c>
      <c r="AG495" s="66">
        <f>Ruimtestaat[[#This Row],[uren / jaar weekend]]+Ruimtestaat[[#This Row],[uren / jaar werkdagen]]</f>
        <v>0</v>
      </c>
      <c r="AH495" s="67">
        <f>Ruimtestaat[[#This Row],[kosten / jaar weekend]]+Ruimtestaat[[#This Row],[kosten / jaar werkdagen]]</f>
        <v>0</v>
      </c>
    </row>
    <row r="496" spans="1:34" ht="15" customHeight="1">
      <c r="A496" s="112">
        <v>3</v>
      </c>
      <c r="B496" s="23" t="str">
        <f>VLOOKUP(Ruimtestaat[[#This Row],[Code]],Locaties[#All],2,FALSE)</f>
        <v>RSG N.O. Veluwe</v>
      </c>
      <c r="C496" s="23" t="str">
        <f>VLOOKUP(Ruimtestaat[[#This Row],[Code]],Locaties[#All],4,FALSE)</f>
        <v>Schotweg 1</v>
      </c>
      <c r="D496" s="23" t="str">
        <f>VLOOKUP(Ruimtestaat[[#This Row],[Code]],Locaties[#All],5,FALSE)</f>
        <v>8162 GM</v>
      </c>
      <c r="E496" s="23" t="str">
        <f>VLOOKUP(Ruimtestaat[[#This Row],[Code]],Locaties[#All],6,FALSE)</f>
        <v>Epe</v>
      </c>
      <c r="F496" s="23" t="s">
        <v>1109</v>
      </c>
      <c r="G496" s="60"/>
      <c r="H496" s="23" t="s">
        <v>1299</v>
      </c>
      <c r="I496" s="23" t="s">
        <v>1224</v>
      </c>
      <c r="J496" s="3" t="s">
        <v>1234</v>
      </c>
      <c r="K496" s="23">
        <v>23</v>
      </c>
      <c r="L496" s="60" t="str">
        <f>VLOOKUP(K496,Ruimtegroepen[],2,FALSE)</f>
        <v>Niet in onderhoud</v>
      </c>
      <c r="M496" s="23" t="s">
        <v>113</v>
      </c>
      <c r="N496" s="23" t="s">
        <v>1302</v>
      </c>
      <c r="O496" s="86"/>
      <c r="P496" s="86">
        <v>6</v>
      </c>
      <c r="Q496" s="95" t="str">
        <f>LEFT(VLOOKUP(Ruimtestaat[[#This Row],[Ruimte code]],Ruimtegroepen[#All],4,1),2)</f>
        <v/>
      </c>
      <c r="R496" s="95"/>
      <c r="S496" s="87"/>
      <c r="T496" s="87"/>
      <c r="U496" s="88">
        <f>IF(S496&gt;0,IF(RIGHT(Ruimtestaat[[#This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496" s="88">
        <f>IF(U496&gt;0,VLOOKUP($K496,Ruimtegroepen[],3,FALSE)*VLOOKUP($M496,Vloersoorten[],3,FALSE)*VLOOKUP($T496,Frequenties[],3,FALSE)*VLOOKUP($A496,Locaties[],3,FALSE),0)</f>
        <v>0</v>
      </c>
      <c r="W496" s="89">
        <f>Ruimtestaat[[#This Row],[Uitvoeringen werkdagen]]*Ruimtestaat[[#This Row],[Oppervlak (netto)]]</f>
        <v>0</v>
      </c>
      <c r="X496" s="90">
        <f>IF(V496&gt;0,Ruimtestaat[[#This Row],[Prest. (m2 /jaar) werkdagen]]/Ruimtestaat[[#This Row],[Norm (m2/uur) werkdagen]],0)</f>
        <v>0</v>
      </c>
      <c r="Y496" s="91">
        <f>Ruimtestaat[[#This Row],[uren / jaar werkdagen]]*Tariefsopbouw!$E$35</f>
        <v>0</v>
      </c>
      <c r="Z496" s="88"/>
      <c r="AA496" s="92">
        <f>IF(Ruimtestaat[[#This Row],[Frequentie weekend]]&gt;0,VALUE(LEFT(Z496,1))*S496,0)</f>
        <v>0</v>
      </c>
      <c r="AB496" s="88">
        <f>IF($AA496&gt;0,VLOOKUP($K496,Ruimtegroepen[],3,FALSE)*VLOOKUP($M496,Vloersoorten[],3,FALSE)*VLOOKUP($Z496,Frequenties[],3,FALSE)*VLOOKUP(#REF!,Locaties[],3,FALSE),0)</f>
        <v>0</v>
      </c>
      <c r="AC496" s="90">
        <f>Ruimtestaat[[#This Row],[Uitvoeringen weekend]]*Ruimtestaat[[#This Row],[Oppervlak (netto)]]</f>
        <v>0</v>
      </c>
      <c r="AD496" s="93">
        <f>IF(AC496&gt;0,Ruimtestaat[[#This Row],[Prest. (m2 /jaar) weekend]]/Ruimtestaat[[#This Row],[Norm (m2/uur) weekend]],0)</f>
        <v>0</v>
      </c>
      <c r="AE496" s="94">
        <f>Ruimtestaat[[#This Row],[uren / jaar weekend]]*Tariefsopbouw!$D$40</f>
        <v>0</v>
      </c>
      <c r="AF496" s="66">
        <f>Ruimtestaat[[#This Row],[Prest. (m2 /jaar) weekend]]+Ruimtestaat[[#This Row],[Prest. (m2 /jaar) werkdagen]]</f>
        <v>0</v>
      </c>
      <c r="AG496" s="66">
        <f>Ruimtestaat[[#This Row],[uren / jaar weekend]]+Ruimtestaat[[#This Row],[uren / jaar werkdagen]]</f>
        <v>0</v>
      </c>
      <c r="AH496" s="67">
        <f>Ruimtestaat[[#This Row],[kosten / jaar weekend]]+Ruimtestaat[[#This Row],[kosten / jaar werkdagen]]</f>
        <v>0</v>
      </c>
    </row>
    <row r="497" spans="1:34" ht="15" customHeight="1">
      <c r="A497" s="112">
        <v>3</v>
      </c>
      <c r="B497" s="23" t="str">
        <f>VLOOKUP(Ruimtestaat[[#This Row],[Code]],Locaties[#All],2,FALSE)</f>
        <v>RSG N.O. Veluwe</v>
      </c>
      <c r="C497" s="23" t="str">
        <f>VLOOKUP(Ruimtestaat[[#This Row],[Code]],Locaties[#All],4,FALSE)</f>
        <v>Schotweg 1</v>
      </c>
      <c r="D497" s="23" t="str">
        <f>VLOOKUP(Ruimtestaat[[#This Row],[Code]],Locaties[#All],5,FALSE)</f>
        <v>8162 GM</v>
      </c>
      <c r="E497" s="23" t="str">
        <f>VLOOKUP(Ruimtestaat[[#This Row],[Code]],Locaties[#All],6,FALSE)</f>
        <v>Epe</v>
      </c>
      <c r="F497" s="23" t="s">
        <v>1109</v>
      </c>
      <c r="G497" s="60"/>
      <c r="H497" s="23" t="s">
        <v>1299</v>
      </c>
      <c r="I497" s="23" t="s">
        <v>1225</v>
      </c>
      <c r="J497" s="3" t="s">
        <v>1234</v>
      </c>
      <c r="K497" s="23">
        <v>23</v>
      </c>
      <c r="L497" s="60" t="str">
        <f>VLOOKUP(K497,Ruimtegroepen[],2,FALSE)</f>
        <v>Niet in onderhoud</v>
      </c>
      <c r="M497" s="23" t="s">
        <v>113</v>
      </c>
      <c r="N497" s="23" t="s">
        <v>1302</v>
      </c>
      <c r="O497" s="86"/>
      <c r="P497" s="86">
        <v>6</v>
      </c>
      <c r="Q497" s="95" t="str">
        <f>LEFT(VLOOKUP(Ruimtestaat[[#This Row],[Ruimte code]],Ruimtegroepen[#All],4,1),2)</f>
        <v/>
      </c>
      <c r="R497" s="95"/>
      <c r="S497" s="87"/>
      <c r="T497" s="87"/>
      <c r="U497" s="88">
        <f>IF(S497&gt;0,IF(RIGHT(Ruimtestaat[[#This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497" s="88">
        <f>IF(U497&gt;0,VLOOKUP($K497,Ruimtegroepen[],3,FALSE)*VLOOKUP($M497,Vloersoorten[],3,FALSE)*VLOOKUP($T497,Frequenties[],3,FALSE)*VLOOKUP($A497,Locaties[],3,FALSE),0)</f>
        <v>0</v>
      </c>
      <c r="W497" s="89">
        <f>Ruimtestaat[[#This Row],[Uitvoeringen werkdagen]]*Ruimtestaat[[#This Row],[Oppervlak (netto)]]</f>
        <v>0</v>
      </c>
      <c r="X497" s="90">
        <f>IF(V497&gt;0,Ruimtestaat[[#This Row],[Prest. (m2 /jaar) werkdagen]]/Ruimtestaat[[#This Row],[Norm (m2/uur) werkdagen]],0)</f>
        <v>0</v>
      </c>
      <c r="Y497" s="91">
        <f>Ruimtestaat[[#This Row],[uren / jaar werkdagen]]*Tariefsopbouw!$E$35</f>
        <v>0</v>
      </c>
      <c r="Z497" s="88"/>
      <c r="AA497" s="92">
        <f>IF(Ruimtestaat[[#This Row],[Frequentie weekend]]&gt;0,VALUE(LEFT(Z497,1))*S497,0)</f>
        <v>0</v>
      </c>
      <c r="AB497" s="88">
        <f>IF($AA497&gt;0,VLOOKUP($K497,Ruimtegroepen[],3,FALSE)*VLOOKUP($M497,Vloersoorten[],3,FALSE)*VLOOKUP($Z497,Frequenties[],3,FALSE)*VLOOKUP(#REF!,Locaties[],3,FALSE),0)</f>
        <v>0</v>
      </c>
      <c r="AC497" s="90">
        <f>Ruimtestaat[[#This Row],[Uitvoeringen weekend]]*Ruimtestaat[[#This Row],[Oppervlak (netto)]]</f>
        <v>0</v>
      </c>
      <c r="AD497" s="93">
        <f>IF(AC497&gt;0,Ruimtestaat[[#This Row],[Prest. (m2 /jaar) weekend]]/Ruimtestaat[[#This Row],[Norm (m2/uur) weekend]],0)</f>
        <v>0</v>
      </c>
      <c r="AE497" s="94">
        <f>Ruimtestaat[[#This Row],[uren / jaar weekend]]*Tariefsopbouw!$D$40</f>
        <v>0</v>
      </c>
      <c r="AF497" s="66">
        <f>Ruimtestaat[[#This Row],[Prest. (m2 /jaar) weekend]]+Ruimtestaat[[#This Row],[Prest. (m2 /jaar) werkdagen]]</f>
        <v>0</v>
      </c>
      <c r="AG497" s="66">
        <f>Ruimtestaat[[#This Row],[uren / jaar weekend]]+Ruimtestaat[[#This Row],[uren / jaar werkdagen]]</f>
        <v>0</v>
      </c>
      <c r="AH497" s="67">
        <f>Ruimtestaat[[#This Row],[kosten / jaar weekend]]+Ruimtestaat[[#This Row],[kosten / jaar werkdagen]]</f>
        <v>0</v>
      </c>
    </row>
    <row r="498" spans="1:34" ht="15" customHeight="1">
      <c r="A498" s="112">
        <v>3</v>
      </c>
      <c r="B498" s="23" t="str">
        <f>VLOOKUP(Ruimtestaat[[#This Row],[Code]],Locaties[#All],2,FALSE)</f>
        <v>RSG N.O. Veluwe</v>
      </c>
      <c r="C498" s="23" t="str">
        <f>VLOOKUP(Ruimtestaat[[#This Row],[Code]],Locaties[#All],4,FALSE)</f>
        <v>Schotweg 1</v>
      </c>
      <c r="D498" s="23" t="str">
        <f>VLOOKUP(Ruimtestaat[[#This Row],[Code]],Locaties[#All],5,FALSE)</f>
        <v>8162 GM</v>
      </c>
      <c r="E498" s="23" t="str">
        <f>VLOOKUP(Ruimtestaat[[#This Row],[Code]],Locaties[#All],6,FALSE)</f>
        <v>Epe</v>
      </c>
      <c r="F498" s="23" t="s">
        <v>1109</v>
      </c>
      <c r="G498" s="60"/>
      <c r="H498" s="23" t="s">
        <v>1299</v>
      </c>
      <c r="I498" s="23" t="s">
        <v>1226</v>
      </c>
      <c r="J498" s="3" t="s">
        <v>1059</v>
      </c>
      <c r="K498" s="23">
        <v>16</v>
      </c>
      <c r="L498" s="60" t="str">
        <f>VLOOKUP(K498,Ruimtegroepen[],2,FALSE)</f>
        <v>Leslokalen theorie</v>
      </c>
      <c r="M498" s="23" t="s">
        <v>1094</v>
      </c>
      <c r="N498" s="23" t="s">
        <v>1095</v>
      </c>
      <c r="O498" s="86">
        <v>35</v>
      </c>
      <c r="P498" s="86"/>
      <c r="Q498" s="95" t="str">
        <f>LEFT(VLOOKUP(Ruimtestaat[[#This Row],[Ruimte code]],Ruimtegroepen[#All],4,1),2)</f>
        <v xml:space="preserve">L </v>
      </c>
      <c r="R498" s="95"/>
      <c r="S498" s="87">
        <v>40</v>
      </c>
      <c r="T498" s="87" t="s">
        <v>2</v>
      </c>
      <c r="U498" s="88">
        <f>IF(S498&gt;0,IF(RIGHT(Ruimtestaat[[#This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98" s="88">
        <f>IF(U498&gt;0,VLOOKUP($K498,Ruimtegroepen[],3,FALSE)*VLOOKUP($M498,Vloersoorten[],3,FALSE)*VLOOKUP($T498,Frequenties[],3,FALSE)*VLOOKUP($A498,Locaties[],3,FALSE),0)</f>
        <v>0</v>
      </c>
      <c r="W498" s="89">
        <f>Ruimtestaat[[#This Row],[Uitvoeringen werkdagen]]*Ruimtestaat[[#This Row],[Oppervlak (netto)]]</f>
        <v>7000</v>
      </c>
      <c r="X498" s="90">
        <f>IF(V498&gt;0,Ruimtestaat[[#This Row],[Prest. (m2 /jaar) werkdagen]]/Ruimtestaat[[#This Row],[Norm (m2/uur) werkdagen]],0)</f>
        <v>0</v>
      </c>
      <c r="Y498" s="91">
        <f>Ruimtestaat[[#This Row],[uren / jaar werkdagen]]*Tariefsopbouw!$E$35</f>
        <v>0</v>
      </c>
      <c r="Z498" s="88"/>
      <c r="AA498" s="92">
        <f>IF(Ruimtestaat[[#This Row],[Frequentie weekend]]&gt;0,VALUE(LEFT(Z498,1))*S498,0)</f>
        <v>0</v>
      </c>
      <c r="AB498" s="88">
        <f>IF($AA498&gt;0,VLOOKUP($K498,Ruimtegroepen[],3,FALSE)*VLOOKUP($M498,Vloersoorten[],3,FALSE)*VLOOKUP($Z498,Frequenties[],3,FALSE)*VLOOKUP(#REF!,Locaties[],3,FALSE),0)</f>
        <v>0</v>
      </c>
      <c r="AC498" s="90">
        <f>Ruimtestaat[[#This Row],[Uitvoeringen weekend]]*Ruimtestaat[[#This Row],[Oppervlak (netto)]]</f>
        <v>0</v>
      </c>
      <c r="AD498" s="93">
        <f>IF(AC498&gt;0,Ruimtestaat[[#This Row],[Prest. (m2 /jaar) weekend]]/Ruimtestaat[[#This Row],[Norm (m2/uur) weekend]],0)</f>
        <v>0</v>
      </c>
      <c r="AE498" s="94">
        <f>Ruimtestaat[[#This Row],[uren / jaar weekend]]*Tariefsopbouw!$D$40</f>
        <v>0</v>
      </c>
      <c r="AF498" s="66">
        <f>Ruimtestaat[[#This Row],[Prest. (m2 /jaar) weekend]]+Ruimtestaat[[#This Row],[Prest. (m2 /jaar) werkdagen]]</f>
        <v>7000</v>
      </c>
      <c r="AG498" s="66">
        <f>Ruimtestaat[[#This Row],[uren / jaar weekend]]+Ruimtestaat[[#This Row],[uren / jaar werkdagen]]</f>
        <v>0</v>
      </c>
      <c r="AH498" s="67">
        <f>Ruimtestaat[[#This Row],[kosten / jaar weekend]]+Ruimtestaat[[#This Row],[kosten / jaar werkdagen]]</f>
        <v>0</v>
      </c>
    </row>
    <row r="499" spans="1:34" ht="15" customHeight="1">
      <c r="A499" s="112">
        <v>3</v>
      </c>
      <c r="B499" s="23" t="str">
        <f>VLOOKUP(Ruimtestaat[[#This Row],[Code]],Locaties[#All],2,FALSE)</f>
        <v>RSG N.O. Veluwe</v>
      </c>
      <c r="C499" s="23" t="str">
        <f>VLOOKUP(Ruimtestaat[[#This Row],[Code]],Locaties[#All],4,FALSE)</f>
        <v>Schotweg 1</v>
      </c>
      <c r="D499" s="23" t="str">
        <f>VLOOKUP(Ruimtestaat[[#This Row],[Code]],Locaties[#All],5,FALSE)</f>
        <v>8162 GM</v>
      </c>
      <c r="E499" s="23" t="str">
        <f>VLOOKUP(Ruimtestaat[[#This Row],[Code]],Locaties[#All],6,FALSE)</f>
        <v>Epe</v>
      </c>
      <c r="F499" s="23" t="s">
        <v>1109</v>
      </c>
      <c r="G499" s="60"/>
      <c r="H499" s="23" t="s">
        <v>1299</v>
      </c>
      <c r="I499" s="23" t="s">
        <v>1227</v>
      </c>
      <c r="J499" s="3" t="s">
        <v>1235</v>
      </c>
      <c r="K499" s="23">
        <v>14</v>
      </c>
      <c r="L499" s="60" t="str">
        <f>VLOOKUP(K499,Ruimtegroepen[],2,FALSE)</f>
        <v>Praktijklokalen binas/zorg</v>
      </c>
      <c r="M499" s="23" t="s">
        <v>1300</v>
      </c>
      <c r="N499" s="23" t="s">
        <v>1301</v>
      </c>
      <c r="O499" s="86">
        <v>106</v>
      </c>
      <c r="P499" s="86"/>
      <c r="Q499" s="95" t="str">
        <f>LEFT(VLOOKUP(Ruimtestaat[[#This Row],[Ruimte code]],Ruimtegroepen[#All],4,1),2)</f>
        <v xml:space="preserve">L </v>
      </c>
      <c r="R499" s="95"/>
      <c r="S499" s="87">
        <v>40</v>
      </c>
      <c r="T499" s="87" t="s">
        <v>2</v>
      </c>
      <c r="U499" s="88">
        <f>IF(S499&gt;0,IF(RIGHT(Ruimtestaat[[#This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99" s="88">
        <f>IF(U499&gt;0,VLOOKUP($K499,Ruimtegroepen[],3,FALSE)*VLOOKUP($M499,Vloersoorten[],3,FALSE)*VLOOKUP($T499,Frequenties[],3,FALSE)*VLOOKUP($A499,Locaties[],3,FALSE),0)</f>
        <v>0</v>
      </c>
      <c r="W499" s="89">
        <f>Ruimtestaat[[#This Row],[Uitvoeringen werkdagen]]*Ruimtestaat[[#This Row],[Oppervlak (netto)]]</f>
        <v>21200</v>
      </c>
      <c r="X499" s="90">
        <f>IF(V499&gt;0,Ruimtestaat[[#This Row],[Prest. (m2 /jaar) werkdagen]]/Ruimtestaat[[#This Row],[Norm (m2/uur) werkdagen]],0)</f>
        <v>0</v>
      </c>
      <c r="Y499" s="91">
        <f>Ruimtestaat[[#This Row],[uren / jaar werkdagen]]*Tariefsopbouw!$E$35</f>
        <v>0</v>
      </c>
      <c r="Z499" s="88"/>
      <c r="AA499" s="92">
        <f>IF(Ruimtestaat[[#This Row],[Frequentie weekend]]&gt;0,VALUE(LEFT(Z499,1))*S499,0)</f>
        <v>0</v>
      </c>
      <c r="AB499" s="88">
        <f>IF($AA499&gt;0,VLOOKUP($K499,Ruimtegroepen[],3,FALSE)*VLOOKUP($M499,Vloersoorten[],3,FALSE)*VLOOKUP($Z499,Frequenties[],3,FALSE)*VLOOKUP(#REF!,Locaties[],3,FALSE),0)</f>
        <v>0</v>
      </c>
      <c r="AC499" s="90">
        <f>Ruimtestaat[[#This Row],[Uitvoeringen weekend]]*Ruimtestaat[[#This Row],[Oppervlak (netto)]]</f>
        <v>0</v>
      </c>
      <c r="AD499" s="93">
        <f>IF(AC499&gt;0,Ruimtestaat[[#This Row],[Prest. (m2 /jaar) weekend]]/Ruimtestaat[[#This Row],[Norm (m2/uur) weekend]],0)</f>
        <v>0</v>
      </c>
      <c r="AE499" s="94">
        <f>Ruimtestaat[[#This Row],[uren / jaar weekend]]*Tariefsopbouw!$D$40</f>
        <v>0</v>
      </c>
      <c r="AF499" s="66">
        <f>Ruimtestaat[[#This Row],[Prest. (m2 /jaar) weekend]]+Ruimtestaat[[#This Row],[Prest. (m2 /jaar) werkdagen]]</f>
        <v>21200</v>
      </c>
      <c r="AG499" s="66">
        <f>Ruimtestaat[[#This Row],[uren / jaar weekend]]+Ruimtestaat[[#This Row],[uren / jaar werkdagen]]</f>
        <v>0</v>
      </c>
      <c r="AH499" s="67">
        <f>Ruimtestaat[[#This Row],[kosten / jaar weekend]]+Ruimtestaat[[#This Row],[kosten / jaar werkdagen]]</f>
        <v>0</v>
      </c>
    </row>
    <row r="500" spans="1:34" ht="15" customHeight="1">
      <c r="A500" s="112">
        <v>3</v>
      </c>
      <c r="B500" s="23" t="str">
        <f>VLOOKUP(Ruimtestaat[[#This Row],[Code]],Locaties[#All],2,FALSE)</f>
        <v>RSG N.O. Veluwe</v>
      </c>
      <c r="C500" s="23" t="str">
        <f>VLOOKUP(Ruimtestaat[[#This Row],[Code]],Locaties[#All],4,FALSE)</f>
        <v>Schotweg 1</v>
      </c>
      <c r="D500" s="23" t="str">
        <f>VLOOKUP(Ruimtestaat[[#This Row],[Code]],Locaties[#All],5,FALSE)</f>
        <v>8162 GM</v>
      </c>
      <c r="E500" s="23" t="str">
        <f>VLOOKUP(Ruimtestaat[[#This Row],[Code]],Locaties[#All],6,FALSE)</f>
        <v>Epe</v>
      </c>
      <c r="F500" s="23" t="s">
        <v>1109</v>
      </c>
      <c r="G500" s="60"/>
      <c r="H500" s="23" t="s">
        <v>1299</v>
      </c>
      <c r="I500" s="23" t="s">
        <v>1236</v>
      </c>
      <c r="J500" s="3" t="s">
        <v>1237</v>
      </c>
      <c r="K500" s="23">
        <v>4</v>
      </c>
      <c r="L500" s="60" t="str">
        <f>VLOOKUP(K500,Ruimtegroepen[],2,FALSE)</f>
        <v>Kabinet Binas</v>
      </c>
      <c r="M500" s="23" t="s">
        <v>1300</v>
      </c>
      <c r="N500" s="23" t="s">
        <v>1301</v>
      </c>
      <c r="O500" s="86">
        <v>40</v>
      </c>
      <c r="P500" s="86"/>
      <c r="Q500" s="95" t="str">
        <f>LEFT(VLOOKUP(Ruimtestaat[[#This Row],[Ruimte code]],Ruimtegroepen[#All],4,1),2)</f>
        <v xml:space="preserve">V </v>
      </c>
      <c r="R500" s="95"/>
      <c r="S500" s="87">
        <v>40</v>
      </c>
      <c r="T500" s="87" t="s">
        <v>2</v>
      </c>
      <c r="U500" s="88">
        <f>IF(S500&gt;0,IF(RIGHT(Ruimtestaat[[#This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00" s="88">
        <f>IF(U500&gt;0,VLOOKUP($K500,Ruimtegroepen[],3,FALSE)*VLOOKUP($M500,Vloersoorten[],3,FALSE)*VLOOKUP($T500,Frequenties[],3,FALSE)*VLOOKUP($A500,Locaties[],3,FALSE),0)</f>
        <v>0</v>
      </c>
      <c r="W500" s="89">
        <f>Ruimtestaat[[#This Row],[Uitvoeringen werkdagen]]*Ruimtestaat[[#This Row],[Oppervlak (netto)]]</f>
        <v>8000</v>
      </c>
      <c r="X500" s="90">
        <f>IF(V500&gt;0,Ruimtestaat[[#This Row],[Prest. (m2 /jaar) werkdagen]]/Ruimtestaat[[#This Row],[Norm (m2/uur) werkdagen]],0)</f>
        <v>0</v>
      </c>
      <c r="Y500" s="91">
        <f>Ruimtestaat[[#This Row],[uren / jaar werkdagen]]*Tariefsopbouw!$E$35</f>
        <v>0</v>
      </c>
      <c r="Z500" s="88"/>
      <c r="AA500" s="92">
        <f>IF(Ruimtestaat[[#This Row],[Frequentie weekend]]&gt;0,VALUE(LEFT(Z500,1))*S500,0)</f>
        <v>0</v>
      </c>
      <c r="AB500" s="88">
        <f>IF($AA500&gt;0,VLOOKUP($K500,Ruimtegroepen[],3,FALSE)*VLOOKUP($M500,Vloersoorten[],3,FALSE)*VLOOKUP($Z500,Frequenties[],3,FALSE)*VLOOKUP(#REF!,Locaties[],3,FALSE),0)</f>
        <v>0</v>
      </c>
      <c r="AC500" s="90">
        <f>Ruimtestaat[[#This Row],[Uitvoeringen weekend]]*Ruimtestaat[[#This Row],[Oppervlak (netto)]]</f>
        <v>0</v>
      </c>
      <c r="AD500" s="93">
        <f>IF(AC500&gt;0,Ruimtestaat[[#This Row],[Prest. (m2 /jaar) weekend]]/Ruimtestaat[[#This Row],[Norm (m2/uur) weekend]],0)</f>
        <v>0</v>
      </c>
      <c r="AE500" s="94">
        <f>Ruimtestaat[[#This Row],[uren / jaar weekend]]*Tariefsopbouw!$D$40</f>
        <v>0</v>
      </c>
      <c r="AF500" s="66">
        <f>Ruimtestaat[[#This Row],[Prest. (m2 /jaar) weekend]]+Ruimtestaat[[#This Row],[Prest. (m2 /jaar) werkdagen]]</f>
        <v>8000</v>
      </c>
      <c r="AG500" s="66">
        <f>Ruimtestaat[[#This Row],[uren / jaar weekend]]+Ruimtestaat[[#This Row],[uren / jaar werkdagen]]</f>
        <v>0</v>
      </c>
      <c r="AH500" s="67">
        <f>Ruimtestaat[[#This Row],[kosten / jaar weekend]]+Ruimtestaat[[#This Row],[kosten / jaar werkdagen]]</f>
        <v>0</v>
      </c>
    </row>
    <row r="501" spans="1:34" ht="15" customHeight="1">
      <c r="A501" s="112">
        <v>3</v>
      </c>
      <c r="B501" s="23" t="str">
        <f>VLOOKUP(Ruimtestaat[[#This Row],[Code]],Locaties[#All],2,FALSE)</f>
        <v>RSG N.O. Veluwe</v>
      </c>
      <c r="C501" s="23" t="str">
        <f>VLOOKUP(Ruimtestaat[[#This Row],[Code]],Locaties[#All],4,FALSE)</f>
        <v>Schotweg 1</v>
      </c>
      <c r="D501" s="23" t="str">
        <f>VLOOKUP(Ruimtestaat[[#This Row],[Code]],Locaties[#All],5,FALSE)</f>
        <v>8162 GM</v>
      </c>
      <c r="E501" s="23" t="str">
        <f>VLOOKUP(Ruimtestaat[[#This Row],[Code]],Locaties[#All],6,FALSE)</f>
        <v>Epe</v>
      </c>
      <c r="F501" s="23" t="s">
        <v>1109</v>
      </c>
      <c r="G501" s="60"/>
      <c r="H501" s="23" t="s">
        <v>1299</v>
      </c>
      <c r="I501" s="23" t="s">
        <v>1238</v>
      </c>
      <c r="J501" s="3" t="s">
        <v>1179</v>
      </c>
      <c r="K501" s="23">
        <v>16</v>
      </c>
      <c r="L501" s="60" t="str">
        <f>VLOOKUP(K501,Ruimtegroepen[],2,FALSE)</f>
        <v>Leslokalen theorie</v>
      </c>
      <c r="M501" s="23" t="s">
        <v>1300</v>
      </c>
      <c r="N501" s="23" t="s">
        <v>1301</v>
      </c>
      <c r="O501" s="86">
        <v>106</v>
      </c>
      <c r="P501" s="86"/>
      <c r="Q501" s="95" t="str">
        <f>LEFT(VLOOKUP(Ruimtestaat[[#This Row],[Ruimte code]],Ruimtegroepen[#All],4,1),2)</f>
        <v xml:space="preserve">L </v>
      </c>
      <c r="R501" s="95"/>
      <c r="S501" s="87">
        <v>40</v>
      </c>
      <c r="T501" s="87" t="s">
        <v>2</v>
      </c>
      <c r="U501" s="88">
        <f>IF(S501&gt;0,IF(RIGHT(Ruimtestaat[[#This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01" s="88">
        <f>IF(U501&gt;0,VLOOKUP($K501,Ruimtegroepen[],3,FALSE)*VLOOKUP($M501,Vloersoorten[],3,FALSE)*VLOOKUP($T501,Frequenties[],3,FALSE)*VLOOKUP($A501,Locaties[],3,FALSE),0)</f>
        <v>0</v>
      </c>
      <c r="W501" s="89">
        <f>Ruimtestaat[[#This Row],[Uitvoeringen werkdagen]]*Ruimtestaat[[#This Row],[Oppervlak (netto)]]</f>
        <v>21200</v>
      </c>
      <c r="X501" s="90">
        <f>IF(V501&gt;0,Ruimtestaat[[#This Row],[Prest. (m2 /jaar) werkdagen]]/Ruimtestaat[[#This Row],[Norm (m2/uur) werkdagen]],0)</f>
        <v>0</v>
      </c>
      <c r="Y501" s="91">
        <f>Ruimtestaat[[#This Row],[uren / jaar werkdagen]]*Tariefsopbouw!$E$35</f>
        <v>0</v>
      </c>
      <c r="Z501" s="88"/>
      <c r="AA501" s="92">
        <f>IF(Ruimtestaat[[#This Row],[Frequentie weekend]]&gt;0,VALUE(LEFT(Z501,1))*S501,0)</f>
        <v>0</v>
      </c>
      <c r="AB501" s="88">
        <f>IF($AA501&gt;0,VLOOKUP($K501,Ruimtegroepen[],3,FALSE)*VLOOKUP($M501,Vloersoorten[],3,FALSE)*VLOOKUP($Z501,Frequenties[],3,FALSE)*VLOOKUP(#REF!,Locaties[],3,FALSE),0)</f>
        <v>0</v>
      </c>
      <c r="AC501" s="90">
        <f>Ruimtestaat[[#This Row],[Uitvoeringen weekend]]*Ruimtestaat[[#This Row],[Oppervlak (netto)]]</f>
        <v>0</v>
      </c>
      <c r="AD501" s="93">
        <f>IF(AC501&gt;0,Ruimtestaat[[#This Row],[Prest. (m2 /jaar) weekend]]/Ruimtestaat[[#This Row],[Norm (m2/uur) weekend]],0)</f>
        <v>0</v>
      </c>
      <c r="AE501" s="94">
        <f>Ruimtestaat[[#This Row],[uren / jaar weekend]]*Tariefsopbouw!$D$40</f>
        <v>0</v>
      </c>
      <c r="AF501" s="66">
        <f>Ruimtestaat[[#This Row],[Prest. (m2 /jaar) weekend]]+Ruimtestaat[[#This Row],[Prest. (m2 /jaar) werkdagen]]</f>
        <v>21200</v>
      </c>
      <c r="AG501" s="66">
        <f>Ruimtestaat[[#This Row],[uren / jaar weekend]]+Ruimtestaat[[#This Row],[uren / jaar werkdagen]]</f>
        <v>0</v>
      </c>
      <c r="AH501" s="67">
        <f>Ruimtestaat[[#This Row],[kosten / jaar weekend]]+Ruimtestaat[[#This Row],[kosten / jaar werkdagen]]</f>
        <v>0</v>
      </c>
    </row>
    <row r="502" spans="1:34" ht="15" customHeight="1">
      <c r="A502" s="112">
        <v>3</v>
      </c>
      <c r="B502" s="23" t="str">
        <f>VLOOKUP(Ruimtestaat[[#This Row],[Code]],Locaties[#All],2,FALSE)</f>
        <v>RSG N.O. Veluwe</v>
      </c>
      <c r="C502" s="23" t="str">
        <f>VLOOKUP(Ruimtestaat[[#This Row],[Code]],Locaties[#All],4,FALSE)</f>
        <v>Schotweg 1</v>
      </c>
      <c r="D502" s="23" t="str">
        <f>VLOOKUP(Ruimtestaat[[#This Row],[Code]],Locaties[#All],5,FALSE)</f>
        <v>8162 GM</v>
      </c>
      <c r="E502" s="23" t="str">
        <f>VLOOKUP(Ruimtestaat[[#This Row],[Code]],Locaties[#All],6,FALSE)</f>
        <v>Epe</v>
      </c>
      <c r="F502" s="23" t="s">
        <v>1109</v>
      </c>
      <c r="G502" s="60"/>
      <c r="H502" s="23" t="s">
        <v>1299</v>
      </c>
      <c r="I502" s="23" t="s">
        <v>1239</v>
      </c>
      <c r="J502" s="3" t="s">
        <v>1154</v>
      </c>
      <c r="K502" s="23">
        <v>23</v>
      </c>
      <c r="L502" s="60" t="str">
        <f>VLOOKUP(K502,Ruimtegroepen[],2,FALSE)</f>
        <v>Niet in onderhoud</v>
      </c>
      <c r="M502" s="23" t="s">
        <v>1300</v>
      </c>
      <c r="N502" s="23" t="s">
        <v>1301</v>
      </c>
      <c r="O502" s="86"/>
      <c r="P502" s="86">
        <v>20</v>
      </c>
      <c r="Q502" s="95" t="str">
        <f>LEFT(VLOOKUP(Ruimtestaat[[#This Row],[Ruimte code]],Ruimtegroepen[#All],4,1),2)</f>
        <v/>
      </c>
      <c r="R502" s="95"/>
      <c r="S502" s="87"/>
      <c r="T502" s="87"/>
      <c r="U502" s="88">
        <f>IF(S502&gt;0,IF(RIGHT(Ruimtestaat[[#This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502" s="88">
        <f>IF(U502&gt;0,VLOOKUP($K502,Ruimtegroepen[],3,FALSE)*VLOOKUP($M502,Vloersoorten[],3,FALSE)*VLOOKUP($T502,Frequenties[],3,FALSE)*VLOOKUP($A502,Locaties[],3,FALSE),0)</f>
        <v>0</v>
      </c>
      <c r="W502" s="89">
        <f>Ruimtestaat[[#This Row],[Uitvoeringen werkdagen]]*Ruimtestaat[[#This Row],[Oppervlak (netto)]]</f>
        <v>0</v>
      </c>
      <c r="X502" s="90">
        <f>IF(V502&gt;0,Ruimtestaat[[#This Row],[Prest. (m2 /jaar) werkdagen]]/Ruimtestaat[[#This Row],[Norm (m2/uur) werkdagen]],0)</f>
        <v>0</v>
      </c>
      <c r="Y502" s="91">
        <f>Ruimtestaat[[#This Row],[uren / jaar werkdagen]]*Tariefsopbouw!$E$35</f>
        <v>0</v>
      </c>
      <c r="Z502" s="88"/>
      <c r="AA502" s="92">
        <f>IF(Ruimtestaat[[#This Row],[Frequentie weekend]]&gt;0,VALUE(LEFT(Z502,1))*S502,0)</f>
        <v>0</v>
      </c>
      <c r="AB502" s="88">
        <f>IF($AA502&gt;0,VLOOKUP($K502,Ruimtegroepen[],3,FALSE)*VLOOKUP($M502,Vloersoorten[],3,FALSE)*VLOOKUP($Z502,Frequenties[],3,FALSE)*VLOOKUP(#REF!,Locaties[],3,FALSE),0)</f>
        <v>0</v>
      </c>
      <c r="AC502" s="90">
        <f>Ruimtestaat[[#This Row],[Uitvoeringen weekend]]*Ruimtestaat[[#This Row],[Oppervlak (netto)]]</f>
        <v>0</v>
      </c>
      <c r="AD502" s="93">
        <f>IF(AC502&gt;0,Ruimtestaat[[#This Row],[Prest. (m2 /jaar) weekend]]/Ruimtestaat[[#This Row],[Norm (m2/uur) weekend]],0)</f>
        <v>0</v>
      </c>
      <c r="AE502" s="94">
        <f>Ruimtestaat[[#This Row],[uren / jaar weekend]]*Tariefsopbouw!$D$40</f>
        <v>0</v>
      </c>
      <c r="AF502" s="66">
        <f>Ruimtestaat[[#This Row],[Prest. (m2 /jaar) weekend]]+Ruimtestaat[[#This Row],[Prest. (m2 /jaar) werkdagen]]</f>
        <v>0</v>
      </c>
      <c r="AG502" s="66">
        <f>Ruimtestaat[[#This Row],[uren / jaar weekend]]+Ruimtestaat[[#This Row],[uren / jaar werkdagen]]</f>
        <v>0</v>
      </c>
      <c r="AH502" s="67">
        <f>Ruimtestaat[[#This Row],[kosten / jaar weekend]]+Ruimtestaat[[#This Row],[kosten / jaar werkdagen]]</f>
        <v>0</v>
      </c>
    </row>
    <row r="503" spans="1:34" ht="15" customHeight="1">
      <c r="A503" s="112">
        <v>3</v>
      </c>
      <c r="B503" s="23" t="str">
        <f>VLOOKUP(Ruimtestaat[[#This Row],[Code]],Locaties[#All],2,FALSE)</f>
        <v>RSG N.O. Veluwe</v>
      </c>
      <c r="C503" s="23" t="str">
        <f>VLOOKUP(Ruimtestaat[[#This Row],[Code]],Locaties[#All],4,FALSE)</f>
        <v>Schotweg 1</v>
      </c>
      <c r="D503" s="23" t="str">
        <f>VLOOKUP(Ruimtestaat[[#This Row],[Code]],Locaties[#All],5,FALSE)</f>
        <v>8162 GM</v>
      </c>
      <c r="E503" s="23" t="str">
        <f>VLOOKUP(Ruimtestaat[[#This Row],[Code]],Locaties[#All],6,FALSE)</f>
        <v>Epe</v>
      </c>
      <c r="F503" s="23" t="s">
        <v>1109</v>
      </c>
      <c r="G503" s="60"/>
      <c r="H503" s="23" t="s">
        <v>1299</v>
      </c>
      <c r="I503" s="23" t="s">
        <v>1240</v>
      </c>
      <c r="J503" s="3" t="s">
        <v>1241</v>
      </c>
      <c r="K503" s="23">
        <v>23</v>
      </c>
      <c r="L503" s="60" t="str">
        <f>VLOOKUP(K503,Ruimtegroepen[],2,FALSE)</f>
        <v>Niet in onderhoud</v>
      </c>
      <c r="M503" s="23" t="s">
        <v>1300</v>
      </c>
      <c r="N503" s="23" t="s">
        <v>1301</v>
      </c>
      <c r="O503" s="86"/>
      <c r="P503" s="86">
        <v>20</v>
      </c>
      <c r="Q503" s="95" t="str">
        <f>LEFT(VLOOKUP(Ruimtestaat[[#This Row],[Ruimte code]],Ruimtegroepen[#All],4,1),2)</f>
        <v/>
      </c>
      <c r="R503" s="95"/>
      <c r="S503" s="87"/>
      <c r="T503" s="87"/>
      <c r="U503" s="88">
        <f>IF(S503&gt;0,IF(RIGHT(Ruimtestaat[[#This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503" s="88">
        <f>IF(U503&gt;0,VLOOKUP($K503,Ruimtegroepen[],3,FALSE)*VLOOKUP($M503,Vloersoorten[],3,FALSE)*VLOOKUP($T503,Frequenties[],3,FALSE)*VLOOKUP($A503,Locaties[],3,FALSE),0)</f>
        <v>0</v>
      </c>
      <c r="W503" s="89">
        <f>Ruimtestaat[[#This Row],[Uitvoeringen werkdagen]]*Ruimtestaat[[#This Row],[Oppervlak (netto)]]</f>
        <v>0</v>
      </c>
      <c r="X503" s="90">
        <f>IF(V503&gt;0,Ruimtestaat[[#This Row],[Prest. (m2 /jaar) werkdagen]]/Ruimtestaat[[#This Row],[Norm (m2/uur) werkdagen]],0)</f>
        <v>0</v>
      </c>
      <c r="Y503" s="91">
        <f>Ruimtestaat[[#This Row],[uren / jaar werkdagen]]*Tariefsopbouw!$E$35</f>
        <v>0</v>
      </c>
      <c r="Z503" s="88"/>
      <c r="AA503" s="92">
        <f>IF(Ruimtestaat[[#This Row],[Frequentie weekend]]&gt;0,VALUE(LEFT(Z503,1))*S503,0)</f>
        <v>0</v>
      </c>
      <c r="AB503" s="88">
        <f>IF($AA503&gt;0,VLOOKUP($K503,Ruimtegroepen[],3,FALSE)*VLOOKUP($M503,Vloersoorten[],3,FALSE)*VLOOKUP($Z503,Frequenties[],3,FALSE)*VLOOKUP(#REF!,Locaties[],3,FALSE),0)</f>
        <v>0</v>
      </c>
      <c r="AC503" s="90">
        <f>Ruimtestaat[[#This Row],[Uitvoeringen weekend]]*Ruimtestaat[[#This Row],[Oppervlak (netto)]]</f>
        <v>0</v>
      </c>
      <c r="AD503" s="93">
        <f>IF(AC503&gt;0,Ruimtestaat[[#This Row],[Prest. (m2 /jaar) weekend]]/Ruimtestaat[[#This Row],[Norm (m2/uur) weekend]],0)</f>
        <v>0</v>
      </c>
      <c r="AE503" s="94">
        <f>Ruimtestaat[[#This Row],[uren / jaar weekend]]*Tariefsopbouw!$D$40</f>
        <v>0</v>
      </c>
      <c r="AF503" s="66">
        <f>Ruimtestaat[[#This Row],[Prest. (m2 /jaar) weekend]]+Ruimtestaat[[#This Row],[Prest. (m2 /jaar) werkdagen]]</f>
        <v>0</v>
      </c>
      <c r="AG503" s="66">
        <f>Ruimtestaat[[#This Row],[uren / jaar weekend]]+Ruimtestaat[[#This Row],[uren / jaar werkdagen]]</f>
        <v>0</v>
      </c>
      <c r="AH503" s="67">
        <f>Ruimtestaat[[#This Row],[kosten / jaar weekend]]+Ruimtestaat[[#This Row],[kosten / jaar werkdagen]]</f>
        <v>0</v>
      </c>
    </row>
    <row r="504" spans="1:34" ht="15" customHeight="1">
      <c r="A504" s="112">
        <v>3</v>
      </c>
      <c r="B504" s="23" t="str">
        <f>VLOOKUP(Ruimtestaat[[#This Row],[Code]],Locaties[#All],2,FALSE)</f>
        <v>RSG N.O. Veluwe</v>
      </c>
      <c r="C504" s="23" t="str">
        <f>VLOOKUP(Ruimtestaat[[#This Row],[Code]],Locaties[#All],4,FALSE)</f>
        <v>Schotweg 1</v>
      </c>
      <c r="D504" s="23" t="str">
        <f>VLOOKUP(Ruimtestaat[[#This Row],[Code]],Locaties[#All],5,FALSE)</f>
        <v>8162 GM</v>
      </c>
      <c r="E504" s="23" t="str">
        <f>VLOOKUP(Ruimtestaat[[#This Row],[Code]],Locaties[#All],6,FALSE)</f>
        <v>Epe</v>
      </c>
      <c r="F504" s="23" t="s">
        <v>1109</v>
      </c>
      <c r="G504" s="60"/>
      <c r="H504" s="23" t="s">
        <v>1299</v>
      </c>
      <c r="I504" s="23" t="s">
        <v>1242</v>
      </c>
      <c r="J504" s="3" t="s">
        <v>1243</v>
      </c>
      <c r="K504" s="23">
        <v>16</v>
      </c>
      <c r="L504" s="60" t="str">
        <f>VLOOKUP(K504,Ruimtegroepen[],2,FALSE)</f>
        <v>Leslokalen theorie</v>
      </c>
      <c r="M504" s="23" t="s">
        <v>1300</v>
      </c>
      <c r="N504" s="23" t="s">
        <v>1301</v>
      </c>
      <c r="O504" s="86">
        <v>80</v>
      </c>
      <c r="P504" s="86"/>
      <c r="Q504" s="95" t="str">
        <f>LEFT(VLOOKUP(Ruimtestaat[[#This Row],[Ruimte code]],Ruimtegroepen[#All],4,1),2)</f>
        <v xml:space="preserve">L </v>
      </c>
      <c r="R504" s="95"/>
      <c r="S504" s="87">
        <v>40</v>
      </c>
      <c r="T504" s="87" t="s">
        <v>2</v>
      </c>
      <c r="U504" s="88">
        <f>IF(S504&gt;0,IF(RIGHT(Ruimtestaat[[#This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04" s="88">
        <f>IF(U504&gt;0,VLOOKUP($K504,Ruimtegroepen[],3,FALSE)*VLOOKUP($M504,Vloersoorten[],3,FALSE)*VLOOKUP($T504,Frequenties[],3,FALSE)*VLOOKUP($A504,Locaties[],3,FALSE),0)</f>
        <v>0</v>
      </c>
      <c r="W504" s="89">
        <f>Ruimtestaat[[#This Row],[Uitvoeringen werkdagen]]*Ruimtestaat[[#This Row],[Oppervlak (netto)]]</f>
        <v>16000</v>
      </c>
      <c r="X504" s="90">
        <f>IF(V504&gt;0,Ruimtestaat[[#This Row],[Prest. (m2 /jaar) werkdagen]]/Ruimtestaat[[#This Row],[Norm (m2/uur) werkdagen]],0)</f>
        <v>0</v>
      </c>
      <c r="Y504" s="91">
        <f>Ruimtestaat[[#This Row],[uren / jaar werkdagen]]*Tariefsopbouw!$E$35</f>
        <v>0</v>
      </c>
      <c r="Z504" s="88"/>
      <c r="AA504" s="92">
        <f>IF(Ruimtestaat[[#This Row],[Frequentie weekend]]&gt;0,VALUE(LEFT(Z504,1))*S504,0)</f>
        <v>0</v>
      </c>
      <c r="AB504" s="88">
        <f>IF($AA504&gt;0,VLOOKUP($K504,Ruimtegroepen[],3,FALSE)*VLOOKUP($M504,Vloersoorten[],3,FALSE)*VLOOKUP($Z504,Frequenties[],3,FALSE)*VLOOKUP(#REF!,Locaties[],3,FALSE),0)</f>
        <v>0</v>
      </c>
      <c r="AC504" s="90">
        <f>Ruimtestaat[[#This Row],[Uitvoeringen weekend]]*Ruimtestaat[[#This Row],[Oppervlak (netto)]]</f>
        <v>0</v>
      </c>
      <c r="AD504" s="93">
        <f>IF(AC504&gt;0,Ruimtestaat[[#This Row],[Prest. (m2 /jaar) weekend]]/Ruimtestaat[[#This Row],[Norm (m2/uur) weekend]],0)</f>
        <v>0</v>
      </c>
      <c r="AE504" s="94">
        <f>Ruimtestaat[[#This Row],[uren / jaar weekend]]*Tariefsopbouw!$D$40</f>
        <v>0</v>
      </c>
      <c r="AF504" s="66">
        <f>Ruimtestaat[[#This Row],[Prest. (m2 /jaar) weekend]]+Ruimtestaat[[#This Row],[Prest. (m2 /jaar) werkdagen]]</f>
        <v>16000</v>
      </c>
      <c r="AG504" s="66">
        <f>Ruimtestaat[[#This Row],[uren / jaar weekend]]+Ruimtestaat[[#This Row],[uren / jaar werkdagen]]</f>
        <v>0</v>
      </c>
      <c r="AH504" s="67">
        <f>Ruimtestaat[[#This Row],[kosten / jaar weekend]]+Ruimtestaat[[#This Row],[kosten / jaar werkdagen]]</f>
        <v>0</v>
      </c>
    </row>
    <row r="505" spans="1:34" ht="15" customHeight="1">
      <c r="A505" s="112">
        <v>3</v>
      </c>
      <c r="B505" s="23" t="str">
        <f>VLOOKUP(Ruimtestaat[[#This Row],[Code]],Locaties[#All],2,FALSE)</f>
        <v>RSG N.O. Veluwe</v>
      </c>
      <c r="C505" s="23" t="str">
        <f>VLOOKUP(Ruimtestaat[[#This Row],[Code]],Locaties[#All],4,FALSE)</f>
        <v>Schotweg 1</v>
      </c>
      <c r="D505" s="23" t="str">
        <f>VLOOKUP(Ruimtestaat[[#This Row],[Code]],Locaties[#All],5,FALSE)</f>
        <v>8162 GM</v>
      </c>
      <c r="E505" s="23" t="str">
        <f>VLOOKUP(Ruimtestaat[[#This Row],[Code]],Locaties[#All],6,FALSE)</f>
        <v>Epe</v>
      </c>
      <c r="F505" s="23" t="s">
        <v>1109</v>
      </c>
      <c r="G505" s="60"/>
      <c r="H505" s="23" t="s">
        <v>1299</v>
      </c>
      <c r="I505" s="23" t="s">
        <v>1244</v>
      </c>
      <c r="J505" s="3" t="s">
        <v>1237</v>
      </c>
      <c r="K505" s="23">
        <v>4</v>
      </c>
      <c r="L505" s="60" t="str">
        <f>VLOOKUP(K505,Ruimtegroepen[],2,FALSE)</f>
        <v>Kabinet Binas</v>
      </c>
      <c r="M505" s="23" t="s">
        <v>1300</v>
      </c>
      <c r="N505" s="23" t="s">
        <v>1301</v>
      </c>
      <c r="O505" s="86">
        <v>48</v>
      </c>
      <c r="P505" s="86"/>
      <c r="Q505" s="95" t="str">
        <f>LEFT(VLOOKUP(Ruimtestaat[[#This Row],[Ruimte code]],Ruimtegroepen[#All],4,1),2)</f>
        <v xml:space="preserve">V </v>
      </c>
      <c r="R505" s="95"/>
      <c r="S505" s="87">
        <v>42</v>
      </c>
      <c r="T505" s="87" t="s">
        <v>2</v>
      </c>
      <c r="U505" s="88">
        <f>IF(S505&gt;0,IF(RIGHT(Ruimtestaat[[#This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05" s="88">
        <f>IF(U505&gt;0,VLOOKUP($K505,Ruimtegroepen[],3,FALSE)*VLOOKUP($M505,Vloersoorten[],3,FALSE)*VLOOKUP($T505,Frequenties[],3,FALSE)*VLOOKUP($A505,Locaties[],3,FALSE),0)</f>
        <v>0</v>
      </c>
      <c r="W505" s="89">
        <f>Ruimtestaat[[#This Row],[Uitvoeringen werkdagen]]*Ruimtestaat[[#This Row],[Oppervlak (netto)]]</f>
        <v>10080</v>
      </c>
      <c r="X505" s="90">
        <f>IF(V505&gt;0,Ruimtestaat[[#This Row],[Prest. (m2 /jaar) werkdagen]]/Ruimtestaat[[#This Row],[Norm (m2/uur) werkdagen]],0)</f>
        <v>0</v>
      </c>
      <c r="Y505" s="91">
        <f>Ruimtestaat[[#This Row],[uren / jaar werkdagen]]*Tariefsopbouw!$E$35</f>
        <v>0</v>
      </c>
      <c r="Z505" s="88"/>
      <c r="AA505" s="92">
        <f>IF(Ruimtestaat[[#This Row],[Frequentie weekend]]&gt;0,VALUE(LEFT(Z505,1))*S505,0)</f>
        <v>0</v>
      </c>
      <c r="AB505" s="88">
        <f>IF($AA505&gt;0,VLOOKUP($K505,Ruimtegroepen[],3,FALSE)*VLOOKUP($M505,Vloersoorten[],3,FALSE)*VLOOKUP($Z505,Frequenties[],3,FALSE)*VLOOKUP(#REF!,Locaties[],3,FALSE),0)</f>
        <v>0</v>
      </c>
      <c r="AC505" s="90">
        <f>Ruimtestaat[[#This Row],[Uitvoeringen weekend]]*Ruimtestaat[[#This Row],[Oppervlak (netto)]]</f>
        <v>0</v>
      </c>
      <c r="AD505" s="93">
        <f>IF(AC505&gt;0,Ruimtestaat[[#This Row],[Prest. (m2 /jaar) weekend]]/Ruimtestaat[[#This Row],[Norm (m2/uur) weekend]],0)</f>
        <v>0</v>
      </c>
      <c r="AE505" s="94">
        <f>Ruimtestaat[[#This Row],[uren / jaar weekend]]*Tariefsopbouw!$D$40</f>
        <v>0</v>
      </c>
      <c r="AF505" s="66">
        <f>Ruimtestaat[[#This Row],[Prest. (m2 /jaar) weekend]]+Ruimtestaat[[#This Row],[Prest. (m2 /jaar) werkdagen]]</f>
        <v>10080</v>
      </c>
      <c r="AG505" s="66">
        <f>Ruimtestaat[[#This Row],[uren / jaar weekend]]+Ruimtestaat[[#This Row],[uren / jaar werkdagen]]</f>
        <v>0</v>
      </c>
      <c r="AH505" s="67">
        <f>Ruimtestaat[[#This Row],[kosten / jaar weekend]]+Ruimtestaat[[#This Row],[kosten / jaar werkdagen]]</f>
        <v>0</v>
      </c>
    </row>
    <row r="506" spans="1:34" ht="15" customHeight="1">
      <c r="A506" s="112">
        <v>3</v>
      </c>
      <c r="B506" s="23" t="str">
        <f>VLOOKUP(Ruimtestaat[[#This Row],[Code]],Locaties[#All],2,FALSE)</f>
        <v>RSG N.O. Veluwe</v>
      </c>
      <c r="C506" s="23" t="str">
        <f>VLOOKUP(Ruimtestaat[[#This Row],[Code]],Locaties[#All],4,FALSE)</f>
        <v>Schotweg 1</v>
      </c>
      <c r="D506" s="23" t="str">
        <f>VLOOKUP(Ruimtestaat[[#This Row],[Code]],Locaties[#All],5,FALSE)</f>
        <v>8162 GM</v>
      </c>
      <c r="E506" s="23" t="str">
        <f>VLOOKUP(Ruimtestaat[[#This Row],[Code]],Locaties[#All],6,FALSE)</f>
        <v>Epe</v>
      </c>
      <c r="F506" s="23" t="s">
        <v>1109</v>
      </c>
      <c r="G506" s="60"/>
      <c r="H506" s="23" t="s">
        <v>1299</v>
      </c>
      <c r="I506" s="23" t="s">
        <v>1245</v>
      </c>
      <c r="J506" s="3" t="s">
        <v>1037</v>
      </c>
      <c r="K506" s="23">
        <v>14</v>
      </c>
      <c r="L506" s="60" t="str">
        <f>VLOOKUP(K506,Ruimtegroepen[],2,FALSE)</f>
        <v>Praktijklokalen binas/zorg</v>
      </c>
      <c r="M506" s="23" t="s">
        <v>1300</v>
      </c>
      <c r="N506" s="23" t="s">
        <v>1301</v>
      </c>
      <c r="O506" s="86">
        <v>20</v>
      </c>
      <c r="P506" s="86"/>
      <c r="Q506" s="95" t="str">
        <f>LEFT(VLOOKUP(Ruimtestaat[[#This Row],[Ruimte code]],Ruimtegroepen[#All],4,1),2)</f>
        <v xml:space="preserve">L </v>
      </c>
      <c r="R506" s="95"/>
      <c r="S506" s="87">
        <v>42</v>
      </c>
      <c r="T506" s="87" t="s">
        <v>16</v>
      </c>
      <c r="U506" s="88">
        <f>IF(S506&gt;0,IF(RIGHT(Ruimtestaat[[#This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V506" s="88">
        <f>IF(U506&gt;0,VLOOKUP($K506,Ruimtegroepen[],3,FALSE)*VLOOKUP($M506,Vloersoorten[],3,FALSE)*VLOOKUP($T506,Frequenties[],3,FALSE)*VLOOKUP($A506,Locaties[],3,FALSE),0)</f>
        <v>0</v>
      </c>
      <c r="W506" s="89">
        <f>Ruimtestaat[[#This Row],[Uitvoeringen werkdagen]]*Ruimtestaat[[#This Row],[Oppervlak (netto)]]</f>
        <v>240</v>
      </c>
      <c r="X506" s="90">
        <f>IF(V506&gt;0,Ruimtestaat[[#This Row],[Prest. (m2 /jaar) werkdagen]]/Ruimtestaat[[#This Row],[Norm (m2/uur) werkdagen]],0)</f>
        <v>0</v>
      </c>
      <c r="Y506" s="91">
        <f>Ruimtestaat[[#This Row],[uren / jaar werkdagen]]*Tariefsopbouw!$E$35</f>
        <v>0</v>
      </c>
      <c r="Z506" s="88"/>
      <c r="AA506" s="92">
        <f>IF(Ruimtestaat[[#This Row],[Frequentie weekend]]&gt;0,VALUE(LEFT(Z506,1))*S506,0)</f>
        <v>0</v>
      </c>
      <c r="AB506" s="88">
        <f>IF($AA506&gt;0,VLOOKUP($K506,Ruimtegroepen[],3,FALSE)*VLOOKUP($M506,Vloersoorten[],3,FALSE)*VLOOKUP($Z506,Frequenties[],3,FALSE)*VLOOKUP(#REF!,Locaties[],3,FALSE),0)</f>
        <v>0</v>
      </c>
      <c r="AC506" s="90">
        <f>Ruimtestaat[[#This Row],[Uitvoeringen weekend]]*Ruimtestaat[[#This Row],[Oppervlak (netto)]]</f>
        <v>0</v>
      </c>
      <c r="AD506" s="93">
        <f>IF(AC506&gt;0,Ruimtestaat[[#This Row],[Prest. (m2 /jaar) weekend]]/Ruimtestaat[[#This Row],[Norm (m2/uur) weekend]],0)</f>
        <v>0</v>
      </c>
      <c r="AE506" s="94">
        <f>Ruimtestaat[[#This Row],[uren / jaar weekend]]*Tariefsopbouw!$D$40</f>
        <v>0</v>
      </c>
      <c r="AF506" s="66">
        <f>Ruimtestaat[[#This Row],[Prest. (m2 /jaar) weekend]]+Ruimtestaat[[#This Row],[Prest. (m2 /jaar) werkdagen]]</f>
        <v>240</v>
      </c>
      <c r="AG506" s="66">
        <f>Ruimtestaat[[#This Row],[uren / jaar weekend]]+Ruimtestaat[[#This Row],[uren / jaar werkdagen]]</f>
        <v>0</v>
      </c>
      <c r="AH506" s="67">
        <f>Ruimtestaat[[#This Row],[kosten / jaar weekend]]+Ruimtestaat[[#This Row],[kosten / jaar werkdagen]]</f>
        <v>0</v>
      </c>
    </row>
    <row r="507" spans="1:34" ht="15" customHeight="1">
      <c r="A507" s="112">
        <v>3</v>
      </c>
      <c r="B507" s="23" t="str">
        <f>VLOOKUP(Ruimtestaat[[#This Row],[Code]],Locaties[#All],2,FALSE)</f>
        <v>RSG N.O. Veluwe</v>
      </c>
      <c r="C507" s="23" t="str">
        <f>VLOOKUP(Ruimtestaat[[#This Row],[Code]],Locaties[#All],4,FALSE)</f>
        <v>Schotweg 1</v>
      </c>
      <c r="D507" s="23" t="str">
        <f>VLOOKUP(Ruimtestaat[[#This Row],[Code]],Locaties[#All],5,FALSE)</f>
        <v>8162 GM</v>
      </c>
      <c r="E507" s="23" t="str">
        <f>VLOOKUP(Ruimtestaat[[#This Row],[Code]],Locaties[#All],6,FALSE)</f>
        <v>Epe</v>
      </c>
      <c r="F507" s="23" t="s">
        <v>1109</v>
      </c>
      <c r="G507" s="60"/>
      <c r="H507" s="23" t="s">
        <v>1299</v>
      </c>
      <c r="I507" s="23" t="s">
        <v>1246</v>
      </c>
      <c r="J507" s="3" t="s">
        <v>1247</v>
      </c>
      <c r="K507" s="23">
        <v>1</v>
      </c>
      <c r="L507" s="60" t="str">
        <f>VLOOKUP(K507,Ruimtegroepen[],2,FALSE)</f>
        <v>Magazijnen/bergingen</v>
      </c>
      <c r="M507" s="23" t="s">
        <v>1300</v>
      </c>
      <c r="N507" s="23" t="s">
        <v>1301</v>
      </c>
      <c r="O507" s="86">
        <v>20</v>
      </c>
      <c r="P507" s="86"/>
      <c r="Q507" s="95" t="str">
        <f>LEFT(VLOOKUP(Ruimtestaat[[#This Row],[Ruimte code]],Ruimtegroepen[#All],4,1),2)</f>
        <v xml:space="preserve">V </v>
      </c>
      <c r="R507" s="95"/>
      <c r="S507" s="87">
        <v>40</v>
      </c>
      <c r="T507" s="87" t="s">
        <v>16</v>
      </c>
      <c r="U507" s="88">
        <f>IF(S507&gt;0,IF(RIGHT(Ruimtestaat[[#This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V507" s="88">
        <f>IF(U507&gt;0,VLOOKUP($K507,Ruimtegroepen[],3,FALSE)*VLOOKUP($M507,Vloersoorten[],3,FALSE)*VLOOKUP($T507,Frequenties[],3,FALSE)*VLOOKUP($A507,Locaties[],3,FALSE),0)</f>
        <v>0</v>
      </c>
      <c r="W507" s="89">
        <f>Ruimtestaat[[#This Row],[Uitvoeringen werkdagen]]*Ruimtestaat[[#This Row],[Oppervlak (netto)]]</f>
        <v>240</v>
      </c>
      <c r="X507" s="90">
        <f>IF(V507&gt;0,Ruimtestaat[[#This Row],[Prest. (m2 /jaar) werkdagen]]/Ruimtestaat[[#This Row],[Norm (m2/uur) werkdagen]],0)</f>
        <v>0</v>
      </c>
      <c r="Y507" s="91">
        <f>Ruimtestaat[[#This Row],[uren / jaar werkdagen]]*Tariefsopbouw!$E$35</f>
        <v>0</v>
      </c>
      <c r="Z507" s="88"/>
      <c r="AA507" s="92">
        <f>IF(Ruimtestaat[[#This Row],[Frequentie weekend]]&gt;0,VALUE(LEFT(Z507,1))*S507,0)</f>
        <v>0</v>
      </c>
      <c r="AB507" s="88">
        <f>IF($AA507&gt;0,VLOOKUP($K507,Ruimtegroepen[],3,FALSE)*VLOOKUP($M507,Vloersoorten[],3,FALSE)*VLOOKUP($Z507,Frequenties[],3,FALSE)*VLOOKUP(#REF!,Locaties[],3,FALSE),0)</f>
        <v>0</v>
      </c>
      <c r="AC507" s="90">
        <f>Ruimtestaat[[#This Row],[Uitvoeringen weekend]]*Ruimtestaat[[#This Row],[Oppervlak (netto)]]</f>
        <v>0</v>
      </c>
      <c r="AD507" s="93">
        <f>IF(AC507&gt;0,Ruimtestaat[[#This Row],[Prest. (m2 /jaar) weekend]]/Ruimtestaat[[#This Row],[Norm (m2/uur) weekend]],0)</f>
        <v>0</v>
      </c>
      <c r="AE507" s="94">
        <f>Ruimtestaat[[#This Row],[uren / jaar weekend]]*Tariefsopbouw!$D$40</f>
        <v>0</v>
      </c>
      <c r="AF507" s="66">
        <f>Ruimtestaat[[#This Row],[Prest. (m2 /jaar) weekend]]+Ruimtestaat[[#This Row],[Prest. (m2 /jaar) werkdagen]]</f>
        <v>240</v>
      </c>
      <c r="AG507" s="66">
        <f>Ruimtestaat[[#This Row],[uren / jaar weekend]]+Ruimtestaat[[#This Row],[uren / jaar werkdagen]]</f>
        <v>0</v>
      </c>
      <c r="AH507" s="67">
        <f>Ruimtestaat[[#This Row],[kosten / jaar weekend]]+Ruimtestaat[[#This Row],[kosten / jaar werkdagen]]</f>
        <v>0</v>
      </c>
    </row>
    <row r="508" spans="1:34" ht="15" customHeight="1">
      <c r="A508" s="112">
        <v>3</v>
      </c>
      <c r="B508" s="23" t="str">
        <f>VLOOKUP(Ruimtestaat[[#This Row],[Code]],Locaties[#All],2,FALSE)</f>
        <v>RSG N.O. Veluwe</v>
      </c>
      <c r="C508" s="23" t="str">
        <f>VLOOKUP(Ruimtestaat[[#This Row],[Code]],Locaties[#All],4,FALSE)</f>
        <v>Schotweg 1</v>
      </c>
      <c r="D508" s="23" t="str">
        <f>VLOOKUP(Ruimtestaat[[#This Row],[Code]],Locaties[#All],5,FALSE)</f>
        <v>8162 GM</v>
      </c>
      <c r="E508" s="23" t="str">
        <f>VLOOKUP(Ruimtestaat[[#This Row],[Code]],Locaties[#All],6,FALSE)</f>
        <v>Epe</v>
      </c>
      <c r="F508" s="23" t="s">
        <v>1109</v>
      </c>
      <c r="G508" s="60"/>
      <c r="H508" s="23" t="s">
        <v>1299</v>
      </c>
      <c r="I508" s="23" t="s">
        <v>1248</v>
      </c>
      <c r="J508" s="3" t="s">
        <v>1247</v>
      </c>
      <c r="K508" s="23">
        <v>23</v>
      </c>
      <c r="L508" s="60" t="str">
        <f>VLOOKUP(K508,Ruimtegroepen[],2,FALSE)</f>
        <v>Niet in onderhoud</v>
      </c>
      <c r="M508" s="23" t="s">
        <v>1300</v>
      </c>
      <c r="N508" s="23" t="s">
        <v>1301</v>
      </c>
      <c r="O508" s="86"/>
      <c r="P508" s="86">
        <v>6</v>
      </c>
      <c r="Q508" s="95" t="str">
        <f>LEFT(VLOOKUP(Ruimtestaat[[#This Row],[Ruimte code]],Ruimtegroepen[#All],4,1),2)</f>
        <v/>
      </c>
      <c r="R508" s="95"/>
      <c r="S508" s="87"/>
      <c r="T508" s="87"/>
      <c r="U508" s="88">
        <f>IF(S508&gt;0,IF(RIGHT(Ruimtestaat[[#This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508" s="88">
        <f>IF(U508&gt;0,VLOOKUP($K508,Ruimtegroepen[],3,FALSE)*VLOOKUP($M508,Vloersoorten[],3,FALSE)*VLOOKUP($T508,Frequenties[],3,FALSE)*VLOOKUP($A508,Locaties[],3,FALSE),0)</f>
        <v>0</v>
      </c>
      <c r="W508" s="89">
        <f>Ruimtestaat[[#This Row],[Uitvoeringen werkdagen]]*Ruimtestaat[[#This Row],[Oppervlak (netto)]]</f>
        <v>0</v>
      </c>
      <c r="X508" s="90">
        <f>IF(V508&gt;0,Ruimtestaat[[#This Row],[Prest. (m2 /jaar) werkdagen]]/Ruimtestaat[[#This Row],[Norm (m2/uur) werkdagen]],0)</f>
        <v>0</v>
      </c>
      <c r="Y508" s="91">
        <f>Ruimtestaat[[#This Row],[uren / jaar werkdagen]]*Tariefsopbouw!$E$35</f>
        <v>0</v>
      </c>
      <c r="Z508" s="88"/>
      <c r="AA508" s="92">
        <f>IF(Ruimtestaat[[#This Row],[Frequentie weekend]]&gt;0,VALUE(LEFT(Z508,1))*S508,0)</f>
        <v>0</v>
      </c>
      <c r="AB508" s="88">
        <f>IF($AA508&gt;0,VLOOKUP($K508,Ruimtegroepen[],3,FALSE)*VLOOKUP($M508,Vloersoorten[],3,FALSE)*VLOOKUP($Z508,Frequenties[],3,FALSE)*VLOOKUP(#REF!,Locaties[],3,FALSE),0)</f>
        <v>0</v>
      </c>
      <c r="AC508" s="90">
        <f>Ruimtestaat[[#This Row],[Uitvoeringen weekend]]*Ruimtestaat[[#This Row],[Oppervlak (netto)]]</f>
        <v>0</v>
      </c>
      <c r="AD508" s="93">
        <f>IF(AC508&gt;0,Ruimtestaat[[#This Row],[Prest. (m2 /jaar) weekend]]/Ruimtestaat[[#This Row],[Norm (m2/uur) weekend]],0)</f>
        <v>0</v>
      </c>
      <c r="AE508" s="94">
        <f>Ruimtestaat[[#This Row],[uren / jaar weekend]]*Tariefsopbouw!$D$40</f>
        <v>0</v>
      </c>
      <c r="AF508" s="66">
        <f>Ruimtestaat[[#This Row],[Prest. (m2 /jaar) weekend]]+Ruimtestaat[[#This Row],[Prest. (m2 /jaar) werkdagen]]</f>
        <v>0</v>
      </c>
      <c r="AG508" s="66">
        <f>Ruimtestaat[[#This Row],[uren / jaar weekend]]+Ruimtestaat[[#This Row],[uren / jaar werkdagen]]</f>
        <v>0</v>
      </c>
      <c r="AH508" s="67">
        <f>Ruimtestaat[[#This Row],[kosten / jaar weekend]]+Ruimtestaat[[#This Row],[kosten / jaar werkdagen]]</f>
        <v>0</v>
      </c>
    </row>
    <row r="509" spans="1:34" ht="15" customHeight="1">
      <c r="A509" s="112">
        <v>3</v>
      </c>
      <c r="B509" s="23" t="str">
        <f>VLOOKUP(Ruimtestaat[[#This Row],[Code]],Locaties[#All],2,FALSE)</f>
        <v>RSG N.O. Veluwe</v>
      </c>
      <c r="C509" s="23" t="str">
        <f>VLOOKUP(Ruimtestaat[[#This Row],[Code]],Locaties[#All],4,FALSE)</f>
        <v>Schotweg 1</v>
      </c>
      <c r="D509" s="23" t="str">
        <f>VLOOKUP(Ruimtestaat[[#This Row],[Code]],Locaties[#All],5,FALSE)</f>
        <v>8162 GM</v>
      </c>
      <c r="E509" s="23" t="str">
        <f>VLOOKUP(Ruimtestaat[[#This Row],[Code]],Locaties[#All],6,FALSE)</f>
        <v>Epe</v>
      </c>
      <c r="F509" s="23" t="s">
        <v>1109</v>
      </c>
      <c r="G509" s="60"/>
      <c r="H509" s="23" t="s">
        <v>1299</v>
      </c>
      <c r="I509" s="23" t="s">
        <v>1249</v>
      </c>
      <c r="J509" s="3" t="s">
        <v>1127</v>
      </c>
      <c r="K509" s="23">
        <v>23</v>
      </c>
      <c r="L509" s="60" t="str">
        <f>VLOOKUP(K509,Ruimtegroepen[],2,FALSE)</f>
        <v>Niet in onderhoud</v>
      </c>
      <c r="M509" s="23" t="s">
        <v>1300</v>
      </c>
      <c r="N509" s="23" t="s">
        <v>1301</v>
      </c>
      <c r="O509" s="86"/>
      <c r="P509" s="86">
        <v>2</v>
      </c>
      <c r="Q509" s="95" t="str">
        <f>LEFT(VLOOKUP(Ruimtestaat[[#This Row],[Ruimte code]],Ruimtegroepen[#All],4,1),2)</f>
        <v/>
      </c>
      <c r="R509" s="95"/>
      <c r="S509" s="87"/>
      <c r="T509" s="87"/>
      <c r="U509" s="88">
        <f>IF(S509&gt;0,IF(RIGHT(Ruimtestaat[[#This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509" s="88">
        <f>IF(U509&gt;0,VLOOKUP($K509,Ruimtegroepen[],3,FALSE)*VLOOKUP($M509,Vloersoorten[],3,FALSE)*VLOOKUP($T509,Frequenties[],3,FALSE)*VLOOKUP($A509,Locaties[],3,FALSE),0)</f>
        <v>0</v>
      </c>
      <c r="W509" s="89">
        <f>Ruimtestaat[[#This Row],[Uitvoeringen werkdagen]]*Ruimtestaat[[#This Row],[Oppervlak (netto)]]</f>
        <v>0</v>
      </c>
      <c r="X509" s="90">
        <f>IF(V509&gt;0,Ruimtestaat[[#This Row],[Prest. (m2 /jaar) werkdagen]]/Ruimtestaat[[#This Row],[Norm (m2/uur) werkdagen]],0)</f>
        <v>0</v>
      </c>
      <c r="Y509" s="91">
        <f>Ruimtestaat[[#This Row],[uren / jaar werkdagen]]*Tariefsopbouw!$E$35</f>
        <v>0</v>
      </c>
      <c r="Z509" s="88"/>
      <c r="AA509" s="92">
        <f>IF(Ruimtestaat[[#This Row],[Frequentie weekend]]&gt;0,VALUE(LEFT(Z509,1))*S509,0)</f>
        <v>0</v>
      </c>
      <c r="AB509" s="88">
        <f>IF($AA509&gt;0,VLOOKUP($K509,Ruimtegroepen[],3,FALSE)*VLOOKUP($M509,Vloersoorten[],3,FALSE)*VLOOKUP($Z509,Frequenties[],3,FALSE)*VLOOKUP(#REF!,Locaties[],3,FALSE),0)</f>
        <v>0</v>
      </c>
      <c r="AC509" s="90">
        <f>Ruimtestaat[[#This Row],[Uitvoeringen weekend]]*Ruimtestaat[[#This Row],[Oppervlak (netto)]]</f>
        <v>0</v>
      </c>
      <c r="AD509" s="93">
        <f>IF(AC509&gt;0,Ruimtestaat[[#This Row],[Prest. (m2 /jaar) weekend]]/Ruimtestaat[[#This Row],[Norm (m2/uur) weekend]],0)</f>
        <v>0</v>
      </c>
      <c r="AE509" s="94">
        <f>Ruimtestaat[[#This Row],[uren / jaar weekend]]*Tariefsopbouw!$D$40</f>
        <v>0</v>
      </c>
      <c r="AF509" s="66">
        <f>Ruimtestaat[[#This Row],[Prest. (m2 /jaar) weekend]]+Ruimtestaat[[#This Row],[Prest. (m2 /jaar) werkdagen]]</f>
        <v>0</v>
      </c>
      <c r="AG509" s="66">
        <f>Ruimtestaat[[#This Row],[uren / jaar weekend]]+Ruimtestaat[[#This Row],[uren / jaar werkdagen]]</f>
        <v>0</v>
      </c>
      <c r="AH509" s="67">
        <f>Ruimtestaat[[#This Row],[kosten / jaar weekend]]+Ruimtestaat[[#This Row],[kosten / jaar werkdagen]]</f>
        <v>0</v>
      </c>
    </row>
    <row r="510" spans="1:34" ht="15" customHeight="1">
      <c r="A510" s="112">
        <v>3</v>
      </c>
      <c r="B510" s="23" t="str">
        <f>VLOOKUP(Ruimtestaat[[#This Row],[Code]],Locaties[#All],2,FALSE)</f>
        <v>RSG N.O. Veluwe</v>
      </c>
      <c r="C510" s="23" t="str">
        <f>VLOOKUP(Ruimtestaat[[#This Row],[Code]],Locaties[#All],4,FALSE)</f>
        <v>Schotweg 1</v>
      </c>
      <c r="D510" s="23" t="str">
        <f>VLOOKUP(Ruimtestaat[[#This Row],[Code]],Locaties[#All],5,FALSE)</f>
        <v>8162 GM</v>
      </c>
      <c r="E510" s="23" t="str">
        <f>VLOOKUP(Ruimtestaat[[#This Row],[Code]],Locaties[#All],6,FALSE)</f>
        <v>Epe</v>
      </c>
      <c r="F510" s="23" t="s">
        <v>1109</v>
      </c>
      <c r="G510" s="60"/>
      <c r="H510" s="23" t="s">
        <v>1299</v>
      </c>
      <c r="I510" s="23" t="s">
        <v>1250</v>
      </c>
      <c r="J510" s="3" t="s">
        <v>1251</v>
      </c>
      <c r="K510" s="23">
        <v>23</v>
      </c>
      <c r="L510" s="60" t="str">
        <f>VLOOKUP(K510,Ruimtegroepen[],2,FALSE)</f>
        <v>Niet in onderhoud</v>
      </c>
      <c r="N510" s="23"/>
      <c r="O510" s="86"/>
      <c r="P510" s="86"/>
      <c r="Q510" s="95" t="str">
        <f>LEFT(VLOOKUP(Ruimtestaat[[#This Row],[Ruimte code]],Ruimtegroepen[#All],4,1),2)</f>
        <v/>
      </c>
      <c r="R510" s="95"/>
      <c r="S510" s="87"/>
      <c r="T510" s="87"/>
      <c r="U510" s="88">
        <f>IF(S510&gt;0,IF(RIGHT(Ruimtestaat[[#This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510" s="88">
        <f>IF(U510&gt;0,VLOOKUP($K510,Ruimtegroepen[],3,FALSE)*VLOOKUP($M510,Vloersoorten[],3,FALSE)*VLOOKUP($T510,Frequenties[],3,FALSE)*VLOOKUP($A510,Locaties[],3,FALSE),0)</f>
        <v>0</v>
      </c>
      <c r="W510" s="89">
        <f>Ruimtestaat[[#This Row],[Uitvoeringen werkdagen]]*Ruimtestaat[[#This Row],[Oppervlak (netto)]]</f>
        <v>0</v>
      </c>
      <c r="X510" s="90">
        <f>IF(V510&gt;0,Ruimtestaat[[#This Row],[Prest. (m2 /jaar) werkdagen]]/Ruimtestaat[[#This Row],[Norm (m2/uur) werkdagen]],0)</f>
        <v>0</v>
      </c>
      <c r="Y510" s="91">
        <f>Ruimtestaat[[#This Row],[uren / jaar werkdagen]]*Tariefsopbouw!$E$35</f>
        <v>0</v>
      </c>
      <c r="Z510" s="88"/>
      <c r="AA510" s="92">
        <f>IF(Ruimtestaat[[#This Row],[Frequentie weekend]]&gt;0,VALUE(LEFT(Z510,1))*S510,0)</f>
        <v>0</v>
      </c>
      <c r="AB510" s="88">
        <f>IF($AA510&gt;0,VLOOKUP($K510,Ruimtegroepen[],3,FALSE)*VLOOKUP($M510,Vloersoorten[],3,FALSE)*VLOOKUP($Z510,Frequenties[],3,FALSE)*VLOOKUP(#REF!,Locaties[],3,FALSE),0)</f>
        <v>0</v>
      </c>
      <c r="AC510" s="90">
        <f>Ruimtestaat[[#This Row],[Uitvoeringen weekend]]*Ruimtestaat[[#This Row],[Oppervlak (netto)]]</f>
        <v>0</v>
      </c>
      <c r="AD510" s="93">
        <f>IF(AC510&gt;0,Ruimtestaat[[#This Row],[Prest. (m2 /jaar) weekend]]/Ruimtestaat[[#This Row],[Norm (m2/uur) weekend]],0)</f>
        <v>0</v>
      </c>
      <c r="AE510" s="94">
        <f>Ruimtestaat[[#This Row],[uren / jaar weekend]]*Tariefsopbouw!$D$40</f>
        <v>0</v>
      </c>
      <c r="AF510" s="66">
        <f>Ruimtestaat[[#This Row],[Prest. (m2 /jaar) weekend]]+Ruimtestaat[[#This Row],[Prest. (m2 /jaar) werkdagen]]</f>
        <v>0</v>
      </c>
      <c r="AG510" s="66">
        <f>Ruimtestaat[[#This Row],[uren / jaar weekend]]+Ruimtestaat[[#This Row],[uren / jaar werkdagen]]</f>
        <v>0</v>
      </c>
      <c r="AH510" s="67">
        <f>Ruimtestaat[[#This Row],[kosten / jaar weekend]]+Ruimtestaat[[#This Row],[kosten / jaar werkdagen]]</f>
        <v>0</v>
      </c>
    </row>
    <row r="511" spans="1:34" ht="15" customHeight="1">
      <c r="A511" s="112">
        <v>3</v>
      </c>
      <c r="B511" s="23" t="str">
        <f>VLOOKUP(Ruimtestaat[[#This Row],[Code]],Locaties[#All],2,FALSE)</f>
        <v>RSG N.O. Veluwe</v>
      </c>
      <c r="C511" s="23" t="str">
        <f>VLOOKUP(Ruimtestaat[[#This Row],[Code]],Locaties[#All],4,FALSE)</f>
        <v>Schotweg 1</v>
      </c>
      <c r="D511" s="23" t="str">
        <f>VLOOKUP(Ruimtestaat[[#This Row],[Code]],Locaties[#All],5,FALSE)</f>
        <v>8162 GM</v>
      </c>
      <c r="E511" s="23" t="str">
        <f>VLOOKUP(Ruimtestaat[[#This Row],[Code]],Locaties[#All],6,FALSE)</f>
        <v>Epe</v>
      </c>
      <c r="F511" s="23" t="s">
        <v>1109</v>
      </c>
      <c r="G511" s="60"/>
      <c r="H511" s="23" t="s">
        <v>1299</v>
      </c>
      <c r="I511" s="23" t="s">
        <v>1252</v>
      </c>
      <c r="J511" s="3" t="s">
        <v>1253</v>
      </c>
      <c r="K511" s="23">
        <v>23</v>
      </c>
      <c r="L511" s="60" t="str">
        <f>VLOOKUP(K511,Ruimtegroepen[],2,FALSE)</f>
        <v>Niet in onderhoud</v>
      </c>
      <c r="M511" s="23" t="s">
        <v>1300</v>
      </c>
      <c r="N511" s="23" t="s">
        <v>1301</v>
      </c>
      <c r="O511" s="86"/>
      <c r="P511" s="86">
        <v>6</v>
      </c>
      <c r="Q511" s="95" t="str">
        <f>LEFT(VLOOKUP(Ruimtestaat[[#This Row],[Ruimte code]],Ruimtegroepen[#All],4,1),2)</f>
        <v/>
      </c>
      <c r="R511" s="95"/>
      <c r="S511" s="87"/>
      <c r="T511" s="87"/>
      <c r="U511" s="88">
        <f>IF(S511&gt;0,IF(RIGHT(Ruimtestaat[[#This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511" s="88">
        <f>IF(U511&gt;0,VLOOKUP($K511,Ruimtegroepen[],3,FALSE)*VLOOKUP($M511,Vloersoorten[],3,FALSE)*VLOOKUP($T511,Frequenties[],3,FALSE)*VLOOKUP($A511,Locaties[],3,FALSE),0)</f>
        <v>0</v>
      </c>
      <c r="W511" s="89">
        <f>Ruimtestaat[[#This Row],[Uitvoeringen werkdagen]]*Ruimtestaat[[#This Row],[Oppervlak (netto)]]</f>
        <v>0</v>
      </c>
      <c r="X511" s="90">
        <f>IF(V511&gt;0,Ruimtestaat[[#This Row],[Prest. (m2 /jaar) werkdagen]]/Ruimtestaat[[#This Row],[Norm (m2/uur) werkdagen]],0)</f>
        <v>0</v>
      </c>
      <c r="Y511" s="91">
        <f>Ruimtestaat[[#This Row],[uren / jaar werkdagen]]*Tariefsopbouw!$E$35</f>
        <v>0</v>
      </c>
      <c r="Z511" s="88"/>
      <c r="AA511" s="92">
        <f>IF(Ruimtestaat[[#This Row],[Frequentie weekend]]&gt;0,VALUE(LEFT(Z511,1))*S511,0)</f>
        <v>0</v>
      </c>
      <c r="AB511" s="88">
        <f>IF($AA511&gt;0,VLOOKUP($K511,Ruimtegroepen[],3,FALSE)*VLOOKUP($M511,Vloersoorten[],3,FALSE)*VLOOKUP($Z511,Frequenties[],3,FALSE)*VLOOKUP(#REF!,Locaties[],3,FALSE),0)</f>
        <v>0</v>
      </c>
      <c r="AC511" s="90">
        <f>Ruimtestaat[[#This Row],[Uitvoeringen weekend]]*Ruimtestaat[[#This Row],[Oppervlak (netto)]]</f>
        <v>0</v>
      </c>
      <c r="AD511" s="93">
        <f>IF(AC511&gt;0,Ruimtestaat[[#This Row],[Prest. (m2 /jaar) weekend]]/Ruimtestaat[[#This Row],[Norm (m2/uur) weekend]],0)</f>
        <v>0</v>
      </c>
      <c r="AE511" s="94">
        <f>Ruimtestaat[[#This Row],[uren / jaar weekend]]*Tariefsopbouw!$D$40</f>
        <v>0</v>
      </c>
      <c r="AF511" s="66">
        <f>Ruimtestaat[[#This Row],[Prest. (m2 /jaar) weekend]]+Ruimtestaat[[#This Row],[Prest. (m2 /jaar) werkdagen]]</f>
        <v>0</v>
      </c>
      <c r="AG511" s="66">
        <f>Ruimtestaat[[#This Row],[uren / jaar weekend]]+Ruimtestaat[[#This Row],[uren / jaar werkdagen]]</f>
        <v>0</v>
      </c>
      <c r="AH511" s="67">
        <f>Ruimtestaat[[#This Row],[kosten / jaar weekend]]+Ruimtestaat[[#This Row],[kosten / jaar werkdagen]]</f>
        <v>0</v>
      </c>
    </row>
    <row r="512" spans="1:34" ht="15" customHeight="1">
      <c r="A512" s="112">
        <v>3</v>
      </c>
      <c r="B512" s="23" t="str">
        <f>VLOOKUP(Ruimtestaat[[#This Row],[Code]],Locaties[#All],2,FALSE)</f>
        <v>RSG N.O. Veluwe</v>
      </c>
      <c r="C512" s="23" t="str">
        <f>VLOOKUP(Ruimtestaat[[#This Row],[Code]],Locaties[#All],4,FALSE)</f>
        <v>Schotweg 1</v>
      </c>
      <c r="D512" s="23" t="str">
        <f>VLOOKUP(Ruimtestaat[[#This Row],[Code]],Locaties[#All],5,FALSE)</f>
        <v>8162 GM</v>
      </c>
      <c r="E512" s="23" t="str">
        <f>VLOOKUP(Ruimtestaat[[#This Row],[Code]],Locaties[#All],6,FALSE)</f>
        <v>Epe</v>
      </c>
      <c r="F512" s="23" t="s">
        <v>1109</v>
      </c>
      <c r="G512" s="60"/>
      <c r="H512" s="23" t="s">
        <v>1299</v>
      </c>
      <c r="I512" s="23" t="s">
        <v>1254</v>
      </c>
      <c r="J512" s="3" t="s">
        <v>1255</v>
      </c>
      <c r="K512" s="23">
        <v>16</v>
      </c>
      <c r="L512" s="60" t="str">
        <f>VLOOKUP(K512,Ruimtegroepen[],2,FALSE)</f>
        <v>Leslokalen theorie</v>
      </c>
      <c r="M512" s="23" t="s">
        <v>1300</v>
      </c>
      <c r="N512" s="23" t="s">
        <v>1301</v>
      </c>
      <c r="O512" s="86">
        <v>100</v>
      </c>
      <c r="P512" s="86"/>
      <c r="Q512" s="95" t="str">
        <f>LEFT(VLOOKUP(Ruimtestaat[[#This Row],[Ruimte code]],Ruimtegroepen[#All],4,1),2)</f>
        <v xml:space="preserve">L </v>
      </c>
      <c r="R512" s="95"/>
      <c r="S512" s="87">
        <v>40</v>
      </c>
      <c r="T512" s="87" t="s">
        <v>2</v>
      </c>
      <c r="U512" s="88">
        <f>IF(S512&gt;0,IF(RIGHT(Ruimtestaat[[#This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12" s="88">
        <f>IF(U512&gt;0,VLOOKUP($K512,Ruimtegroepen[],3,FALSE)*VLOOKUP($M512,Vloersoorten[],3,FALSE)*VLOOKUP($T512,Frequenties[],3,FALSE)*VLOOKUP($A512,Locaties[],3,FALSE),0)</f>
        <v>0</v>
      </c>
      <c r="W512" s="89">
        <f>Ruimtestaat[[#This Row],[Uitvoeringen werkdagen]]*Ruimtestaat[[#This Row],[Oppervlak (netto)]]</f>
        <v>20000</v>
      </c>
      <c r="X512" s="90">
        <f>IF(V512&gt;0,Ruimtestaat[[#This Row],[Prest. (m2 /jaar) werkdagen]]/Ruimtestaat[[#This Row],[Norm (m2/uur) werkdagen]],0)</f>
        <v>0</v>
      </c>
      <c r="Y512" s="91">
        <f>Ruimtestaat[[#This Row],[uren / jaar werkdagen]]*Tariefsopbouw!$E$35</f>
        <v>0</v>
      </c>
      <c r="Z512" s="88"/>
      <c r="AA512" s="92">
        <f>IF(Ruimtestaat[[#This Row],[Frequentie weekend]]&gt;0,VALUE(LEFT(Z512,1))*S512,0)</f>
        <v>0</v>
      </c>
      <c r="AB512" s="88">
        <f>IF($AA512&gt;0,VLOOKUP($K512,Ruimtegroepen[],3,FALSE)*VLOOKUP($M512,Vloersoorten[],3,FALSE)*VLOOKUP($Z512,Frequenties[],3,FALSE)*VLOOKUP(#REF!,Locaties[],3,FALSE),0)</f>
        <v>0</v>
      </c>
      <c r="AC512" s="90">
        <f>Ruimtestaat[[#This Row],[Uitvoeringen weekend]]*Ruimtestaat[[#This Row],[Oppervlak (netto)]]</f>
        <v>0</v>
      </c>
      <c r="AD512" s="93">
        <f>IF(AC512&gt;0,Ruimtestaat[[#This Row],[Prest. (m2 /jaar) weekend]]/Ruimtestaat[[#This Row],[Norm (m2/uur) weekend]],0)</f>
        <v>0</v>
      </c>
      <c r="AE512" s="94">
        <f>Ruimtestaat[[#This Row],[uren / jaar weekend]]*Tariefsopbouw!$D$40</f>
        <v>0</v>
      </c>
      <c r="AF512" s="66">
        <f>Ruimtestaat[[#This Row],[Prest. (m2 /jaar) weekend]]+Ruimtestaat[[#This Row],[Prest. (m2 /jaar) werkdagen]]</f>
        <v>20000</v>
      </c>
      <c r="AG512" s="66">
        <f>Ruimtestaat[[#This Row],[uren / jaar weekend]]+Ruimtestaat[[#This Row],[uren / jaar werkdagen]]</f>
        <v>0</v>
      </c>
      <c r="AH512" s="67">
        <f>Ruimtestaat[[#This Row],[kosten / jaar weekend]]+Ruimtestaat[[#This Row],[kosten / jaar werkdagen]]</f>
        <v>0</v>
      </c>
    </row>
    <row r="513" spans="1:34" ht="15" customHeight="1">
      <c r="A513" s="112">
        <v>3</v>
      </c>
      <c r="B513" s="23" t="str">
        <f>VLOOKUP(Ruimtestaat[[#This Row],[Code]],Locaties[#All],2,FALSE)</f>
        <v>RSG N.O. Veluwe</v>
      </c>
      <c r="C513" s="23" t="str">
        <f>VLOOKUP(Ruimtestaat[[#This Row],[Code]],Locaties[#All],4,FALSE)</f>
        <v>Schotweg 1</v>
      </c>
      <c r="D513" s="23" t="str">
        <f>VLOOKUP(Ruimtestaat[[#This Row],[Code]],Locaties[#All],5,FALSE)</f>
        <v>8162 GM</v>
      </c>
      <c r="E513" s="23" t="str">
        <f>VLOOKUP(Ruimtestaat[[#This Row],[Code]],Locaties[#All],6,FALSE)</f>
        <v>Epe</v>
      </c>
      <c r="F513" s="23" t="s">
        <v>1109</v>
      </c>
      <c r="G513" s="60"/>
      <c r="H513" s="23" t="s">
        <v>1299</v>
      </c>
      <c r="J513" s="3" t="s">
        <v>1256</v>
      </c>
      <c r="K513" s="23">
        <v>6</v>
      </c>
      <c r="L513" s="60" t="str">
        <f>VLOOKUP(K513,Ruimtegroepen[],2,FALSE)</f>
        <v>Gangen/hallen</v>
      </c>
      <c r="M513" s="23" t="s">
        <v>1300</v>
      </c>
      <c r="N513" s="23" t="s">
        <v>1301</v>
      </c>
      <c r="O513" s="86">
        <v>170</v>
      </c>
      <c r="P513" s="86"/>
      <c r="Q513" s="95" t="str">
        <f>LEFT(VLOOKUP(Ruimtestaat[[#This Row],[Ruimte code]],Ruimtegroepen[#All],4,1),2)</f>
        <v xml:space="preserve">V </v>
      </c>
      <c r="R513" s="95"/>
      <c r="S513" s="87">
        <v>42</v>
      </c>
      <c r="T513" s="87" t="s">
        <v>2</v>
      </c>
      <c r="U513" s="88">
        <f>IF(S513&gt;0,IF(RIGHT(Ruimtestaat[[#This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13" s="88">
        <f>IF(U513&gt;0,VLOOKUP($K513,Ruimtegroepen[],3,FALSE)*VLOOKUP($M513,Vloersoorten[],3,FALSE)*VLOOKUP($T513,Frequenties[],3,FALSE)*VLOOKUP($A513,Locaties[],3,FALSE),0)</f>
        <v>0</v>
      </c>
      <c r="W513" s="89">
        <f>Ruimtestaat[[#This Row],[Uitvoeringen werkdagen]]*Ruimtestaat[[#This Row],[Oppervlak (netto)]]</f>
        <v>35700</v>
      </c>
      <c r="X513" s="90">
        <f>IF(V513&gt;0,Ruimtestaat[[#This Row],[Prest. (m2 /jaar) werkdagen]]/Ruimtestaat[[#This Row],[Norm (m2/uur) werkdagen]],0)</f>
        <v>0</v>
      </c>
      <c r="Y513" s="91">
        <f>Ruimtestaat[[#This Row],[uren / jaar werkdagen]]*Tariefsopbouw!$E$35</f>
        <v>0</v>
      </c>
      <c r="Z513" s="88"/>
      <c r="AA513" s="92">
        <f>IF(Ruimtestaat[[#This Row],[Frequentie weekend]]&gt;0,VALUE(LEFT(Z513,1))*S513,0)</f>
        <v>0</v>
      </c>
      <c r="AB513" s="88">
        <f>IF($AA513&gt;0,VLOOKUP($K513,Ruimtegroepen[],3,FALSE)*VLOOKUP($M513,Vloersoorten[],3,FALSE)*VLOOKUP($Z513,Frequenties[],3,FALSE)*VLOOKUP(#REF!,Locaties[],3,FALSE),0)</f>
        <v>0</v>
      </c>
      <c r="AC513" s="90">
        <f>Ruimtestaat[[#This Row],[Uitvoeringen weekend]]*Ruimtestaat[[#This Row],[Oppervlak (netto)]]</f>
        <v>0</v>
      </c>
      <c r="AD513" s="93">
        <f>IF(AC513&gt;0,Ruimtestaat[[#This Row],[Prest. (m2 /jaar) weekend]]/Ruimtestaat[[#This Row],[Norm (m2/uur) weekend]],0)</f>
        <v>0</v>
      </c>
      <c r="AE513" s="94">
        <f>Ruimtestaat[[#This Row],[uren / jaar weekend]]*Tariefsopbouw!$D$40</f>
        <v>0</v>
      </c>
      <c r="AF513" s="66">
        <f>Ruimtestaat[[#This Row],[Prest. (m2 /jaar) weekend]]+Ruimtestaat[[#This Row],[Prest. (m2 /jaar) werkdagen]]</f>
        <v>35700</v>
      </c>
      <c r="AG513" s="66">
        <f>Ruimtestaat[[#This Row],[uren / jaar weekend]]+Ruimtestaat[[#This Row],[uren / jaar werkdagen]]</f>
        <v>0</v>
      </c>
      <c r="AH513" s="67">
        <f>Ruimtestaat[[#This Row],[kosten / jaar weekend]]+Ruimtestaat[[#This Row],[kosten / jaar werkdagen]]</f>
        <v>0</v>
      </c>
    </row>
    <row r="514" spans="1:34" ht="15" customHeight="1">
      <c r="A514" s="112">
        <v>3</v>
      </c>
      <c r="B514" s="23" t="str">
        <f>VLOOKUP(Ruimtestaat[[#This Row],[Code]],Locaties[#All],2,FALSE)</f>
        <v>RSG N.O. Veluwe</v>
      </c>
      <c r="C514" s="23" t="str">
        <f>VLOOKUP(Ruimtestaat[[#This Row],[Code]],Locaties[#All],4,FALSE)</f>
        <v>Schotweg 1</v>
      </c>
      <c r="D514" s="23" t="str">
        <f>VLOOKUP(Ruimtestaat[[#This Row],[Code]],Locaties[#All],5,FALSE)</f>
        <v>8162 GM</v>
      </c>
      <c r="E514" s="23" t="str">
        <f>VLOOKUP(Ruimtestaat[[#This Row],[Code]],Locaties[#All],6,FALSE)</f>
        <v>Epe</v>
      </c>
      <c r="F514" s="23" t="s">
        <v>1109</v>
      </c>
      <c r="G514" s="60"/>
      <c r="H514" s="23" t="s">
        <v>1299</v>
      </c>
      <c r="J514" s="3" t="s">
        <v>1257</v>
      </c>
      <c r="K514" s="23">
        <v>10</v>
      </c>
      <c r="L514" s="60" t="str">
        <f>VLOOKUP(K514,Ruimtegroepen[],2,FALSE)</f>
        <v>Trappenhuizen/lift</v>
      </c>
      <c r="M514" s="23" t="s">
        <v>1300</v>
      </c>
      <c r="N514" s="23" t="s">
        <v>1301</v>
      </c>
      <c r="O514" s="86">
        <v>25</v>
      </c>
      <c r="P514" s="86"/>
      <c r="Q514" s="95" t="str">
        <f>LEFT(VLOOKUP(Ruimtestaat[[#This Row],[Ruimte code]],Ruimtegroepen[#All],4,1),2)</f>
        <v xml:space="preserve">V </v>
      </c>
      <c r="R514" s="95"/>
      <c r="S514" s="87">
        <v>42</v>
      </c>
      <c r="T514" s="87" t="s">
        <v>2</v>
      </c>
      <c r="U514" s="88">
        <f>IF(S514&gt;0,IF(RIGHT(Ruimtestaat[[#This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14" s="88">
        <f>IF(U514&gt;0,VLOOKUP($K514,Ruimtegroepen[],3,FALSE)*VLOOKUP($M514,Vloersoorten[],3,FALSE)*VLOOKUP($T514,Frequenties[],3,FALSE)*VLOOKUP($A514,Locaties[],3,FALSE),0)</f>
        <v>0</v>
      </c>
      <c r="W514" s="89">
        <f>Ruimtestaat[[#This Row],[Uitvoeringen werkdagen]]*Ruimtestaat[[#This Row],[Oppervlak (netto)]]</f>
        <v>5250</v>
      </c>
      <c r="X514" s="90">
        <f>IF(V514&gt;0,Ruimtestaat[[#This Row],[Prest. (m2 /jaar) werkdagen]]/Ruimtestaat[[#This Row],[Norm (m2/uur) werkdagen]],0)</f>
        <v>0</v>
      </c>
      <c r="Y514" s="91">
        <f>Ruimtestaat[[#This Row],[uren / jaar werkdagen]]*Tariefsopbouw!$E$35</f>
        <v>0</v>
      </c>
      <c r="Z514" s="88"/>
      <c r="AA514" s="92">
        <f>IF(Ruimtestaat[[#This Row],[Frequentie weekend]]&gt;0,VALUE(LEFT(Z514,1))*S514,0)</f>
        <v>0</v>
      </c>
      <c r="AB514" s="88">
        <f>IF($AA514&gt;0,VLOOKUP($K514,Ruimtegroepen[],3,FALSE)*VLOOKUP($M514,Vloersoorten[],3,FALSE)*VLOOKUP($Z514,Frequenties[],3,FALSE)*VLOOKUP(#REF!,Locaties[],3,FALSE),0)</f>
        <v>0</v>
      </c>
      <c r="AC514" s="90">
        <f>Ruimtestaat[[#This Row],[Uitvoeringen weekend]]*Ruimtestaat[[#This Row],[Oppervlak (netto)]]</f>
        <v>0</v>
      </c>
      <c r="AD514" s="93">
        <f>IF(AC514&gt;0,Ruimtestaat[[#This Row],[Prest. (m2 /jaar) weekend]]/Ruimtestaat[[#This Row],[Norm (m2/uur) weekend]],0)</f>
        <v>0</v>
      </c>
      <c r="AE514" s="94">
        <f>Ruimtestaat[[#This Row],[uren / jaar weekend]]*Tariefsopbouw!$D$40</f>
        <v>0</v>
      </c>
      <c r="AF514" s="66">
        <f>Ruimtestaat[[#This Row],[Prest. (m2 /jaar) weekend]]+Ruimtestaat[[#This Row],[Prest. (m2 /jaar) werkdagen]]</f>
        <v>5250</v>
      </c>
      <c r="AG514" s="66">
        <f>Ruimtestaat[[#This Row],[uren / jaar weekend]]+Ruimtestaat[[#This Row],[uren / jaar werkdagen]]</f>
        <v>0</v>
      </c>
      <c r="AH514" s="67">
        <f>Ruimtestaat[[#This Row],[kosten / jaar weekend]]+Ruimtestaat[[#This Row],[kosten / jaar werkdagen]]</f>
        <v>0</v>
      </c>
    </row>
    <row r="515" spans="1:34" ht="15" customHeight="1">
      <c r="A515" s="112">
        <v>3</v>
      </c>
      <c r="B515" s="23" t="str">
        <f>VLOOKUP(Ruimtestaat[[#This Row],[Code]],Locaties[#All],2,FALSE)</f>
        <v>RSG N.O. Veluwe</v>
      </c>
      <c r="C515" s="23" t="str">
        <f>VLOOKUP(Ruimtestaat[[#This Row],[Code]],Locaties[#All],4,FALSE)</f>
        <v>Schotweg 1</v>
      </c>
      <c r="D515" s="23" t="str">
        <f>VLOOKUP(Ruimtestaat[[#This Row],[Code]],Locaties[#All],5,FALSE)</f>
        <v>8162 GM</v>
      </c>
      <c r="E515" s="23" t="str">
        <f>VLOOKUP(Ruimtestaat[[#This Row],[Code]],Locaties[#All],6,FALSE)</f>
        <v>Epe</v>
      </c>
      <c r="F515" s="23" t="s">
        <v>1110</v>
      </c>
      <c r="G515" s="60"/>
      <c r="H515" s="23" t="s">
        <v>1299</v>
      </c>
      <c r="I515" s="23" t="s">
        <v>1223</v>
      </c>
      <c r="J515" s="3" t="s">
        <v>1179</v>
      </c>
      <c r="K515" s="23">
        <v>16</v>
      </c>
      <c r="L515" s="60" t="str">
        <f>VLOOKUP(K515,Ruimtegroepen[],2,FALSE)</f>
        <v>Leslokalen theorie</v>
      </c>
      <c r="M515" s="23" t="s">
        <v>1300</v>
      </c>
      <c r="N515" s="23" t="s">
        <v>1301</v>
      </c>
      <c r="O515" s="86">
        <v>54</v>
      </c>
      <c r="P515" s="86"/>
      <c r="Q515" s="95" t="str">
        <f>LEFT(VLOOKUP(Ruimtestaat[[#This Row],[Ruimte code]],Ruimtegroepen[#All],4,1),2)</f>
        <v xml:space="preserve">L </v>
      </c>
      <c r="R515" s="95"/>
      <c r="S515" s="87">
        <v>40</v>
      </c>
      <c r="T515" s="87" t="s">
        <v>2</v>
      </c>
      <c r="U515" s="88">
        <f>IF(S515&gt;0,IF(RIGHT(Ruimtestaat[[#This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15" s="88">
        <f>IF(U515&gt;0,VLOOKUP($K515,Ruimtegroepen[],3,FALSE)*VLOOKUP($M515,Vloersoorten[],3,FALSE)*VLOOKUP($T515,Frequenties[],3,FALSE)*VLOOKUP($A515,Locaties[],3,FALSE),0)</f>
        <v>0</v>
      </c>
      <c r="W515" s="89">
        <f>Ruimtestaat[[#This Row],[Uitvoeringen werkdagen]]*Ruimtestaat[[#This Row],[Oppervlak (netto)]]</f>
        <v>10800</v>
      </c>
      <c r="X515" s="90">
        <f>IF(V515&gt;0,Ruimtestaat[[#This Row],[Prest. (m2 /jaar) werkdagen]]/Ruimtestaat[[#This Row],[Norm (m2/uur) werkdagen]],0)</f>
        <v>0</v>
      </c>
      <c r="Y515" s="91">
        <f>Ruimtestaat[[#This Row],[uren / jaar werkdagen]]*Tariefsopbouw!$E$35</f>
        <v>0</v>
      </c>
      <c r="Z515" s="88"/>
      <c r="AA515" s="92">
        <f>IF(Ruimtestaat[[#This Row],[Frequentie weekend]]&gt;0,VALUE(LEFT(Z515,1))*S515,0)</f>
        <v>0</v>
      </c>
      <c r="AB515" s="88">
        <f>IF($AA515&gt;0,VLOOKUP($K515,Ruimtegroepen[],3,FALSE)*VLOOKUP($M515,Vloersoorten[],3,FALSE)*VLOOKUP($Z515,Frequenties[],3,FALSE)*VLOOKUP(#REF!,Locaties[],3,FALSE),0)</f>
        <v>0</v>
      </c>
      <c r="AC515" s="90">
        <f>Ruimtestaat[[#This Row],[Uitvoeringen weekend]]*Ruimtestaat[[#This Row],[Oppervlak (netto)]]</f>
        <v>0</v>
      </c>
      <c r="AD515" s="93">
        <f>IF(AC515&gt;0,Ruimtestaat[[#This Row],[Prest. (m2 /jaar) weekend]]/Ruimtestaat[[#This Row],[Norm (m2/uur) weekend]],0)</f>
        <v>0</v>
      </c>
      <c r="AE515" s="94">
        <f>Ruimtestaat[[#This Row],[uren / jaar weekend]]*Tariefsopbouw!$D$40</f>
        <v>0</v>
      </c>
      <c r="AF515" s="66">
        <f>Ruimtestaat[[#This Row],[Prest. (m2 /jaar) weekend]]+Ruimtestaat[[#This Row],[Prest. (m2 /jaar) werkdagen]]</f>
        <v>10800</v>
      </c>
      <c r="AG515" s="66">
        <f>Ruimtestaat[[#This Row],[uren / jaar weekend]]+Ruimtestaat[[#This Row],[uren / jaar werkdagen]]</f>
        <v>0</v>
      </c>
      <c r="AH515" s="67">
        <f>Ruimtestaat[[#This Row],[kosten / jaar weekend]]+Ruimtestaat[[#This Row],[kosten / jaar werkdagen]]</f>
        <v>0</v>
      </c>
    </row>
    <row r="516" spans="1:34" ht="15" customHeight="1">
      <c r="A516" s="112">
        <v>3</v>
      </c>
      <c r="B516" s="23" t="str">
        <f>VLOOKUP(Ruimtestaat[[#This Row],[Code]],Locaties[#All],2,FALSE)</f>
        <v>RSG N.O. Veluwe</v>
      </c>
      <c r="C516" s="23" t="str">
        <f>VLOOKUP(Ruimtestaat[[#This Row],[Code]],Locaties[#All],4,FALSE)</f>
        <v>Schotweg 1</v>
      </c>
      <c r="D516" s="23" t="str">
        <f>VLOOKUP(Ruimtestaat[[#This Row],[Code]],Locaties[#All],5,FALSE)</f>
        <v>8162 GM</v>
      </c>
      <c r="E516" s="23" t="str">
        <f>VLOOKUP(Ruimtestaat[[#This Row],[Code]],Locaties[#All],6,FALSE)</f>
        <v>Epe</v>
      </c>
      <c r="F516" s="23" t="s">
        <v>1110</v>
      </c>
      <c r="G516" s="60"/>
      <c r="H516" s="23" t="s">
        <v>1299</v>
      </c>
      <c r="I516" s="23" t="s">
        <v>1224</v>
      </c>
      <c r="J516" s="3" t="s">
        <v>1179</v>
      </c>
      <c r="K516" s="23">
        <v>16</v>
      </c>
      <c r="L516" s="60" t="str">
        <f>VLOOKUP(K516,Ruimtegroepen[],2,FALSE)</f>
        <v>Leslokalen theorie</v>
      </c>
      <c r="M516" s="23" t="s">
        <v>1300</v>
      </c>
      <c r="N516" s="23" t="s">
        <v>1301</v>
      </c>
      <c r="O516" s="86">
        <v>54</v>
      </c>
      <c r="P516" s="86"/>
      <c r="Q516" s="95" t="str">
        <f>LEFT(VLOOKUP(Ruimtestaat[[#This Row],[Ruimte code]],Ruimtegroepen[#All],4,1),2)</f>
        <v xml:space="preserve">L </v>
      </c>
      <c r="R516" s="95"/>
      <c r="S516" s="87">
        <v>40</v>
      </c>
      <c r="T516" s="87" t="s">
        <v>2</v>
      </c>
      <c r="U516" s="88">
        <f>IF(S516&gt;0,IF(RIGHT(Ruimtestaat[[#This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16" s="88">
        <f>IF(U516&gt;0,VLOOKUP($K516,Ruimtegroepen[],3,FALSE)*VLOOKUP($M516,Vloersoorten[],3,FALSE)*VLOOKUP($T516,Frequenties[],3,FALSE)*VLOOKUP($A516,Locaties[],3,FALSE),0)</f>
        <v>0</v>
      </c>
      <c r="W516" s="89">
        <f>Ruimtestaat[[#This Row],[Uitvoeringen werkdagen]]*Ruimtestaat[[#This Row],[Oppervlak (netto)]]</f>
        <v>10800</v>
      </c>
      <c r="X516" s="90">
        <f>IF(V516&gt;0,Ruimtestaat[[#This Row],[Prest. (m2 /jaar) werkdagen]]/Ruimtestaat[[#This Row],[Norm (m2/uur) werkdagen]],0)</f>
        <v>0</v>
      </c>
      <c r="Y516" s="91">
        <f>Ruimtestaat[[#This Row],[uren / jaar werkdagen]]*Tariefsopbouw!$E$35</f>
        <v>0</v>
      </c>
      <c r="Z516" s="88"/>
      <c r="AA516" s="92">
        <f>IF(Ruimtestaat[[#This Row],[Frequentie weekend]]&gt;0,VALUE(LEFT(Z516,1))*S516,0)</f>
        <v>0</v>
      </c>
      <c r="AB516" s="88">
        <f>IF($AA516&gt;0,VLOOKUP($K516,Ruimtegroepen[],3,FALSE)*VLOOKUP($M516,Vloersoorten[],3,FALSE)*VLOOKUP($Z516,Frequenties[],3,FALSE)*VLOOKUP(#REF!,Locaties[],3,FALSE),0)</f>
        <v>0</v>
      </c>
      <c r="AC516" s="90">
        <f>Ruimtestaat[[#This Row],[Uitvoeringen weekend]]*Ruimtestaat[[#This Row],[Oppervlak (netto)]]</f>
        <v>0</v>
      </c>
      <c r="AD516" s="93">
        <f>IF(AC516&gt;0,Ruimtestaat[[#This Row],[Prest. (m2 /jaar) weekend]]/Ruimtestaat[[#This Row],[Norm (m2/uur) weekend]],0)</f>
        <v>0</v>
      </c>
      <c r="AE516" s="94">
        <f>Ruimtestaat[[#This Row],[uren / jaar weekend]]*Tariefsopbouw!$D$40</f>
        <v>0</v>
      </c>
      <c r="AF516" s="66">
        <f>Ruimtestaat[[#This Row],[Prest. (m2 /jaar) weekend]]+Ruimtestaat[[#This Row],[Prest. (m2 /jaar) werkdagen]]</f>
        <v>10800</v>
      </c>
      <c r="AG516" s="66">
        <f>Ruimtestaat[[#This Row],[uren / jaar weekend]]+Ruimtestaat[[#This Row],[uren / jaar werkdagen]]</f>
        <v>0</v>
      </c>
      <c r="AH516" s="67">
        <f>Ruimtestaat[[#This Row],[kosten / jaar weekend]]+Ruimtestaat[[#This Row],[kosten / jaar werkdagen]]</f>
        <v>0</v>
      </c>
    </row>
    <row r="517" spans="1:34" ht="15" customHeight="1">
      <c r="A517" s="112">
        <v>3</v>
      </c>
      <c r="B517" s="23" t="str">
        <f>VLOOKUP(Ruimtestaat[[#This Row],[Code]],Locaties[#All],2,FALSE)</f>
        <v>RSG N.O. Veluwe</v>
      </c>
      <c r="C517" s="23" t="str">
        <f>VLOOKUP(Ruimtestaat[[#This Row],[Code]],Locaties[#All],4,FALSE)</f>
        <v>Schotweg 1</v>
      </c>
      <c r="D517" s="23" t="str">
        <f>VLOOKUP(Ruimtestaat[[#This Row],[Code]],Locaties[#All],5,FALSE)</f>
        <v>8162 GM</v>
      </c>
      <c r="E517" s="23" t="str">
        <f>VLOOKUP(Ruimtestaat[[#This Row],[Code]],Locaties[#All],6,FALSE)</f>
        <v>Epe</v>
      </c>
      <c r="F517" s="23" t="s">
        <v>1110</v>
      </c>
      <c r="G517" s="60"/>
      <c r="H517" s="23" t="s">
        <v>1299</v>
      </c>
      <c r="I517" s="23" t="s">
        <v>1225</v>
      </c>
      <c r="J517" s="3" t="s">
        <v>1258</v>
      </c>
      <c r="K517" s="23">
        <v>16</v>
      </c>
      <c r="L517" s="60" t="str">
        <f>VLOOKUP(K517,Ruimtegroepen[],2,FALSE)</f>
        <v>Leslokalen theorie</v>
      </c>
      <c r="M517" s="23" t="s">
        <v>1300</v>
      </c>
      <c r="N517" s="23" t="s">
        <v>1301</v>
      </c>
      <c r="O517" s="86">
        <v>36</v>
      </c>
      <c r="P517" s="86"/>
      <c r="Q517" s="95" t="str">
        <f>LEFT(VLOOKUP(Ruimtestaat[[#This Row],[Ruimte code]],Ruimtegroepen[#All],4,1),2)</f>
        <v xml:space="preserve">L </v>
      </c>
      <c r="R517" s="95"/>
      <c r="S517" s="87">
        <v>40</v>
      </c>
      <c r="T517" s="87" t="s">
        <v>2</v>
      </c>
      <c r="U517" s="88">
        <f>IF(S517&gt;0,IF(RIGHT(Ruimtestaat[[#This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17" s="88">
        <f>IF(U517&gt;0,VLOOKUP($K517,Ruimtegroepen[],3,FALSE)*VLOOKUP($M517,Vloersoorten[],3,FALSE)*VLOOKUP($T517,Frequenties[],3,FALSE)*VLOOKUP($A517,Locaties[],3,FALSE),0)</f>
        <v>0</v>
      </c>
      <c r="W517" s="89">
        <f>Ruimtestaat[[#This Row],[Uitvoeringen werkdagen]]*Ruimtestaat[[#This Row],[Oppervlak (netto)]]</f>
        <v>7200</v>
      </c>
      <c r="X517" s="90">
        <f>IF(V517&gt;0,Ruimtestaat[[#This Row],[Prest. (m2 /jaar) werkdagen]]/Ruimtestaat[[#This Row],[Norm (m2/uur) werkdagen]],0)</f>
        <v>0</v>
      </c>
      <c r="Y517" s="91">
        <f>Ruimtestaat[[#This Row],[uren / jaar werkdagen]]*Tariefsopbouw!$E$35</f>
        <v>0</v>
      </c>
      <c r="Z517" s="88"/>
      <c r="AA517" s="92">
        <f>IF(Ruimtestaat[[#This Row],[Frequentie weekend]]&gt;0,VALUE(LEFT(Z517,1))*S517,0)</f>
        <v>0</v>
      </c>
      <c r="AB517" s="88">
        <f>IF($AA517&gt;0,VLOOKUP($K517,Ruimtegroepen[],3,FALSE)*VLOOKUP($M517,Vloersoorten[],3,FALSE)*VLOOKUP($Z517,Frequenties[],3,FALSE)*VLOOKUP(#REF!,Locaties[],3,FALSE),0)</f>
        <v>0</v>
      </c>
      <c r="AC517" s="90">
        <f>Ruimtestaat[[#This Row],[Uitvoeringen weekend]]*Ruimtestaat[[#This Row],[Oppervlak (netto)]]</f>
        <v>0</v>
      </c>
      <c r="AD517" s="93">
        <f>IF(AC517&gt;0,Ruimtestaat[[#This Row],[Prest. (m2 /jaar) weekend]]/Ruimtestaat[[#This Row],[Norm (m2/uur) weekend]],0)</f>
        <v>0</v>
      </c>
      <c r="AE517" s="94">
        <f>Ruimtestaat[[#This Row],[uren / jaar weekend]]*Tariefsopbouw!$D$40</f>
        <v>0</v>
      </c>
      <c r="AF517" s="66">
        <f>Ruimtestaat[[#This Row],[Prest. (m2 /jaar) weekend]]+Ruimtestaat[[#This Row],[Prest. (m2 /jaar) werkdagen]]</f>
        <v>7200</v>
      </c>
      <c r="AG517" s="66">
        <f>Ruimtestaat[[#This Row],[uren / jaar weekend]]+Ruimtestaat[[#This Row],[uren / jaar werkdagen]]</f>
        <v>0</v>
      </c>
      <c r="AH517" s="67">
        <f>Ruimtestaat[[#This Row],[kosten / jaar weekend]]+Ruimtestaat[[#This Row],[kosten / jaar werkdagen]]</f>
        <v>0</v>
      </c>
    </row>
    <row r="518" spans="1:34" ht="15" customHeight="1">
      <c r="A518" s="112">
        <v>3</v>
      </c>
      <c r="B518" s="23" t="str">
        <f>VLOOKUP(Ruimtestaat[[#This Row],[Code]],Locaties[#All],2,FALSE)</f>
        <v>RSG N.O. Veluwe</v>
      </c>
      <c r="C518" s="23" t="str">
        <f>VLOOKUP(Ruimtestaat[[#This Row],[Code]],Locaties[#All],4,FALSE)</f>
        <v>Schotweg 1</v>
      </c>
      <c r="D518" s="23" t="str">
        <f>VLOOKUP(Ruimtestaat[[#This Row],[Code]],Locaties[#All],5,FALSE)</f>
        <v>8162 GM</v>
      </c>
      <c r="E518" s="23" t="str">
        <f>VLOOKUP(Ruimtestaat[[#This Row],[Code]],Locaties[#All],6,FALSE)</f>
        <v>Epe</v>
      </c>
      <c r="F518" s="23" t="s">
        <v>1110</v>
      </c>
      <c r="G518" s="60"/>
      <c r="H518" s="23" t="s">
        <v>1299</v>
      </c>
      <c r="I518" s="23" t="s">
        <v>1226</v>
      </c>
      <c r="J518" s="3" t="s">
        <v>1119</v>
      </c>
      <c r="K518" s="23">
        <v>2</v>
      </c>
      <c r="L518" s="60" t="str">
        <f>VLOOKUP(K518,Ruimtegroepen[],2,FALSE)</f>
        <v>Kantoren</v>
      </c>
      <c r="M518" s="23" t="s">
        <v>1094</v>
      </c>
      <c r="N518" s="23" t="s">
        <v>1095</v>
      </c>
      <c r="O518" s="86">
        <v>25</v>
      </c>
      <c r="P518" s="86"/>
      <c r="Q518" s="95" t="str">
        <f>LEFT(VLOOKUP(Ruimtestaat[[#This Row],[Ruimte code]],Ruimtegroepen[#All],4,1),2)</f>
        <v xml:space="preserve">B </v>
      </c>
      <c r="R518" s="95"/>
      <c r="S518" s="87">
        <v>42</v>
      </c>
      <c r="T518" s="87" t="s">
        <v>2</v>
      </c>
      <c r="U518" s="88">
        <f>IF(S518&gt;0,IF(RIGHT(Ruimtestaat[[#This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18" s="88">
        <f>IF(U518&gt;0,VLOOKUP($K518,Ruimtegroepen[],3,FALSE)*VLOOKUP($M518,Vloersoorten[],3,FALSE)*VLOOKUP($T518,Frequenties[],3,FALSE)*VLOOKUP($A518,Locaties[],3,FALSE),0)</f>
        <v>0</v>
      </c>
      <c r="W518" s="89">
        <f>Ruimtestaat[[#This Row],[Uitvoeringen werkdagen]]*Ruimtestaat[[#This Row],[Oppervlak (netto)]]</f>
        <v>5250</v>
      </c>
      <c r="X518" s="90">
        <f>IF(V518&gt;0,Ruimtestaat[[#This Row],[Prest. (m2 /jaar) werkdagen]]/Ruimtestaat[[#This Row],[Norm (m2/uur) werkdagen]],0)</f>
        <v>0</v>
      </c>
      <c r="Y518" s="91">
        <f>Ruimtestaat[[#This Row],[uren / jaar werkdagen]]*Tariefsopbouw!$E$35</f>
        <v>0</v>
      </c>
      <c r="Z518" s="88"/>
      <c r="AA518" s="92">
        <f>IF(Ruimtestaat[[#This Row],[Frequentie weekend]]&gt;0,VALUE(LEFT(Z518,1))*S518,0)</f>
        <v>0</v>
      </c>
      <c r="AB518" s="88">
        <f>IF($AA518&gt;0,VLOOKUP($K518,Ruimtegroepen[],3,FALSE)*VLOOKUP($M518,Vloersoorten[],3,FALSE)*VLOOKUP($Z518,Frequenties[],3,FALSE)*VLOOKUP(#REF!,Locaties[],3,FALSE),0)</f>
        <v>0</v>
      </c>
      <c r="AC518" s="90">
        <f>Ruimtestaat[[#This Row],[Uitvoeringen weekend]]*Ruimtestaat[[#This Row],[Oppervlak (netto)]]</f>
        <v>0</v>
      </c>
      <c r="AD518" s="93">
        <f>IF(AC518&gt;0,Ruimtestaat[[#This Row],[Prest. (m2 /jaar) weekend]]/Ruimtestaat[[#This Row],[Norm (m2/uur) weekend]],0)</f>
        <v>0</v>
      </c>
      <c r="AE518" s="94">
        <f>Ruimtestaat[[#This Row],[uren / jaar weekend]]*Tariefsopbouw!$D$40</f>
        <v>0</v>
      </c>
      <c r="AF518" s="66">
        <f>Ruimtestaat[[#This Row],[Prest. (m2 /jaar) weekend]]+Ruimtestaat[[#This Row],[Prest. (m2 /jaar) werkdagen]]</f>
        <v>5250</v>
      </c>
      <c r="AG518" s="66">
        <f>Ruimtestaat[[#This Row],[uren / jaar weekend]]+Ruimtestaat[[#This Row],[uren / jaar werkdagen]]</f>
        <v>0</v>
      </c>
      <c r="AH518" s="67">
        <f>Ruimtestaat[[#This Row],[kosten / jaar weekend]]+Ruimtestaat[[#This Row],[kosten / jaar werkdagen]]</f>
        <v>0</v>
      </c>
    </row>
    <row r="519" spans="1:34" ht="15" customHeight="1">
      <c r="A519" s="112">
        <v>3</v>
      </c>
      <c r="B519" s="23" t="str">
        <f>VLOOKUP(Ruimtestaat[[#This Row],[Code]],Locaties[#All],2,FALSE)</f>
        <v>RSG N.O. Veluwe</v>
      </c>
      <c r="C519" s="23" t="str">
        <f>VLOOKUP(Ruimtestaat[[#This Row],[Code]],Locaties[#All],4,FALSE)</f>
        <v>Schotweg 1</v>
      </c>
      <c r="D519" s="23" t="str">
        <f>VLOOKUP(Ruimtestaat[[#This Row],[Code]],Locaties[#All],5,FALSE)</f>
        <v>8162 GM</v>
      </c>
      <c r="E519" s="23" t="str">
        <f>VLOOKUP(Ruimtestaat[[#This Row],[Code]],Locaties[#All],6,FALSE)</f>
        <v>Epe</v>
      </c>
      <c r="F519" s="23" t="s">
        <v>1110</v>
      </c>
      <c r="G519" s="60"/>
      <c r="H519" s="23" t="s">
        <v>1299</v>
      </c>
      <c r="I519" s="23" t="s">
        <v>1227</v>
      </c>
      <c r="J519" s="3" t="s">
        <v>1059</v>
      </c>
      <c r="K519" s="23">
        <v>16</v>
      </c>
      <c r="L519" s="60" t="str">
        <f>VLOOKUP(K519,Ruimtegroepen[],2,FALSE)</f>
        <v>Leslokalen theorie</v>
      </c>
      <c r="M519" s="23" t="s">
        <v>1300</v>
      </c>
      <c r="N519" s="23" t="s">
        <v>1301</v>
      </c>
      <c r="O519" s="86">
        <v>54</v>
      </c>
      <c r="P519" s="86"/>
      <c r="Q519" s="95" t="str">
        <f>LEFT(VLOOKUP(Ruimtestaat[[#This Row],[Ruimte code]],Ruimtegroepen[#All],4,1),2)</f>
        <v xml:space="preserve">L </v>
      </c>
      <c r="R519" s="95"/>
      <c r="S519" s="87">
        <v>40</v>
      </c>
      <c r="T519" s="87" t="s">
        <v>2</v>
      </c>
      <c r="U519" s="88">
        <f>IF(S519&gt;0,IF(RIGHT(Ruimtestaat[[#This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19" s="88">
        <f>IF(U519&gt;0,VLOOKUP($K519,Ruimtegroepen[],3,FALSE)*VLOOKUP($M519,Vloersoorten[],3,FALSE)*VLOOKUP($T519,Frequenties[],3,FALSE)*VLOOKUP($A519,Locaties[],3,FALSE),0)</f>
        <v>0</v>
      </c>
      <c r="W519" s="89">
        <f>Ruimtestaat[[#This Row],[Uitvoeringen werkdagen]]*Ruimtestaat[[#This Row],[Oppervlak (netto)]]</f>
        <v>10800</v>
      </c>
      <c r="X519" s="90">
        <f>IF(V519&gt;0,Ruimtestaat[[#This Row],[Prest. (m2 /jaar) werkdagen]]/Ruimtestaat[[#This Row],[Norm (m2/uur) werkdagen]],0)</f>
        <v>0</v>
      </c>
      <c r="Y519" s="91">
        <f>Ruimtestaat[[#This Row],[uren / jaar werkdagen]]*Tariefsopbouw!$E$35</f>
        <v>0</v>
      </c>
      <c r="Z519" s="88"/>
      <c r="AA519" s="92">
        <f>IF(Ruimtestaat[[#This Row],[Frequentie weekend]]&gt;0,VALUE(LEFT(Z519,1))*S519,0)</f>
        <v>0</v>
      </c>
      <c r="AB519" s="88">
        <f>IF($AA519&gt;0,VLOOKUP($K519,Ruimtegroepen[],3,FALSE)*VLOOKUP($M519,Vloersoorten[],3,FALSE)*VLOOKUP($Z519,Frequenties[],3,FALSE)*VLOOKUP(#REF!,Locaties[],3,FALSE),0)</f>
        <v>0</v>
      </c>
      <c r="AC519" s="90">
        <f>Ruimtestaat[[#This Row],[Uitvoeringen weekend]]*Ruimtestaat[[#This Row],[Oppervlak (netto)]]</f>
        <v>0</v>
      </c>
      <c r="AD519" s="93">
        <f>IF(AC519&gt;0,Ruimtestaat[[#This Row],[Prest. (m2 /jaar) weekend]]/Ruimtestaat[[#This Row],[Norm (m2/uur) weekend]],0)</f>
        <v>0</v>
      </c>
      <c r="AE519" s="94">
        <f>Ruimtestaat[[#This Row],[uren / jaar weekend]]*Tariefsopbouw!$D$40</f>
        <v>0</v>
      </c>
      <c r="AF519" s="66">
        <f>Ruimtestaat[[#This Row],[Prest. (m2 /jaar) weekend]]+Ruimtestaat[[#This Row],[Prest. (m2 /jaar) werkdagen]]</f>
        <v>10800</v>
      </c>
      <c r="AG519" s="66">
        <f>Ruimtestaat[[#This Row],[uren / jaar weekend]]+Ruimtestaat[[#This Row],[uren / jaar werkdagen]]</f>
        <v>0</v>
      </c>
      <c r="AH519" s="67">
        <f>Ruimtestaat[[#This Row],[kosten / jaar weekend]]+Ruimtestaat[[#This Row],[kosten / jaar werkdagen]]</f>
        <v>0</v>
      </c>
    </row>
    <row r="520" spans="1:34" ht="15" customHeight="1">
      <c r="A520" s="112">
        <v>3</v>
      </c>
      <c r="B520" s="23" t="str">
        <f>VLOOKUP(Ruimtestaat[[#This Row],[Code]],Locaties[#All],2,FALSE)</f>
        <v>RSG N.O. Veluwe</v>
      </c>
      <c r="C520" s="23" t="str">
        <f>VLOOKUP(Ruimtestaat[[#This Row],[Code]],Locaties[#All],4,FALSE)</f>
        <v>Schotweg 1</v>
      </c>
      <c r="D520" s="23" t="str">
        <f>VLOOKUP(Ruimtestaat[[#This Row],[Code]],Locaties[#All],5,FALSE)</f>
        <v>8162 GM</v>
      </c>
      <c r="E520" s="23" t="str">
        <f>VLOOKUP(Ruimtestaat[[#This Row],[Code]],Locaties[#All],6,FALSE)</f>
        <v>Epe</v>
      </c>
      <c r="F520" s="23" t="s">
        <v>1110</v>
      </c>
      <c r="G520" s="60"/>
      <c r="H520" s="23" t="s">
        <v>1299</v>
      </c>
      <c r="I520" s="23" t="s">
        <v>1236</v>
      </c>
      <c r="J520" s="3" t="s">
        <v>1259</v>
      </c>
      <c r="K520" s="23">
        <v>16</v>
      </c>
      <c r="L520" s="60" t="str">
        <f>VLOOKUP(K520,Ruimtegroepen[],2,FALSE)</f>
        <v>Leslokalen theorie</v>
      </c>
      <c r="M520" s="23" t="s">
        <v>1094</v>
      </c>
      <c r="N520" s="23" t="s">
        <v>1095</v>
      </c>
      <c r="O520" s="86">
        <v>25</v>
      </c>
      <c r="P520" s="86"/>
      <c r="Q520" s="95" t="str">
        <f>LEFT(VLOOKUP(Ruimtestaat[[#This Row],[Ruimte code]],Ruimtegroepen[#All],4,1),2)</f>
        <v xml:space="preserve">L </v>
      </c>
      <c r="R520" s="95"/>
      <c r="S520" s="87">
        <v>40</v>
      </c>
      <c r="T520" s="87" t="s">
        <v>2</v>
      </c>
      <c r="U520" s="88">
        <f>IF(S520&gt;0,IF(RIGHT(Ruimtestaat[[#This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20" s="88">
        <f>IF(U520&gt;0,VLOOKUP($K520,Ruimtegroepen[],3,FALSE)*VLOOKUP($M520,Vloersoorten[],3,FALSE)*VLOOKUP($T520,Frequenties[],3,FALSE)*VLOOKUP($A520,Locaties[],3,FALSE),0)</f>
        <v>0</v>
      </c>
      <c r="W520" s="89">
        <f>Ruimtestaat[[#This Row],[Uitvoeringen werkdagen]]*Ruimtestaat[[#This Row],[Oppervlak (netto)]]</f>
        <v>5000</v>
      </c>
      <c r="X520" s="90">
        <f>IF(V520&gt;0,Ruimtestaat[[#This Row],[Prest. (m2 /jaar) werkdagen]]/Ruimtestaat[[#This Row],[Norm (m2/uur) werkdagen]],0)</f>
        <v>0</v>
      </c>
      <c r="Y520" s="91">
        <f>Ruimtestaat[[#This Row],[uren / jaar werkdagen]]*Tariefsopbouw!$E$35</f>
        <v>0</v>
      </c>
      <c r="Z520" s="88"/>
      <c r="AA520" s="92">
        <f>IF(Ruimtestaat[[#This Row],[Frequentie weekend]]&gt;0,VALUE(LEFT(Z520,1))*S520,0)</f>
        <v>0</v>
      </c>
      <c r="AB520" s="88">
        <f>IF($AA520&gt;0,VLOOKUP($K520,Ruimtegroepen[],3,FALSE)*VLOOKUP($M520,Vloersoorten[],3,FALSE)*VLOOKUP($Z520,Frequenties[],3,FALSE)*VLOOKUP(#REF!,Locaties[],3,FALSE),0)</f>
        <v>0</v>
      </c>
      <c r="AC520" s="90">
        <f>Ruimtestaat[[#This Row],[Uitvoeringen weekend]]*Ruimtestaat[[#This Row],[Oppervlak (netto)]]</f>
        <v>0</v>
      </c>
      <c r="AD520" s="93">
        <f>IF(AC520&gt;0,Ruimtestaat[[#This Row],[Prest. (m2 /jaar) weekend]]/Ruimtestaat[[#This Row],[Norm (m2/uur) weekend]],0)</f>
        <v>0</v>
      </c>
      <c r="AE520" s="94">
        <f>Ruimtestaat[[#This Row],[uren / jaar weekend]]*Tariefsopbouw!$D$40</f>
        <v>0</v>
      </c>
      <c r="AF520" s="66">
        <f>Ruimtestaat[[#This Row],[Prest. (m2 /jaar) weekend]]+Ruimtestaat[[#This Row],[Prest. (m2 /jaar) werkdagen]]</f>
        <v>5000</v>
      </c>
      <c r="AG520" s="66">
        <f>Ruimtestaat[[#This Row],[uren / jaar weekend]]+Ruimtestaat[[#This Row],[uren / jaar werkdagen]]</f>
        <v>0</v>
      </c>
      <c r="AH520" s="67">
        <f>Ruimtestaat[[#This Row],[kosten / jaar weekend]]+Ruimtestaat[[#This Row],[kosten / jaar werkdagen]]</f>
        <v>0</v>
      </c>
    </row>
    <row r="521" spans="1:34" ht="15" customHeight="1">
      <c r="A521" s="112">
        <v>3</v>
      </c>
      <c r="B521" s="23" t="str">
        <f>VLOOKUP(Ruimtestaat[[#This Row],[Code]],Locaties[#All],2,FALSE)</f>
        <v>RSG N.O. Veluwe</v>
      </c>
      <c r="C521" s="23" t="str">
        <f>VLOOKUP(Ruimtestaat[[#This Row],[Code]],Locaties[#All],4,FALSE)</f>
        <v>Schotweg 1</v>
      </c>
      <c r="D521" s="23" t="str">
        <f>VLOOKUP(Ruimtestaat[[#This Row],[Code]],Locaties[#All],5,FALSE)</f>
        <v>8162 GM</v>
      </c>
      <c r="E521" s="23" t="str">
        <f>VLOOKUP(Ruimtestaat[[#This Row],[Code]],Locaties[#All],6,FALSE)</f>
        <v>Epe</v>
      </c>
      <c r="F521" s="23" t="s">
        <v>1110</v>
      </c>
      <c r="G521" s="60"/>
      <c r="H521" s="23" t="s">
        <v>1299</v>
      </c>
      <c r="I521" s="23" t="s">
        <v>1238</v>
      </c>
      <c r="J521" s="3" t="s">
        <v>1179</v>
      </c>
      <c r="K521" s="23">
        <v>16</v>
      </c>
      <c r="L521" s="60" t="str">
        <f>VLOOKUP(K521,Ruimtegroepen[],2,FALSE)</f>
        <v>Leslokalen theorie</v>
      </c>
      <c r="M521" s="23" t="s">
        <v>1300</v>
      </c>
      <c r="N521" s="23" t="s">
        <v>1301</v>
      </c>
      <c r="O521" s="86">
        <v>54</v>
      </c>
      <c r="P521" s="86"/>
      <c r="Q521" s="95" t="str">
        <f>LEFT(VLOOKUP(Ruimtestaat[[#This Row],[Ruimte code]],Ruimtegroepen[#All],4,1),2)</f>
        <v xml:space="preserve">L </v>
      </c>
      <c r="R521" s="95"/>
      <c r="S521" s="87">
        <v>40</v>
      </c>
      <c r="T521" s="87" t="s">
        <v>2</v>
      </c>
      <c r="U521" s="88">
        <f>IF(S521&gt;0,IF(RIGHT(Ruimtestaat[[#This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21" s="88">
        <f>IF(U521&gt;0,VLOOKUP($K521,Ruimtegroepen[],3,FALSE)*VLOOKUP($M521,Vloersoorten[],3,FALSE)*VLOOKUP($T521,Frequenties[],3,FALSE)*VLOOKUP($A521,Locaties[],3,FALSE),0)</f>
        <v>0</v>
      </c>
      <c r="W521" s="89">
        <f>Ruimtestaat[[#This Row],[Uitvoeringen werkdagen]]*Ruimtestaat[[#This Row],[Oppervlak (netto)]]</f>
        <v>10800</v>
      </c>
      <c r="X521" s="90">
        <f>IF(V521&gt;0,Ruimtestaat[[#This Row],[Prest. (m2 /jaar) werkdagen]]/Ruimtestaat[[#This Row],[Norm (m2/uur) werkdagen]],0)</f>
        <v>0</v>
      </c>
      <c r="Y521" s="91">
        <f>Ruimtestaat[[#This Row],[uren / jaar werkdagen]]*Tariefsopbouw!$E$35</f>
        <v>0</v>
      </c>
      <c r="Z521" s="88"/>
      <c r="AA521" s="92">
        <f>IF(Ruimtestaat[[#This Row],[Frequentie weekend]]&gt;0,VALUE(LEFT(Z521,1))*S521,0)</f>
        <v>0</v>
      </c>
      <c r="AB521" s="88">
        <f>IF($AA521&gt;0,VLOOKUP($K521,Ruimtegroepen[],3,FALSE)*VLOOKUP($M521,Vloersoorten[],3,FALSE)*VLOOKUP($Z521,Frequenties[],3,FALSE)*VLOOKUP(#REF!,Locaties[],3,FALSE),0)</f>
        <v>0</v>
      </c>
      <c r="AC521" s="90">
        <f>Ruimtestaat[[#This Row],[Uitvoeringen weekend]]*Ruimtestaat[[#This Row],[Oppervlak (netto)]]</f>
        <v>0</v>
      </c>
      <c r="AD521" s="93">
        <f>IF(AC521&gt;0,Ruimtestaat[[#This Row],[Prest. (m2 /jaar) weekend]]/Ruimtestaat[[#This Row],[Norm (m2/uur) weekend]],0)</f>
        <v>0</v>
      </c>
      <c r="AE521" s="94">
        <f>Ruimtestaat[[#This Row],[uren / jaar weekend]]*Tariefsopbouw!$D$40</f>
        <v>0</v>
      </c>
      <c r="AF521" s="66">
        <f>Ruimtestaat[[#This Row],[Prest. (m2 /jaar) weekend]]+Ruimtestaat[[#This Row],[Prest. (m2 /jaar) werkdagen]]</f>
        <v>10800</v>
      </c>
      <c r="AG521" s="66">
        <f>Ruimtestaat[[#This Row],[uren / jaar weekend]]+Ruimtestaat[[#This Row],[uren / jaar werkdagen]]</f>
        <v>0</v>
      </c>
      <c r="AH521" s="67">
        <f>Ruimtestaat[[#This Row],[kosten / jaar weekend]]+Ruimtestaat[[#This Row],[kosten / jaar werkdagen]]</f>
        <v>0</v>
      </c>
    </row>
    <row r="522" spans="1:34" ht="15" customHeight="1">
      <c r="A522" s="112">
        <v>3</v>
      </c>
      <c r="B522" s="23" t="str">
        <f>VLOOKUP(Ruimtestaat[[#This Row],[Code]],Locaties[#All],2,FALSE)</f>
        <v>RSG N.O. Veluwe</v>
      </c>
      <c r="C522" s="23" t="str">
        <f>VLOOKUP(Ruimtestaat[[#This Row],[Code]],Locaties[#All],4,FALSE)</f>
        <v>Schotweg 1</v>
      </c>
      <c r="D522" s="23" t="str">
        <f>VLOOKUP(Ruimtestaat[[#This Row],[Code]],Locaties[#All],5,FALSE)</f>
        <v>8162 GM</v>
      </c>
      <c r="E522" s="23" t="str">
        <f>VLOOKUP(Ruimtestaat[[#This Row],[Code]],Locaties[#All],6,FALSE)</f>
        <v>Epe</v>
      </c>
      <c r="F522" s="23" t="s">
        <v>1110</v>
      </c>
      <c r="G522" s="60"/>
      <c r="H522" s="23" t="s">
        <v>1299</v>
      </c>
      <c r="I522" s="23" t="s">
        <v>1239</v>
      </c>
      <c r="J522" s="3" t="s">
        <v>1179</v>
      </c>
      <c r="K522" s="23">
        <v>16</v>
      </c>
      <c r="L522" s="60" t="str">
        <f>VLOOKUP(K522,Ruimtegroepen[],2,FALSE)</f>
        <v>Leslokalen theorie</v>
      </c>
      <c r="M522" s="23" t="s">
        <v>1300</v>
      </c>
      <c r="N522" s="23" t="s">
        <v>1301</v>
      </c>
      <c r="O522" s="86">
        <v>54</v>
      </c>
      <c r="P522" s="86"/>
      <c r="Q522" s="95" t="str">
        <f>LEFT(VLOOKUP(Ruimtestaat[[#This Row],[Ruimte code]],Ruimtegroepen[#All],4,1),2)</f>
        <v xml:space="preserve">L </v>
      </c>
      <c r="R522" s="95"/>
      <c r="S522" s="87">
        <v>40</v>
      </c>
      <c r="T522" s="87" t="s">
        <v>2</v>
      </c>
      <c r="U522" s="88">
        <f>IF(S522&gt;0,IF(RIGHT(Ruimtestaat[[#This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22" s="88">
        <f>IF(U522&gt;0,VLOOKUP($K522,Ruimtegroepen[],3,FALSE)*VLOOKUP($M522,Vloersoorten[],3,FALSE)*VLOOKUP($T522,Frequenties[],3,FALSE)*VLOOKUP($A522,Locaties[],3,FALSE),0)</f>
        <v>0</v>
      </c>
      <c r="W522" s="89">
        <f>Ruimtestaat[[#This Row],[Uitvoeringen werkdagen]]*Ruimtestaat[[#This Row],[Oppervlak (netto)]]</f>
        <v>10800</v>
      </c>
      <c r="X522" s="90">
        <f>IF(V522&gt;0,Ruimtestaat[[#This Row],[Prest. (m2 /jaar) werkdagen]]/Ruimtestaat[[#This Row],[Norm (m2/uur) werkdagen]],0)</f>
        <v>0</v>
      </c>
      <c r="Y522" s="91">
        <f>Ruimtestaat[[#This Row],[uren / jaar werkdagen]]*Tariefsopbouw!$E$35</f>
        <v>0</v>
      </c>
      <c r="Z522" s="88"/>
      <c r="AA522" s="92">
        <f>IF(Ruimtestaat[[#This Row],[Frequentie weekend]]&gt;0,VALUE(LEFT(Z522,1))*S522,0)</f>
        <v>0</v>
      </c>
      <c r="AB522" s="88">
        <f>IF($AA522&gt;0,VLOOKUP($K522,Ruimtegroepen[],3,FALSE)*VLOOKUP($M522,Vloersoorten[],3,FALSE)*VLOOKUP($Z522,Frequenties[],3,FALSE)*VLOOKUP(#REF!,Locaties[],3,FALSE),0)</f>
        <v>0</v>
      </c>
      <c r="AC522" s="90">
        <f>Ruimtestaat[[#This Row],[Uitvoeringen weekend]]*Ruimtestaat[[#This Row],[Oppervlak (netto)]]</f>
        <v>0</v>
      </c>
      <c r="AD522" s="93">
        <f>IF(AC522&gt;0,Ruimtestaat[[#This Row],[Prest. (m2 /jaar) weekend]]/Ruimtestaat[[#This Row],[Norm (m2/uur) weekend]],0)</f>
        <v>0</v>
      </c>
      <c r="AE522" s="94">
        <f>Ruimtestaat[[#This Row],[uren / jaar weekend]]*Tariefsopbouw!$D$40</f>
        <v>0</v>
      </c>
      <c r="AF522" s="66">
        <f>Ruimtestaat[[#This Row],[Prest. (m2 /jaar) weekend]]+Ruimtestaat[[#This Row],[Prest. (m2 /jaar) werkdagen]]</f>
        <v>10800</v>
      </c>
      <c r="AG522" s="66">
        <f>Ruimtestaat[[#This Row],[uren / jaar weekend]]+Ruimtestaat[[#This Row],[uren / jaar werkdagen]]</f>
        <v>0</v>
      </c>
      <c r="AH522" s="67">
        <f>Ruimtestaat[[#This Row],[kosten / jaar weekend]]+Ruimtestaat[[#This Row],[kosten / jaar werkdagen]]</f>
        <v>0</v>
      </c>
    </row>
    <row r="523" spans="1:34" ht="15" customHeight="1">
      <c r="A523" s="112">
        <v>3</v>
      </c>
      <c r="B523" s="23" t="str">
        <f>VLOOKUP(Ruimtestaat[[#This Row],[Code]],Locaties[#All],2,FALSE)</f>
        <v>RSG N.O. Veluwe</v>
      </c>
      <c r="C523" s="23" t="str">
        <f>VLOOKUP(Ruimtestaat[[#This Row],[Code]],Locaties[#All],4,FALSE)</f>
        <v>Schotweg 1</v>
      </c>
      <c r="D523" s="23" t="str">
        <f>VLOOKUP(Ruimtestaat[[#This Row],[Code]],Locaties[#All],5,FALSE)</f>
        <v>8162 GM</v>
      </c>
      <c r="E523" s="23" t="str">
        <f>VLOOKUP(Ruimtestaat[[#This Row],[Code]],Locaties[#All],6,FALSE)</f>
        <v>Epe</v>
      </c>
      <c r="F523" s="23" t="s">
        <v>1110</v>
      </c>
      <c r="G523" s="60"/>
      <c r="H523" s="23" t="s">
        <v>1299</v>
      </c>
      <c r="I523" s="23" t="s">
        <v>1240</v>
      </c>
      <c r="J523" s="3" t="s">
        <v>1179</v>
      </c>
      <c r="K523" s="23">
        <v>16</v>
      </c>
      <c r="L523" s="60" t="str">
        <f>VLOOKUP(K523,Ruimtegroepen[],2,FALSE)</f>
        <v>Leslokalen theorie</v>
      </c>
      <c r="M523" s="23" t="s">
        <v>1300</v>
      </c>
      <c r="N523" s="23" t="s">
        <v>1301</v>
      </c>
      <c r="O523" s="86">
        <v>54</v>
      </c>
      <c r="P523" s="86"/>
      <c r="Q523" s="95" t="str">
        <f>LEFT(VLOOKUP(Ruimtestaat[[#This Row],[Ruimte code]],Ruimtegroepen[#All],4,1),2)</f>
        <v xml:space="preserve">L </v>
      </c>
      <c r="R523" s="95"/>
      <c r="S523" s="87">
        <v>40</v>
      </c>
      <c r="T523" s="87" t="s">
        <v>2</v>
      </c>
      <c r="U523" s="88">
        <f>IF(S523&gt;0,IF(RIGHT(Ruimtestaat[[#This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23" s="88">
        <f>IF(U523&gt;0,VLOOKUP($K523,Ruimtegroepen[],3,FALSE)*VLOOKUP($M523,Vloersoorten[],3,FALSE)*VLOOKUP($T523,Frequenties[],3,FALSE)*VLOOKUP($A523,Locaties[],3,FALSE),0)</f>
        <v>0</v>
      </c>
      <c r="W523" s="89">
        <f>Ruimtestaat[[#This Row],[Uitvoeringen werkdagen]]*Ruimtestaat[[#This Row],[Oppervlak (netto)]]</f>
        <v>10800</v>
      </c>
      <c r="X523" s="90">
        <f>IF(V523&gt;0,Ruimtestaat[[#This Row],[Prest. (m2 /jaar) werkdagen]]/Ruimtestaat[[#This Row],[Norm (m2/uur) werkdagen]],0)</f>
        <v>0</v>
      </c>
      <c r="Y523" s="91">
        <f>Ruimtestaat[[#This Row],[uren / jaar werkdagen]]*Tariefsopbouw!$E$35</f>
        <v>0</v>
      </c>
      <c r="Z523" s="88"/>
      <c r="AA523" s="92">
        <f>IF(Ruimtestaat[[#This Row],[Frequentie weekend]]&gt;0,VALUE(LEFT(Z523,1))*S523,0)</f>
        <v>0</v>
      </c>
      <c r="AB523" s="88">
        <f>IF($AA523&gt;0,VLOOKUP($K523,Ruimtegroepen[],3,FALSE)*VLOOKUP($M523,Vloersoorten[],3,FALSE)*VLOOKUP($Z523,Frequenties[],3,FALSE)*VLOOKUP(#REF!,Locaties[],3,FALSE),0)</f>
        <v>0</v>
      </c>
      <c r="AC523" s="90">
        <f>Ruimtestaat[[#This Row],[Uitvoeringen weekend]]*Ruimtestaat[[#This Row],[Oppervlak (netto)]]</f>
        <v>0</v>
      </c>
      <c r="AD523" s="93">
        <f>IF(AC523&gt;0,Ruimtestaat[[#This Row],[Prest. (m2 /jaar) weekend]]/Ruimtestaat[[#This Row],[Norm (m2/uur) weekend]],0)</f>
        <v>0</v>
      </c>
      <c r="AE523" s="94">
        <f>Ruimtestaat[[#This Row],[uren / jaar weekend]]*Tariefsopbouw!$D$40</f>
        <v>0</v>
      </c>
      <c r="AF523" s="66">
        <f>Ruimtestaat[[#This Row],[Prest. (m2 /jaar) weekend]]+Ruimtestaat[[#This Row],[Prest. (m2 /jaar) werkdagen]]</f>
        <v>10800</v>
      </c>
      <c r="AG523" s="66">
        <f>Ruimtestaat[[#This Row],[uren / jaar weekend]]+Ruimtestaat[[#This Row],[uren / jaar werkdagen]]</f>
        <v>0</v>
      </c>
      <c r="AH523" s="67">
        <f>Ruimtestaat[[#This Row],[kosten / jaar weekend]]+Ruimtestaat[[#This Row],[kosten / jaar werkdagen]]</f>
        <v>0</v>
      </c>
    </row>
    <row r="524" spans="1:34" ht="15" customHeight="1">
      <c r="A524" s="112">
        <v>3</v>
      </c>
      <c r="B524" s="23" t="str">
        <f>VLOOKUP(Ruimtestaat[[#This Row],[Code]],Locaties[#All],2,FALSE)</f>
        <v>RSG N.O. Veluwe</v>
      </c>
      <c r="C524" s="23" t="str">
        <f>VLOOKUP(Ruimtestaat[[#This Row],[Code]],Locaties[#All],4,FALSE)</f>
        <v>Schotweg 1</v>
      </c>
      <c r="D524" s="23" t="str">
        <f>VLOOKUP(Ruimtestaat[[#This Row],[Code]],Locaties[#All],5,FALSE)</f>
        <v>8162 GM</v>
      </c>
      <c r="E524" s="23" t="str">
        <f>VLOOKUP(Ruimtestaat[[#This Row],[Code]],Locaties[#All],6,FALSE)</f>
        <v>Epe</v>
      </c>
      <c r="F524" s="23" t="s">
        <v>1110</v>
      </c>
      <c r="G524" s="60"/>
      <c r="H524" s="23" t="s">
        <v>1299</v>
      </c>
      <c r="I524" s="23" t="s">
        <v>1242</v>
      </c>
      <c r="J524" s="3" t="s">
        <v>1119</v>
      </c>
      <c r="K524" s="23">
        <v>2</v>
      </c>
      <c r="L524" s="60" t="str">
        <f>VLOOKUP(K524,Ruimtegroepen[],2,FALSE)</f>
        <v>Kantoren</v>
      </c>
      <c r="M524" s="23" t="s">
        <v>1094</v>
      </c>
      <c r="N524" s="23" t="s">
        <v>1095</v>
      </c>
      <c r="O524" s="86">
        <v>18</v>
      </c>
      <c r="P524" s="86"/>
      <c r="Q524" s="95" t="str">
        <f>LEFT(VLOOKUP(Ruimtestaat[[#This Row],[Ruimte code]],Ruimtegroepen[#All],4,1),2)</f>
        <v xml:space="preserve">B </v>
      </c>
      <c r="R524" s="95"/>
      <c r="S524" s="87">
        <v>42</v>
      </c>
      <c r="T524" s="87" t="s">
        <v>2</v>
      </c>
      <c r="U524" s="88">
        <f>IF(S524&gt;0,IF(RIGHT(Ruimtestaat[[#This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24" s="88">
        <f>IF(U524&gt;0,VLOOKUP($K524,Ruimtegroepen[],3,FALSE)*VLOOKUP($M524,Vloersoorten[],3,FALSE)*VLOOKUP($T524,Frequenties[],3,FALSE)*VLOOKUP($A524,Locaties[],3,FALSE),0)</f>
        <v>0</v>
      </c>
      <c r="W524" s="89">
        <f>Ruimtestaat[[#This Row],[Uitvoeringen werkdagen]]*Ruimtestaat[[#This Row],[Oppervlak (netto)]]</f>
        <v>3780</v>
      </c>
      <c r="X524" s="90">
        <f>IF(V524&gt;0,Ruimtestaat[[#This Row],[Prest. (m2 /jaar) werkdagen]]/Ruimtestaat[[#This Row],[Norm (m2/uur) werkdagen]],0)</f>
        <v>0</v>
      </c>
      <c r="Y524" s="91">
        <f>Ruimtestaat[[#This Row],[uren / jaar werkdagen]]*Tariefsopbouw!$E$35</f>
        <v>0</v>
      </c>
      <c r="Z524" s="88"/>
      <c r="AA524" s="92">
        <f>IF(Ruimtestaat[[#This Row],[Frequentie weekend]]&gt;0,VALUE(LEFT(Z524,1))*S524,0)</f>
        <v>0</v>
      </c>
      <c r="AB524" s="88">
        <f>IF($AA524&gt;0,VLOOKUP($K524,Ruimtegroepen[],3,FALSE)*VLOOKUP($M524,Vloersoorten[],3,FALSE)*VLOOKUP($Z524,Frequenties[],3,FALSE)*VLOOKUP(#REF!,Locaties[],3,FALSE),0)</f>
        <v>0</v>
      </c>
      <c r="AC524" s="90">
        <f>Ruimtestaat[[#This Row],[Uitvoeringen weekend]]*Ruimtestaat[[#This Row],[Oppervlak (netto)]]</f>
        <v>0</v>
      </c>
      <c r="AD524" s="93">
        <f>IF(AC524&gt;0,Ruimtestaat[[#This Row],[Prest. (m2 /jaar) weekend]]/Ruimtestaat[[#This Row],[Norm (m2/uur) weekend]],0)</f>
        <v>0</v>
      </c>
      <c r="AE524" s="94">
        <f>Ruimtestaat[[#This Row],[uren / jaar weekend]]*Tariefsopbouw!$D$40</f>
        <v>0</v>
      </c>
      <c r="AF524" s="66">
        <f>Ruimtestaat[[#This Row],[Prest. (m2 /jaar) weekend]]+Ruimtestaat[[#This Row],[Prest. (m2 /jaar) werkdagen]]</f>
        <v>3780</v>
      </c>
      <c r="AG524" s="66">
        <f>Ruimtestaat[[#This Row],[uren / jaar weekend]]+Ruimtestaat[[#This Row],[uren / jaar werkdagen]]</f>
        <v>0</v>
      </c>
      <c r="AH524" s="67">
        <f>Ruimtestaat[[#This Row],[kosten / jaar weekend]]+Ruimtestaat[[#This Row],[kosten / jaar werkdagen]]</f>
        <v>0</v>
      </c>
    </row>
    <row r="525" spans="1:34" ht="15" customHeight="1">
      <c r="A525" s="112">
        <v>3</v>
      </c>
      <c r="B525" s="23" t="str">
        <f>VLOOKUP(Ruimtestaat[[#This Row],[Code]],Locaties[#All],2,FALSE)</f>
        <v>RSG N.O. Veluwe</v>
      </c>
      <c r="C525" s="23" t="str">
        <f>VLOOKUP(Ruimtestaat[[#This Row],[Code]],Locaties[#All],4,FALSE)</f>
        <v>Schotweg 1</v>
      </c>
      <c r="D525" s="23" t="str">
        <f>VLOOKUP(Ruimtestaat[[#This Row],[Code]],Locaties[#All],5,FALSE)</f>
        <v>8162 GM</v>
      </c>
      <c r="E525" s="23" t="str">
        <f>VLOOKUP(Ruimtestaat[[#This Row],[Code]],Locaties[#All],6,FALSE)</f>
        <v>Epe</v>
      </c>
      <c r="F525" s="23" t="s">
        <v>1110</v>
      </c>
      <c r="G525" s="60"/>
      <c r="H525" s="23" t="s">
        <v>1299</v>
      </c>
      <c r="I525" s="23" t="s">
        <v>1244</v>
      </c>
      <c r="J525" s="3" t="s">
        <v>1179</v>
      </c>
      <c r="K525" s="23">
        <v>16</v>
      </c>
      <c r="L525" s="60" t="str">
        <f>VLOOKUP(K525,Ruimtegroepen[],2,FALSE)</f>
        <v>Leslokalen theorie</v>
      </c>
      <c r="M525" s="23" t="s">
        <v>1300</v>
      </c>
      <c r="N525" s="23" t="s">
        <v>1301</v>
      </c>
      <c r="O525" s="86">
        <v>54</v>
      </c>
      <c r="P525" s="86"/>
      <c r="Q525" s="95" t="str">
        <f>LEFT(VLOOKUP(Ruimtestaat[[#This Row],[Ruimte code]],Ruimtegroepen[#All],4,1),2)</f>
        <v xml:space="preserve">L </v>
      </c>
      <c r="R525" s="95"/>
      <c r="S525" s="87">
        <v>40</v>
      </c>
      <c r="T525" s="87" t="s">
        <v>2</v>
      </c>
      <c r="U525" s="88">
        <f>IF(S525&gt;0,IF(RIGHT(Ruimtestaat[[#This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25" s="88">
        <f>IF(U525&gt;0,VLOOKUP($K525,Ruimtegroepen[],3,FALSE)*VLOOKUP($M525,Vloersoorten[],3,FALSE)*VLOOKUP($T525,Frequenties[],3,FALSE)*VLOOKUP($A525,Locaties[],3,FALSE),0)</f>
        <v>0</v>
      </c>
      <c r="W525" s="89">
        <f>Ruimtestaat[[#This Row],[Uitvoeringen werkdagen]]*Ruimtestaat[[#This Row],[Oppervlak (netto)]]</f>
        <v>10800</v>
      </c>
      <c r="X525" s="90">
        <f>IF(V525&gt;0,Ruimtestaat[[#This Row],[Prest. (m2 /jaar) werkdagen]]/Ruimtestaat[[#This Row],[Norm (m2/uur) werkdagen]],0)</f>
        <v>0</v>
      </c>
      <c r="Y525" s="91">
        <f>Ruimtestaat[[#This Row],[uren / jaar werkdagen]]*Tariefsopbouw!$E$35</f>
        <v>0</v>
      </c>
      <c r="Z525" s="88"/>
      <c r="AA525" s="92">
        <f>IF(Ruimtestaat[[#This Row],[Frequentie weekend]]&gt;0,VALUE(LEFT(Z525,1))*S525,0)</f>
        <v>0</v>
      </c>
      <c r="AB525" s="88">
        <f>IF($AA525&gt;0,VLOOKUP($K525,Ruimtegroepen[],3,FALSE)*VLOOKUP($M525,Vloersoorten[],3,FALSE)*VLOOKUP($Z525,Frequenties[],3,FALSE)*VLOOKUP(#REF!,Locaties[],3,FALSE),0)</f>
        <v>0</v>
      </c>
      <c r="AC525" s="90">
        <f>Ruimtestaat[[#This Row],[Uitvoeringen weekend]]*Ruimtestaat[[#This Row],[Oppervlak (netto)]]</f>
        <v>0</v>
      </c>
      <c r="AD525" s="93">
        <f>IF(AC525&gt;0,Ruimtestaat[[#This Row],[Prest. (m2 /jaar) weekend]]/Ruimtestaat[[#This Row],[Norm (m2/uur) weekend]],0)</f>
        <v>0</v>
      </c>
      <c r="AE525" s="94">
        <f>Ruimtestaat[[#This Row],[uren / jaar weekend]]*Tariefsopbouw!$D$40</f>
        <v>0</v>
      </c>
      <c r="AF525" s="66">
        <f>Ruimtestaat[[#This Row],[Prest. (m2 /jaar) weekend]]+Ruimtestaat[[#This Row],[Prest. (m2 /jaar) werkdagen]]</f>
        <v>10800</v>
      </c>
      <c r="AG525" s="66">
        <f>Ruimtestaat[[#This Row],[uren / jaar weekend]]+Ruimtestaat[[#This Row],[uren / jaar werkdagen]]</f>
        <v>0</v>
      </c>
      <c r="AH525" s="67">
        <f>Ruimtestaat[[#This Row],[kosten / jaar weekend]]+Ruimtestaat[[#This Row],[kosten / jaar werkdagen]]</f>
        <v>0</v>
      </c>
    </row>
    <row r="526" spans="1:34" ht="15" customHeight="1">
      <c r="A526" s="112">
        <v>3</v>
      </c>
      <c r="B526" s="23" t="str">
        <f>VLOOKUP(Ruimtestaat[[#This Row],[Code]],Locaties[#All],2,FALSE)</f>
        <v>RSG N.O. Veluwe</v>
      </c>
      <c r="C526" s="23" t="str">
        <f>VLOOKUP(Ruimtestaat[[#This Row],[Code]],Locaties[#All],4,FALSE)</f>
        <v>Schotweg 1</v>
      </c>
      <c r="D526" s="23" t="str">
        <f>VLOOKUP(Ruimtestaat[[#This Row],[Code]],Locaties[#All],5,FALSE)</f>
        <v>8162 GM</v>
      </c>
      <c r="E526" s="23" t="str">
        <f>VLOOKUP(Ruimtestaat[[#This Row],[Code]],Locaties[#All],6,FALSE)</f>
        <v>Epe</v>
      </c>
      <c r="F526" s="23" t="s">
        <v>1110</v>
      </c>
      <c r="G526" s="60"/>
      <c r="H526" s="23" t="s">
        <v>1299</v>
      </c>
      <c r="I526" s="23" t="s">
        <v>1245</v>
      </c>
      <c r="J526" s="3" t="s">
        <v>1179</v>
      </c>
      <c r="K526" s="23">
        <v>16</v>
      </c>
      <c r="L526" s="60" t="str">
        <f>VLOOKUP(K526,Ruimtegroepen[],2,FALSE)</f>
        <v>Leslokalen theorie</v>
      </c>
      <c r="M526" s="23" t="s">
        <v>1300</v>
      </c>
      <c r="N526" s="23" t="s">
        <v>1301</v>
      </c>
      <c r="O526" s="86">
        <v>58</v>
      </c>
      <c r="P526" s="86"/>
      <c r="Q526" s="95" t="str">
        <f>LEFT(VLOOKUP(Ruimtestaat[[#This Row],[Ruimte code]],Ruimtegroepen[#All],4,1),2)</f>
        <v xml:space="preserve">L </v>
      </c>
      <c r="R526" s="95"/>
      <c r="S526" s="87">
        <v>40</v>
      </c>
      <c r="T526" s="87" t="s">
        <v>2</v>
      </c>
      <c r="U526" s="88">
        <f>IF(S526&gt;0,IF(RIGHT(Ruimtestaat[[#This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26" s="88">
        <f>IF(U526&gt;0,VLOOKUP($K526,Ruimtegroepen[],3,FALSE)*VLOOKUP($M526,Vloersoorten[],3,FALSE)*VLOOKUP($T526,Frequenties[],3,FALSE)*VLOOKUP($A526,Locaties[],3,FALSE),0)</f>
        <v>0</v>
      </c>
      <c r="W526" s="89">
        <f>Ruimtestaat[[#This Row],[Uitvoeringen werkdagen]]*Ruimtestaat[[#This Row],[Oppervlak (netto)]]</f>
        <v>11600</v>
      </c>
      <c r="X526" s="90">
        <f>IF(V526&gt;0,Ruimtestaat[[#This Row],[Prest. (m2 /jaar) werkdagen]]/Ruimtestaat[[#This Row],[Norm (m2/uur) werkdagen]],0)</f>
        <v>0</v>
      </c>
      <c r="Y526" s="91">
        <f>Ruimtestaat[[#This Row],[uren / jaar werkdagen]]*Tariefsopbouw!$E$35</f>
        <v>0</v>
      </c>
      <c r="Z526" s="88"/>
      <c r="AA526" s="92">
        <f>IF(Ruimtestaat[[#This Row],[Frequentie weekend]]&gt;0,VALUE(LEFT(Z526,1))*S526,0)</f>
        <v>0</v>
      </c>
      <c r="AB526" s="88">
        <f>IF($AA526&gt;0,VLOOKUP($K526,Ruimtegroepen[],3,FALSE)*VLOOKUP($M526,Vloersoorten[],3,FALSE)*VLOOKUP($Z526,Frequenties[],3,FALSE)*VLOOKUP(#REF!,Locaties[],3,FALSE),0)</f>
        <v>0</v>
      </c>
      <c r="AC526" s="90">
        <f>Ruimtestaat[[#This Row],[Uitvoeringen weekend]]*Ruimtestaat[[#This Row],[Oppervlak (netto)]]</f>
        <v>0</v>
      </c>
      <c r="AD526" s="93">
        <f>IF(AC526&gt;0,Ruimtestaat[[#This Row],[Prest. (m2 /jaar) weekend]]/Ruimtestaat[[#This Row],[Norm (m2/uur) weekend]],0)</f>
        <v>0</v>
      </c>
      <c r="AE526" s="94">
        <f>Ruimtestaat[[#This Row],[uren / jaar weekend]]*Tariefsopbouw!$D$40</f>
        <v>0</v>
      </c>
      <c r="AF526" s="66">
        <f>Ruimtestaat[[#This Row],[Prest. (m2 /jaar) weekend]]+Ruimtestaat[[#This Row],[Prest. (m2 /jaar) werkdagen]]</f>
        <v>11600</v>
      </c>
      <c r="AG526" s="66">
        <f>Ruimtestaat[[#This Row],[uren / jaar weekend]]+Ruimtestaat[[#This Row],[uren / jaar werkdagen]]</f>
        <v>0</v>
      </c>
      <c r="AH526" s="67">
        <f>Ruimtestaat[[#This Row],[kosten / jaar weekend]]+Ruimtestaat[[#This Row],[kosten / jaar werkdagen]]</f>
        <v>0</v>
      </c>
    </row>
    <row r="527" spans="1:34" ht="15" customHeight="1">
      <c r="A527" s="112">
        <v>3</v>
      </c>
      <c r="B527" s="23" t="str">
        <f>VLOOKUP(Ruimtestaat[[#This Row],[Code]],Locaties[#All],2,FALSE)</f>
        <v>RSG N.O. Veluwe</v>
      </c>
      <c r="C527" s="23" t="str">
        <f>VLOOKUP(Ruimtestaat[[#This Row],[Code]],Locaties[#All],4,FALSE)</f>
        <v>Schotweg 1</v>
      </c>
      <c r="D527" s="23" t="str">
        <f>VLOOKUP(Ruimtestaat[[#This Row],[Code]],Locaties[#All],5,FALSE)</f>
        <v>8162 GM</v>
      </c>
      <c r="E527" s="23" t="str">
        <f>VLOOKUP(Ruimtestaat[[#This Row],[Code]],Locaties[#All],6,FALSE)</f>
        <v>Epe</v>
      </c>
      <c r="F527" s="23" t="s">
        <v>1110</v>
      </c>
      <c r="G527" s="60"/>
      <c r="H527" s="23" t="s">
        <v>1299</v>
      </c>
      <c r="I527" s="23" t="s">
        <v>1246</v>
      </c>
      <c r="J527" s="3" t="s">
        <v>1260</v>
      </c>
      <c r="K527" s="23">
        <v>2</v>
      </c>
      <c r="L527" s="60" t="str">
        <f>VLOOKUP(K527,Ruimtegroepen[],2,FALSE)</f>
        <v>Kantoren</v>
      </c>
      <c r="M527" s="23" t="s">
        <v>1300</v>
      </c>
      <c r="N527" s="23" t="s">
        <v>1301</v>
      </c>
      <c r="O527" s="86">
        <v>22</v>
      </c>
      <c r="P527" s="86"/>
      <c r="Q527" s="95" t="str">
        <f>LEFT(VLOOKUP(Ruimtestaat[[#This Row],[Ruimte code]],Ruimtegroepen[#All],4,1),2)</f>
        <v xml:space="preserve">B </v>
      </c>
      <c r="R527" s="95"/>
      <c r="S527" s="87">
        <v>42</v>
      </c>
      <c r="T527" s="87" t="s">
        <v>2</v>
      </c>
      <c r="U527" s="88">
        <f>IF(S527&gt;0,IF(RIGHT(Ruimtestaat[[#This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27" s="88">
        <f>IF(U527&gt;0,VLOOKUP($K527,Ruimtegroepen[],3,FALSE)*VLOOKUP($M527,Vloersoorten[],3,FALSE)*VLOOKUP($T527,Frequenties[],3,FALSE)*VLOOKUP($A527,Locaties[],3,FALSE),0)</f>
        <v>0</v>
      </c>
      <c r="W527" s="89">
        <f>Ruimtestaat[[#This Row],[Uitvoeringen werkdagen]]*Ruimtestaat[[#This Row],[Oppervlak (netto)]]</f>
        <v>4620</v>
      </c>
      <c r="X527" s="90">
        <f>IF(V527&gt;0,Ruimtestaat[[#This Row],[Prest. (m2 /jaar) werkdagen]]/Ruimtestaat[[#This Row],[Norm (m2/uur) werkdagen]],0)</f>
        <v>0</v>
      </c>
      <c r="Y527" s="91">
        <f>Ruimtestaat[[#This Row],[uren / jaar werkdagen]]*Tariefsopbouw!$E$35</f>
        <v>0</v>
      </c>
      <c r="Z527" s="88"/>
      <c r="AA527" s="92">
        <f>IF(Ruimtestaat[[#This Row],[Frequentie weekend]]&gt;0,VALUE(LEFT(Z527,1))*S527,0)</f>
        <v>0</v>
      </c>
      <c r="AB527" s="88">
        <f>IF($AA527&gt;0,VLOOKUP($K527,Ruimtegroepen[],3,FALSE)*VLOOKUP($M527,Vloersoorten[],3,FALSE)*VLOOKUP($Z527,Frequenties[],3,FALSE)*VLOOKUP(#REF!,Locaties[],3,FALSE),0)</f>
        <v>0</v>
      </c>
      <c r="AC527" s="90">
        <f>Ruimtestaat[[#This Row],[Uitvoeringen weekend]]*Ruimtestaat[[#This Row],[Oppervlak (netto)]]</f>
        <v>0</v>
      </c>
      <c r="AD527" s="93">
        <f>IF(AC527&gt;0,Ruimtestaat[[#This Row],[Prest. (m2 /jaar) weekend]]/Ruimtestaat[[#This Row],[Norm (m2/uur) weekend]],0)</f>
        <v>0</v>
      </c>
      <c r="AE527" s="94">
        <f>Ruimtestaat[[#This Row],[uren / jaar weekend]]*Tariefsopbouw!$D$40</f>
        <v>0</v>
      </c>
      <c r="AF527" s="66">
        <f>Ruimtestaat[[#This Row],[Prest. (m2 /jaar) weekend]]+Ruimtestaat[[#This Row],[Prest. (m2 /jaar) werkdagen]]</f>
        <v>4620</v>
      </c>
      <c r="AG527" s="66">
        <f>Ruimtestaat[[#This Row],[uren / jaar weekend]]+Ruimtestaat[[#This Row],[uren / jaar werkdagen]]</f>
        <v>0</v>
      </c>
      <c r="AH527" s="67">
        <f>Ruimtestaat[[#This Row],[kosten / jaar weekend]]+Ruimtestaat[[#This Row],[kosten / jaar werkdagen]]</f>
        <v>0</v>
      </c>
    </row>
    <row r="528" spans="1:34" ht="15" customHeight="1">
      <c r="A528" s="112">
        <v>3</v>
      </c>
      <c r="B528" s="23" t="str">
        <f>VLOOKUP(Ruimtestaat[[#This Row],[Code]],Locaties[#All],2,FALSE)</f>
        <v>RSG N.O. Veluwe</v>
      </c>
      <c r="C528" s="23" t="str">
        <f>VLOOKUP(Ruimtestaat[[#This Row],[Code]],Locaties[#All],4,FALSE)</f>
        <v>Schotweg 1</v>
      </c>
      <c r="D528" s="23" t="str">
        <f>VLOOKUP(Ruimtestaat[[#This Row],[Code]],Locaties[#All],5,FALSE)</f>
        <v>8162 GM</v>
      </c>
      <c r="E528" s="23" t="str">
        <f>VLOOKUP(Ruimtestaat[[#This Row],[Code]],Locaties[#All],6,FALSE)</f>
        <v>Epe</v>
      </c>
      <c r="F528" s="23" t="s">
        <v>1110</v>
      </c>
      <c r="G528" s="60"/>
      <c r="H528" s="23" t="s">
        <v>1299</v>
      </c>
      <c r="I528" s="23" t="s">
        <v>1248</v>
      </c>
      <c r="J528" s="3" t="s">
        <v>1179</v>
      </c>
      <c r="K528" s="23">
        <v>16</v>
      </c>
      <c r="L528" s="60" t="str">
        <f>VLOOKUP(K528,Ruimtegroepen[],2,FALSE)</f>
        <v>Leslokalen theorie</v>
      </c>
      <c r="M528" s="23" t="s">
        <v>1300</v>
      </c>
      <c r="N528" s="23" t="s">
        <v>1301</v>
      </c>
      <c r="O528" s="86">
        <v>25</v>
      </c>
      <c r="P528" s="86"/>
      <c r="Q528" s="95" t="str">
        <f>LEFT(VLOOKUP(Ruimtestaat[[#This Row],[Ruimte code]],Ruimtegroepen[#All],4,1),2)</f>
        <v xml:space="preserve">L </v>
      </c>
      <c r="R528" s="95"/>
      <c r="S528" s="87">
        <v>40</v>
      </c>
      <c r="T528" s="87" t="s">
        <v>2</v>
      </c>
      <c r="U528" s="88">
        <f>IF(S528&gt;0,IF(RIGHT(Ruimtestaat[[#This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28" s="88">
        <f>IF(U528&gt;0,VLOOKUP($K528,Ruimtegroepen[],3,FALSE)*VLOOKUP($M528,Vloersoorten[],3,FALSE)*VLOOKUP($T528,Frequenties[],3,FALSE)*VLOOKUP($A528,Locaties[],3,FALSE),0)</f>
        <v>0</v>
      </c>
      <c r="W528" s="89">
        <f>Ruimtestaat[[#This Row],[Uitvoeringen werkdagen]]*Ruimtestaat[[#This Row],[Oppervlak (netto)]]</f>
        <v>5000</v>
      </c>
      <c r="X528" s="90">
        <f>IF(V528&gt;0,Ruimtestaat[[#This Row],[Prest. (m2 /jaar) werkdagen]]/Ruimtestaat[[#This Row],[Norm (m2/uur) werkdagen]],0)</f>
        <v>0</v>
      </c>
      <c r="Y528" s="91">
        <f>Ruimtestaat[[#This Row],[uren / jaar werkdagen]]*Tariefsopbouw!$E$35</f>
        <v>0</v>
      </c>
      <c r="Z528" s="88"/>
      <c r="AA528" s="92">
        <f>IF(Ruimtestaat[[#This Row],[Frequentie weekend]]&gt;0,VALUE(LEFT(Z528,1))*S528,0)</f>
        <v>0</v>
      </c>
      <c r="AB528" s="88">
        <f>IF($AA528&gt;0,VLOOKUP($K528,Ruimtegroepen[],3,FALSE)*VLOOKUP($M528,Vloersoorten[],3,FALSE)*VLOOKUP($Z528,Frequenties[],3,FALSE)*VLOOKUP(#REF!,Locaties[],3,FALSE),0)</f>
        <v>0</v>
      </c>
      <c r="AC528" s="90">
        <f>Ruimtestaat[[#This Row],[Uitvoeringen weekend]]*Ruimtestaat[[#This Row],[Oppervlak (netto)]]</f>
        <v>0</v>
      </c>
      <c r="AD528" s="93">
        <f>IF(AC528&gt;0,Ruimtestaat[[#This Row],[Prest. (m2 /jaar) weekend]]/Ruimtestaat[[#This Row],[Norm (m2/uur) weekend]],0)</f>
        <v>0</v>
      </c>
      <c r="AE528" s="94">
        <f>Ruimtestaat[[#This Row],[uren / jaar weekend]]*Tariefsopbouw!$D$40</f>
        <v>0</v>
      </c>
      <c r="AF528" s="66">
        <f>Ruimtestaat[[#This Row],[Prest. (m2 /jaar) weekend]]+Ruimtestaat[[#This Row],[Prest. (m2 /jaar) werkdagen]]</f>
        <v>5000</v>
      </c>
      <c r="AG528" s="66">
        <f>Ruimtestaat[[#This Row],[uren / jaar weekend]]+Ruimtestaat[[#This Row],[uren / jaar werkdagen]]</f>
        <v>0</v>
      </c>
      <c r="AH528" s="67">
        <f>Ruimtestaat[[#This Row],[kosten / jaar weekend]]+Ruimtestaat[[#This Row],[kosten / jaar werkdagen]]</f>
        <v>0</v>
      </c>
    </row>
    <row r="529" spans="1:34" ht="15" customHeight="1">
      <c r="A529" s="112">
        <v>3</v>
      </c>
      <c r="B529" s="23" t="str">
        <f>VLOOKUP(Ruimtestaat[[#This Row],[Code]],Locaties[#All],2,FALSE)</f>
        <v>RSG N.O. Veluwe</v>
      </c>
      <c r="C529" s="23" t="str">
        <f>VLOOKUP(Ruimtestaat[[#This Row],[Code]],Locaties[#All],4,FALSE)</f>
        <v>Schotweg 1</v>
      </c>
      <c r="D529" s="23" t="str">
        <f>VLOOKUP(Ruimtestaat[[#This Row],[Code]],Locaties[#All],5,FALSE)</f>
        <v>8162 GM</v>
      </c>
      <c r="E529" s="23" t="str">
        <f>VLOOKUP(Ruimtestaat[[#This Row],[Code]],Locaties[#All],6,FALSE)</f>
        <v>Epe</v>
      </c>
      <c r="F529" s="23" t="s">
        <v>1110</v>
      </c>
      <c r="G529" s="60"/>
      <c r="H529" s="23" t="s">
        <v>1299</v>
      </c>
      <c r="I529" s="23" t="s">
        <v>1249</v>
      </c>
      <c r="J529" s="3" t="s">
        <v>1179</v>
      </c>
      <c r="K529" s="23">
        <v>16</v>
      </c>
      <c r="L529" s="60" t="str">
        <f>VLOOKUP(K529,Ruimtegroepen[],2,FALSE)</f>
        <v>Leslokalen theorie</v>
      </c>
      <c r="M529" s="23" t="s">
        <v>1300</v>
      </c>
      <c r="N529" s="23" t="s">
        <v>1301</v>
      </c>
      <c r="O529" s="86">
        <v>54</v>
      </c>
      <c r="P529" s="86"/>
      <c r="Q529" s="95" t="str">
        <f>LEFT(VLOOKUP(Ruimtestaat[[#This Row],[Ruimte code]],Ruimtegroepen[#All],4,1),2)</f>
        <v xml:space="preserve">L </v>
      </c>
      <c r="R529" s="95"/>
      <c r="S529" s="87">
        <v>40</v>
      </c>
      <c r="T529" s="87" t="s">
        <v>2</v>
      </c>
      <c r="U529" s="88">
        <f>IF(S529&gt;0,IF(RIGHT(Ruimtestaat[[#This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29" s="88">
        <f>IF(U529&gt;0,VLOOKUP($K529,Ruimtegroepen[],3,FALSE)*VLOOKUP($M529,Vloersoorten[],3,FALSE)*VLOOKUP($T529,Frequenties[],3,FALSE)*VLOOKUP($A529,Locaties[],3,FALSE),0)</f>
        <v>0</v>
      </c>
      <c r="W529" s="89">
        <f>Ruimtestaat[[#This Row],[Uitvoeringen werkdagen]]*Ruimtestaat[[#This Row],[Oppervlak (netto)]]</f>
        <v>10800</v>
      </c>
      <c r="X529" s="90">
        <f>IF(V529&gt;0,Ruimtestaat[[#This Row],[Prest. (m2 /jaar) werkdagen]]/Ruimtestaat[[#This Row],[Norm (m2/uur) werkdagen]],0)</f>
        <v>0</v>
      </c>
      <c r="Y529" s="91">
        <f>Ruimtestaat[[#This Row],[uren / jaar werkdagen]]*Tariefsopbouw!$E$35</f>
        <v>0</v>
      </c>
      <c r="Z529" s="88"/>
      <c r="AA529" s="92">
        <f>IF(Ruimtestaat[[#This Row],[Frequentie weekend]]&gt;0,VALUE(LEFT(Z529,1))*S529,0)</f>
        <v>0</v>
      </c>
      <c r="AB529" s="88">
        <f>IF($AA529&gt;0,VLOOKUP($K529,Ruimtegroepen[],3,FALSE)*VLOOKUP($M529,Vloersoorten[],3,FALSE)*VLOOKUP($Z529,Frequenties[],3,FALSE)*VLOOKUP(#REF!,Locaties[],3,FALSE),0)</f>
        <v>0</v>
      </c>
      <c r="AC529" s="90">
        <f>Ruimtestaat[[#This Row],[Uitvoeringen weekend]]*Ruimtestaat[[#This Row],[Oppervlak (netto)]]</f>
        <v>0</v>
      </c>
      <c r="AD529" s="93">
        <f>IF(AC529&gt;0,Ruimtestaat[[#This Row],[Prest. (m2 /jaar) weekend]]/Ruimtestaat[[#This Row],[Norm (m2/uur) weekend]],0)</f>
        <v>0</v>
      </c>
      <c r="AE529" s="94">
        <f>Ruimtestaat[[#This Row],[uren / jaar weekend]]*Tariefsopbouw!$D$40</f>
        <v>0</v>
      </c>
      <c r="AF529" s="66">
        <f>Ruimtestaat[[#This Row],[Prest. (m2 /jaar) weekend]]+Ruimtestaat[[#This Row],[Prest. (m2 /jaar) werkdagen]]</f>
        <v>10800</v>
      </c>
      <c r="AG529" s="66">
        <f>Ruimtestaat[[#This Row],[uren / jaar weekend]]+Ruimtestaat[[#This Row],[uren / jaar werkdagen]]</f>
        <v>0</v>
      </c>
      <c r="AH529" s="67">
        <f>Ruimtestaat[[#This Row],[kosten / jaar weekend]]+Ruimtestaat[[#This Row],[kosten / jaar werkdagen]]</f>
        <v>0</v>
      </c>
    </row>
    <row r="530" spans="1:34" ht="15" customHeight="1">
      <c r="A530" s="112">
        <v>3</v>
      </c>
      <c r="B530" s="23" t="str">
        <f>VLOOKUP(Ruimtestaat[[#This Row],[Code]],Locaties[#All],2,FALSE)</f>
        <v>RSG N.O. Veluwe</v>
      </c>
      <c r="C530" s="23" t="str">
        <f>VLOOKUP(Ruimtestaat[[#This Row],[Code]],Locaties[#All],4,FALSE)</f>
        <v>Schotweg 1</v>
      </c>
      <c r="D530" s="23" t="str">
        <f>VLOOKUP(Ruimtestaat[[#This Row],[Code]],Locaties[#All],5,FALSE)</f>
        <v>8162 GM</v>
      </c>
      <c r="E530" s="23" t="str">
        <f>VLOOKUP(Ruimtestaat[[#This Row],[Code]],Locaties[#All],6,FALSE)</f>
        <v>Epe</v>
      </c>
      <c r="F530" s="23" t="s">
        <v>1110</v>
      </c>
      <c r="G530" s="60"/>
      <c r="H530" s="23" t="s">
        <v>1299</v>
      </c>
      <c r="J530" s="3" t="s">
        <v>1261</v>
      </c>
      <c r="K530" s="23">
        <v>10</v>
      </c>
      <c r="L530" s="60" t="str">
        <f>VLOOKUP(K530,Ruimtegroepen[],2,FALSE)</f>
        <v>Trappenhuizen/lift</v>
      </c>
      <c r="M530" s="23" t="s">
        <v>1300</v>
      </c>
      <c r="N530" s="23" t="s">
        <v>1309</v>
      </c>
      <c r="O530" s="86">
        <v>26</v>
      </c>
      <c r="P530" s="86"/>
      <c r="Q530" s="95" t="str">
        <f>LEFT(VLOOKUP(Ruimtestaat[[#This Row],[Ruimte code]],Ruimtegroepen[#All],4,1),2)</f>
        <v xml:space="preserve">V </v>
      </c>
      <c r="R530" s="95"/>
      <c r="S530" s="87">
        <v>42</v>
      </c>
      <c r="T530" s="87" t="s">
        <v>2</v>
      </c>
      <c r="U530" s="88">
        <f>IF(S530&gt;0,IF(RIGHT(Ruimtestaat[[#This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30" s="88">
        <f>IF(U530&gt;0,VLOOKUP($K530,Ruimtegroepen[],3,FALSE)*VLOOKUP($M530,Vloersoorten[],3,FALSE)*VLOOKUP($T530,Frequenties[],3,FALSE)*VLOOKUP($A530,Locaties[],3,FALSE),0)</f>
        <v>0</v>
      </c>
      <c r="W530" s="89">
        <f>Ruimtestaat[[#This Row],[Uitvoeringen werkdagen]]*Ruimtestaat[[#This Row],[Oppervlak (netto)]]</f>
        <v>5460</v>
      </c>
      <c r="X530" s="90">
        <f>IF(V530&gt;0,Ruimtestaat[[#This Row],[Prest. (m2 /jaar) werkdagen]]/Ruimtestaat[[#This Row],[Norm (m2/uur) werkdagen]],0)</f>
        <v>0</v>
      </c>
      <c r="Y530" s="91">
        <f>Ruimtestaat[[#This Row],[uren / jaar werkdagen]]*Tariefsopbouw!$E$35</f>
        <v>0</v>
      </c>
      <c r="Z530" s="88"/>
      <c r="AA530" s="92">
        <f>IF(Ruimtestaat[[#This Row],[Frequentie weekend]]&gt;0,VALUE(LEFT(Z530,1))*S530,0)</f>
        <v>0</v>
      </c>
      <c r="AB530" s="88">
        <f>IF($AA530&gt;0,VLOOKUP($K530,Ruimtegroepen[],3,FALSE)*VLOOKUP($M530,Vloersoorten[],3,FALSE)*VLOOKUP($Z530,Frequenties[],3,FALSE)*VLOOKUP(#REF!,Locaties[],3,FALSE),0)</f>
        <v>0</v>
      </c>
      <c r="AC530" s="90">
        <f>Ruimtestaat[[#This Row],[Uitvoeringen weekend]]*Ruimtestaat[[#This Row],[Oppervlak (netto)]]</f>
        <v>0</v>
      </c>
      <c r="AD530" s="93">
        <f>IF(AC530&gt;0,Ruimtestaat[[#This Row],[Prest. (m2 /jaar) weekend]]/Ruimtestaat[[#This Row],[Norm (m2/uur) weekend]],0)</f>
        <v>0</v>
      </c>
      <c r="AE530" s="94">
        <f>Ruimtestaat[[#This Row],[uren / jaar weekend]]*Tariefsopbouw!$D$40</f>
        <v>0</v>
      </c>
      <c r="AF530" s="66">
        <f>Ruimtestaat[[#This Row],[Prest. (m2 /jaar) weekend]]+Ruimtestaat[[#This Row],[Prest. (m2 /jaar) werkdagen]]</f>
        <v>5460</v>
      </c>
      <c r="AG530" s="66">
        <f>Ruimtestaat[[#This Row],[uren / jaar weekend]]+Ruimtestaat[[#This Row],[uren / jaar werkdagen]]</f>
        <v>0</v>
      </c>
      <c r="AH530" s="67">
        <f>Ruimtestaat[[#This Row],[kosten / jaar weekend]]+Ruimtestaat[[#This Row],[kosten / jaar werkdagen]]</f>
        <v>0</v>
      </c>
    </row>
    <row r="531" spans="1:34" ht="15" customHeight="1">
      <c r="A531" s="112">
        <v>3</v>
      </c>
      <c r="B531" s="23" t="str">
        <f>VLOOKUP(Ruimtestaat[[#This Row],[Code]],Locaties[#All],2,FALSE)</f>
        <v>RSG N.O. Veluwe</v>
      </c>
      <c r="C531" s="23" t="str">
        <f>VLOOKUP(Ruimtestaat[[#This Row],[Code]],Locaties[#All],4,FALSE)</f>
        <v>Schotweg 1</v>
      </c>
      <c r="D531" s="23" t="str">
        <f>VLOOKUP(Ruimtestaat[[#This Row],[Code]],Locaties[#All],5,FALSE)</f>
        <v>8162 GM</v>
      </c>
      <c r="E531" s="23" t="str">
        <f>VLOOKUP(Ruimtestaat[[#This Row],[Code]],Locaties[#All],6,FALSE)</f>
        <v>Epe</v>
      </c>
      <c r="F531" s="23" t="s">
        <v>1110</v>
      </c>
      <c r="G531" s="60"/>
      <c r="H531" s="23" t="s">
        <v>1299</v>
      </c>
      <c r="J531" s="3" t="s">
        <v>1262</v>
      </c>
      <c r="K531" s="23">
        <v>10</v>
      </c>
      <c r="L531" s="60" t="str">
        <f>VLOOKUP(K531,Ruimtegroepen[],2,FALSE)</f>
        <v>Trappenhuizen/lift</v>
      </c>
      <c r="M531" s="23" t="s">
        <v>114</v>
      </c>
      <c r="N531" s="23" t="s">
        <v>1308</v>
      </c>
      <c r="O531" s="86">
        <v>22</v>
      </c>
      <c r="P531" s="86"/>
      <c r="Q531" s="95" t="str">
        <f>LEFT(VLOOKUP(Ruimtestaat[[#This Row],[Ruimte code]],Ruimtegroepen[#All],4,1),2)</f>
        <v xml:space="preserve">V </v>
      </c>
      <c r="R531" s="95"/>
      <c r="S531" s="87">
        <v>42</v>
      </c>
      <c r="T531" s="87" t="s">
        <v>2</v>
      </c>
      <c r="U531" s="88">
        <f>IF(S531&gt;0,IF(RIGHT(Ruimtestaat[[#This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31" s="88">
        <f>IF(U531&gt;0,VLOOKUP($K531,Ruimtegroepen[],3,FALSE)*VLOOKUP($M531,Vloersoorten[],3,FALSE)*VLOOKUP($T531,Frequenties[],3,FALSE)*VLOOKUP($A531,Locaties[],3,FALSE),0)</f>
        <v>0</v>
      </c>
      <c r="W531" s="89">
        <f>Ruimtestaat[[#This Row],[Uitvoeringen werkdagen]]*Ruimtestaat[[#This Row],[Oppervlak (netto)]]</f>
        <v>4620</v>
      </c>
      <c r="X531" s="90">
        <f>IF(V531&gt;0,Ruimtestaat[[#This Row],[Prest. (m2 /jaar) werkdagen]]/Ruimtestaat[[#This Row],[Norm (m2/uur) werkdagen]],0)</f>
        <v>0</v>
      </c>
      <c r="Y531" s="91">
        <f>Ruimtestaat[[#This Row],[uren / jaar werkdagen]]*Tariefsopbouw!$E$35</f>
        <v>0</v>
      </c>
      <c r="Z531" s="88"/>
      <c r="AA531" s="92">
        <f>IF(Ruimtestaat[[#This Row],[Frequentie weekend]]&gt;0,VALUE(LEFT(Z531,1))*S531,0)</f>
        <v>0</v>
      </c>
      <c r="AB531" s="88">
        <f>IF($AA531&gt;0,VLOOKUP($K531,Ruimtegroepen[],3,FALSE)*VLOOKUP($M531,Vloersoorten[],3,FALSE)*VLOOKUP($Z531,Frequenties[],3,FALSE)*VLOOKUP(#REF!,Locaties[],3,FALSE),0)</f>
        <v>0</v>
      </c>
      <c r="AC531" s="90">
        <f>Ruimtestaat[[#This Row],[Uitvoeringen weekend]]*Ruimtestaat[[#This Row],[Oppervlak (netto)]]</f>
        <v>0</v>
      </c>
      <c r="AD531" s="93">
        <f>IF(AC531&gt;0,Ruimtestaat[[#This Row],[Prest. (m2 /jaar) weekend]]/Ruimtestaat[[#This Row],[Norm (m2/uur) weekend]],0)</f>
        <v>0</v>
      </c>
      <c r="AE531" s="94">
        <f>Ruimtestaat[[#This Row],[uren / jaar weekend]]*Tariefsopbouw!$D$40</f>
        <v>0</v>
      </c>
      <c r="AF531" s="66">
        <f>Ruimtestaat[[#This Row],[Prest. (m2 /jaar) weekend]]+Ruimtestaat[[#This Row],[Prest. (m2 /jaar) werkdagen]]</f>
        <v>4620</v>
      </c>
      <c r="AG531" s="66">
        <f>Ruimtestaat[[#This Row],[uren / jaar weekend]]+Ruimtestaat[[#This Row],[uren / jaar werkdagen]]</f>
        <v>0</v>
      </c>
      <c r="AH531" s="67">
        <f>Ruimtestaat[[#This Row],[kosten / jaar weekend]]+Ruimtestaat[[#This Row],[kosten / jaar werkdagen]]</f>
        <v>0</v>
      </c>
    </row>
    <row r="532" spans="1:34" ht="15" customHeight="1">
      <c r="A532" s="112">
        <v>3</v>
      </c>
      <c r="B532" s="23" t="str">
        <f>VLOOKUP(Ruimtestaat[[#This Row],[Code]],Locaties[#All],2,FALSE)</f>
        <v>RSG N.O. Veluwe</v>
      </c>
      <c r="C532" s="23" t="str">
        <f>VLOOKUP(Ruimtestaat[[#This Row],[Code]],Locaties[#All],4,FALSE)</f>
        <v>Schotweg 1</v>
      </c>
      <c r="D532" s="23" t="str">
        <f>VLOOKUP(Ruimtestaat[[#This Row],[Code]],Locaties[#All],5,FALSE)</f>
        <v>8162 GM</v>
      </c>
      <c r="E532" s="23" t="str">
        <f>VLOOKUP(Ruimtestaat[[#This Row],[Code]],Locaties[#All],6,FALSE)</f>
        <v>Epe</v>
      </c>
      <c r="F532" s="23" t="s">
        <v>1110</v>
      </c>
      <c r="G532" s="60"/>
      <c r="H532" s="23" t="s">
        <v>1299</v>
      </c>
      <c r="J532" s="3" t="s">
        <v>1198</v>
      </c>
      <c r="K532" s="23">
        <v>16</v>
      </c>
      <c r="L532" s="60" t="str">
        <f>VLOOKUP(K532,Ruimtegroepen[],2,FALSE)</f>
        <v>Leslokalen theorie</v>
      </c>
      <c r="M532" s="23" t="s">
        <v>1300</v>
      </c>
      <c r="N532" s="23" t="s">
        <v>1301</v>
      </c>
      <c r="O532" s="86">
        <v>165</v>
      </c>
      <c r="P532" s="86"/>
      <c r="Q532" s="95" t="str">
        <f>LEFT(VLOOKUP(Ruimtestaat[[#This Row],[Ruimte code]],Ruimtegroepen[#All],4,1),2)</f>
        <v xml:space="preserve">L </v>
      </c>
      <c r="R532" s="95"/>
      <c r="S532" s="87">
        <v>40</v>
      </c>
      <c r="T532" s="87" t="s">
        <v>2</v>
      </c>
      <c r="U532" s="88">
        <f>IF(S532&gt;0,IF(RIGHT(Ruimtestaat[[#This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32" s="88">
        <f>IF(U532&gt;0,VLOOKUP($K532,Ruimtegroepen[],3,FALSE)*VLOOKUP($M532,Vloersoorten[],3,FALSE)*VLOOKUP($T532,Frequenties[],3,FALSE)*VLOOKUP($A532,Locaties[],3,FALSE),0)</f>
        <v>0</v>
      </c>
      <c r="W532" s="89">
        <f>Ruimtestaat[[#This Row],[Uitvoeringen werkdagen]]*Ruimtestaat[[#This Row],[Oppervlak (netto)]]</f>
        <v>33000</v>
      </c>
      <c r="X532" s="90">
        <f>IF(V532&gt;0,Ruimtestaat[[#This Row],[Prest. (m2 /jaar) werkdagen]]/Ruimtestaat[[#This Row],[Norm (m2/uur) werkdagen]],0)</f>
        <v>0</v>
      </c>
      <c r="Y532" s="91">
        <f>Ruimtestaat[[#This Row],[uren / jaar werkdagen]]*Tariefsopbouw!$E$35</f>
        <v>0</v>
      </c>
      <c r="Z532" s="88"/>
      <c r="AA532" s="92">
        <f>IF(Ruimtestaat[[#This Row],[Frequentie weekend]]&gt;0,VALUE(LEFT(Z532,1))*S532,0)</f>
        <v>0</v>
      </c>
      <c r="AB532" s="88">
        <f>IF($AA532&gt;0,VLOOKUP($K532,Ruimtegroepen[],3,FALSE)*VLOOKUP($M532,Vloersoorten[],3,FALSE)*VLOOKUP($Z532,Frequenties[],3,FALSE)*VLOOKUP(#REF!,Locaties[],3,FALSE),0)</f>
        <v>0</v>
      </c>
      <c r="AC532" s="90">
        <f>Ruimtestaat[[#This Row],[Uitvoeringen weekend]]*Ruimtestaat[[#This Row],[Oppervlak (netto)]]</f>
        <v>0</v>
      </c>
      <c r="AD532" s="93">
        <f>IF(AC532&gt;0,Ruimtestaat[[#This Row],[Prest. (m2 /jaar) weekend]]/Ruimtestaat[[#This Row],[Norm (m2/uur) weekend]],0)</f>
        <v>0</v>
      </c>
      <c r="AE532" s="94">
        <f>Ruimtestaat[[#This Row],[uren / jaar weekend]]*Tariefsopbouw!$D$40</f>
        <v>0</v>
      </c>
      <c r="AF532" s="66">
        <f>Ruimtestaat[[#This Row],[Prest. (m2 /jaar) weekend]]+Ruimtestaat[[#This Row],[Prest. (m2 /jaar) werkdagen]]</f>
        <v>33000</v>
      </c>
      <c r="AG532" s="66">
        <f>Ruimtestaat[[#This Row],[uren / jaar weekend]]+Ruimtestaat[[#This Row],[uren / jaar werkdagen]]</f>
        <v>0</v>
      </c>
      <c r="AH532" s="67">
        <f>Ruimtestaat[[#This Row],[kosten / jaar weekend]]+Ruimtestaat[[#This Row],[kosten / jaar werkdagen]]</f>
        <v>0</v>
      </c>
    </row>
    <row r="533" spans="1:34" ht="15" customHeight="1">
      <c r="A533" s="112">
        <v>3</v>
      </c>
      <c r="B533" s="23" t="str">
        <f>VLOOKUP(Ruimtestaat[[#This Row],[Code]],Locaties[#All],2,FALSE)</f>
        <v>RSG N.O. Veluwe</v>
      </c>
      <c r="C533" s="23" t="str">
        <f>VLOOKUP(Ruimtestaat[[#This Row],[Code]],Locaties[#All],4,FALSE)</f>
        <v>Schotweg 1</v>
      </c>
      <c r="D533" s="23" t="str">
        <f>VLOOKUP(Ruimtestaat[[#This Row],[Code]],Locaties[#All],5,FALSE)</f>
        <v>8162 GM</v>
      </c>
      <c r="E533" s="23" t="str">
        <f>VLOOKUP(Ruimtestaat[[#This Row],[Code]],Locaties[#All],6,FALSE)</f>
        <v>Epe</v>
      </c>
      <c r="F533" s="23" t="s">
        <v>1110</v>
      </c>
      <c r="G533" s="60"/>
      <c r="H533" s="23" t="s">
        <v>1299</v>
      </c>
      <c r="J533" s="3" t="s">
        <v>1263</v>
      </c>
      <c r="K533" s="23">
        <v>6</v>
      </c>
      <c r="L533" s="60" t="str">
        <f>VLOOKUP(K533,Ruimtegroepen[],2,FALSE)</f>
        <v>Gangen/hallen</v>
      </c>
      <c r="M533" s="23" t="s">
        <v>1300</v>
      </c>
      <c r="N533" s="23" t="s">
        <v>1301</v>
      </c>
      <c r="O533" s="86">
        <v>56</v>
      </c>
      <c r="P533" s="86"/>
      <c r="Q533" s="95" t="str">
        <f>LEFT(VLOOKUP(Ruimtestaat[[#This Row],[Ruimte code]],Ruimtegroepen[#All],4,1),2)</f>
        <v xml:space="preserve">V </v>
      </c>
      <c r="R533" s="95"/>
      <c r="S533" s="87">
        <v>42</v>
      </c>
      <c r="T533" s="87" t="s">
        <v>2</v>
      </c>
      <c r="U533" s="88">
        <f>IF(S533&gt;0,IF(RIGHT(Ruimtestaat[[#This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33" s="88">
        <f>IF(U533&gt;0,VLOOKUP($K533,Ruimtegroepen[],3,FALSE)*VLOOKUP($M533,Vloersoorten[],3,FALSE)*VLOOKUP($T533,Frequenties[],3,FALSE)*VLOOKUP($A533,Locaties[],3,FALSE),0)</f>
        <v>0</v>
      </c>
      <c r="W533" s="89">
        <f>Ruimtestaat[[#This Row],[Uitvoeringen werkdagen]]*Ruimtestaat[[#This Row],[Oppervlak (netto)]]</f>
        <v>11760</v>
      </c>
      <c r="X533" s="90">
        <f>IF(V533&gt;0,Ruimtestaat[[#This Row],[Prest. (m2 /jaar) werkdagen]]/Ruimtestaat[[#This Row],[Norm (m2/uur) werkdagen]],0)</f>
        <v>0</v>
      </c>
      <c r="Y533" s="91">
        <f>Ruimtestaat[[#This Row],[uren / jaar werkdagen]]*Tariefsopbouw!$E$35</f>
        <v>0</v>
      </c>
      <c r="Z533" s="88"/>
      <c r="AA533" s="92">
        <f>IF(Ruimtestaat[[#This Row],[Frequentie weekend]]&gt;0,VALUE(LEFT(Z533,1))*S533,0)</f>
        <v>0</v>
      </c>
      <c r="AB533" s="88">
        <f>IF($AA533&gt;0,VLOOKUP($K533,Ruimtegroepen[],3,FALSE)*VLOOKUP($M533,Vloersoorten[],3,FALSE)*VLOOKUP($Z533,Frequenties[],3,FALSE)*VLOOKUP(#REF!,Locaties[],3,FALSE),0)</f>
        <v>0</v>
      </c>
      <c r="AC533" s="90">
        <f>Ruimtestaat[[#This Row],[Uitvoeringen weekend]]*Ruimtestaat[[#This Row],[Oppervlak (netto)]]</f>
        <v>0</v>
      </c>
      <c r="AD533" s="93">
        <f>IF(AC533&gt;0,Ruimtestaat[[#This Row],[Prest. (m2 /jaar) weekend]]/Ruimtestaat[[#This Row],[Norm (m2/uur) weekend]],0)</f>
        <v>0</v>
      </c>
      <c r="AE533" s="94">
        <f>Ruimtestaat[[#This Row],[uren / jaar weekend]]*Tariefsopbouw!$D$40</f>
        <v>0</v>
      </c>
      <c r="AF533" s="66">
        <f>Ruimtestaat[[#This Row],[Prest. (m2 /jaar) weekend]]+Ruimtestaat[[#This Row],[Prest. (m2 /jaar) werkdagen]]</f>
        <v>11760</v>
      </c>
      <c r="AG533" s="66">
        <f>Ruimtestaat[[#This Row],[uren / jaar weekend]]+Ruimtestaat[[#This Row],[uren / jaar werkdagen]]</f>
        <v>0</v>
      </c>
      <c r="AH533" s="67">
        <f>Ruimtestaat[[#This Row],[kosten / jaar weekend]]+Ruimtestaat[[#This Row],[kosten / jaar werkdagen]]</f>
        <v>0</v>
      </c>
    </row>
    <row r="534" spans="1:34" ht="15" customHeight="1">
      <c r="A534" s="112">
        <v>3</v>
      </c>
      <c r="B534" s="23" t="str">
        <f>VLOOKUP(Ruimtestaat[[#This Row],[Code]],Locaties[#All],2,FALSE)</f>
        <v>RSG N.O. Veluwe</v>
      </c>
      <c r="C534" s="23" t="str">
        <f>VLOOKUP(Ruimtestaat[[#This Row],[Code]],Locaties[#All],4,FALSE)</f>
        <v>Schotweg 1</v>
      </c>
      <c r="D534" s="23" t="str">
        <f>VLOOKUP(Ruimtestaat[[#This Row],[Code]],Locaties[#All],5,FALSE)</f>
        <v>8162 GM</v>
      </c>
      <c r="E534" s="23" t="str">
        <f>VLOOKUP(Ruimtestaat[[#This Row],[Code]],Locaties[#All],6,FALSE)</f>
        <v>Epe</v>
      </c>
      <c r="F534" s="23" t="s">
        <v>1110</v>
      </c>
      <c r="G534" s="60"/>
      <c r="H534" s="23" t="s">
        <v>1299</v>
      </c>
      <c r="J534" s="3" t="s">
        <v>1264</v>
      </c>
      <c r="K534" s="23">
        <v>6</v>
      </c>
      <c r="L534" s="60" t="str">
        <f>VLOOKUP(K534,Ruimtegroepen[],2,FALSE)</f>
        <v>Gangen/hallen</v>
      </c>
      <c r="M534" s="23" t="s">
        <v>1300</v>
      </c>
      <c r="N534" s="23" t="s">
        <v>1301</v>
      </c>
      <c r="O534" s="86">
        <v>62</v>
      </c>
      <c r="P534" s="86"/>
      <c r="Q534" s="95" t="str">
        <f>LEFT(VLOOKUP(Ruimtestaat[[#This Row],[Ruimte code]],Ruimtegroepen[#All],4,1),2)</f>
        <v xml:space="preserve">V </v>
      </c>
      <c r="R534" s="95"/>
      <c r="S534" s="87">
        <v>42</v>
      </c>
      <c r="T534" s="87" t="s">
        <v>2</v>
      </c>
      <c r="U534" s="88">
        <f>IF(S534&gt;0,IF(RIGHT(Ruimtestaat[[#This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34" s="88">
        <f>IF(U534&gt;0,VLOOKUP($K534,Ruimtegroepen[],3,FALSE)*VLOOKUP($M534,Vloersoorten[],3,FALSE)*VLOOKUP($T534,Frequenties[],3,FALSE)*VLOOKUP($A534,Locaties[],3,FALSE),0)</f>
        <v>0</v>
      </c>
      <c r="W534" s="89">
        <f>Ruimtestaat[[#This Row],[Uitvoeringen werkdagen]]*Ruimtestaat[[#This Row],[Oppervlak (netto)]]</f>
        <v>13020</v>
      </c>
      <c r="X534" s="90">
        <f>IF(V534&gt;0,Ruimtestaat[[#This Row],[Prest. (m2 /jaar) werkdagen]]/Ruimtestaat[[#This Row],[Norm (m2/uur) werkdagen]],0)</f>
        <v>0</v>
      </c>
      <c r="Y534" s="91">
        <f>Ruimtestaat[[#This Row],[uren / jaar werkdagen]]*Tariefsopbouw!$E$35</f>
        <v>0</v>
      </c>
      <c r="Z534" s="88"/>
      <c r="AA534" s="92">
        <f>IF(Ruimtestaat[[#This Row],[Frequentie weekend]]&gt;0,VALUE(LEFT(Z534,1))*S534,0)</f>
        <v>0</v>
      </c>
      <c r="AB534" s="88">
        <f>IF($AA534&gt;0,VLOOKUP($K534,Ruimtegroepen[],3,FALSE)*VLOOKUP($M534,Vloersoorten[],3,FALSE)*VLOOKUP($Z534,Frequenties[],3,FALSE)*VLOOKUP(#REF!,Locaties[],3,FALSE),0)</f>
        <v>0</v>
      </c>
      <c r="AC534" s="90">
        <f>Ruimtestaat[[#This Row],[Uitvoeringen weekend]]*Ruimtestaat[[#This Row],[Oppervlak (netto)]]</f>
        <v>0</v>
      </c>
      <c r="AD534" s="93">
        <f>IF(AC534&gt;0,Ruimtestaat[[#This Row],[Prest. (m2 /jaar) weekend]]/Ruimtestaat[[#This Row],[Norm (m2/uur) weekend]],0)</f>
        <v>0</v>
      </c>
      <c r="AE534" s="94">
        <f>Ruimtestaat[[#This Row],[uren / jaar weekend]]*Tariefsopbouw!$D$40</f>
        <v>0</v>
      </c>
      <c r="AF534" s="66">
        <f>Ruimtestaat[[#This Row],[Prest. (m2 /jaar) weekend]]+Ruimtestaat[[#This Row],[Prest. (m2 /jaar) werkdagen]]</f>
        <v>13020</v>
      </c>
      <c r="AG534" s="66">
        <f>Ruimtestaat[[#This Row],[uren / jaar weekend]]+Ruimtestaat[[#This Row],[uren / jaar werkdagen]]</f>
        <v>0</v>
      </c>
      <c r="AH534" s="67">
        <f>Ruimtestaat[[#This Row],[kosten / jaar weekend]]+Ruimtestaat[[#This Row],[kosten / jaar werkdagen]]</f>
        <v>0</v>
      </c>
    </row>
    <row r="535" spans="1:34" ht="15" customHeight="1">
      <c r="A535" s="112">
        <v>3</v>
      </c>
      <c r="B535" s="23" t="str">
        <f>VLOOKUP(Ruimtestaat[[#This Row],[Code]],Locaties[#All],2,FALSE)</f>
        <v>RSG N.O. Veluwe</v>
      </c>
      <c r="C535" s="23" t="str">
        <f>VLOOKUP(Ruimtestaat[[#This Row],[Code]],Locaties[#All],4,FALSE)</f>
        <v>Schotweg 1</v>
      </c>
      <c r="D535" s="23" t="str">
        <f>VLOOKUP(Ruimtestaat[[#This Row],[Code]],Locaties[#All],5,FALSE)</f>
        <v>8162 GM</v>
      </c>
      <c r="E535" s="23" t="str">
        <f>VLOOKUP(Ruimtestaat[[#This Row],[Code]],Locaties[#All],6,FALSE)</f>
        <v>Epe</v>
      </c>
      <c r="F535" s="23" t="s">
        <v>1110</v>
      </c>
      <c r="G535" s="60"/>
      <c r="H535" s="23" t="s">
        <v>1299</v>
      </c>
      <c r="J535" s="3" t="s">
        <v>1265</v>
      </c>
      <c r="K535" s="23">
        <v>6</v>
      </c>
      <c r="L535" s="60" t="str">
        <f>VLOOKUP(K535,Ruimtegroepen[],2,FALSE)</f>
        <v>Gangen/hallen</v>
      </c>
      <c r="M535" s="23" t="s">
        <v>1300</v>
      </c>
      <c r="N535" s="23" t="s">
        <v>1301</v>
      </c>
      <c r="O535" s="86">
        <v>52</v>
      </c>
      <c r="P535" s="86"/>
      <c r="Q535" s="95" t="str">
        <f>LEFT(VLOOKUP(Ruimtestaat[[#This Row],[Ruimte code]],Ruimtegroepen[#All],4,1),2)</f>
        <v xml:space="preserve">V </v>
      </c>
      <c r="R535" s="95"/>
      <c r="S535" s="87">
        <v>42</v>
      </c>
      <c r="T535" s="87" t="s">
        <v>2</v>
      </c>
      <c r="U535" s="88">
        <f>IF(S535&gt;0,IF(RIGHT(Ruimtestaat[[#This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35" s="88">
        <f>IF(U535&gt;0,VLOOKUP($K535,Ruimtegroepen[],3,FALSE)*VLOOKUP($M535,Vloersoorten[],3,FALSE)*VLOOKUP($T535,Frequenties[],3,FALSE)*VLOOKUP($A535,Locaties[],3,FALSE),0)</f>
        <v>0</v>
      </c>
      <c r="W535" s="89">
        <f>Ruimtestaat[[#This Row],[Uitvoeringen werkdagen]]*Ruimtestaat[[#This Row],[Oppervlak (netto)]]</f>
        <v>10920</v>
      </c>
      <c r="X535" s="90">
        <f>IF(V535&gt;0,Ruimtestaat[[#This Row],[Prest. (m2 /jaar) werkdagen]]/Ruimtestaat[[#This Row],[Norm (m2/uur) werkdagen]],0)</f>
        <v>0</v>
      </c>
      <c r="Y535" s="91">
        <f>Ruimtestaat[[#This Row],[uren / jaar werkdagen]]*Tariefsopbouw!$E$35</f>
        <v>0</v>
      </c>
      <c r="Z535" s="88"/>
      <c r="AA535" s="92">
        <f>IF(Ruimtestaat[[#This Row],[Frequentie weekend]]&gt;0,VALUE(LEFT(Z535,1))*S535,0)</f>
        <v>0</v>
      </c>
      <c r="AB535" s="88">
        <f>IF($AA535&gt;0,VLOOKUP($K535,Ruimtegroepen[],3,FALSE)*VLOOKUP($M535,Vloersoorten[],3,FALSE)*VLOOKUP($Z535,Frequenties[],3,FALSE)*VLOOKUP(#REF!,Locaties[],3,FALSE),0)</f>
        <v>0</v>
      </c>
      <c r="AC535" s="90">
        <f>Ruimtestaat[[#This Row],[Uitvoeringen weekend]]*Ruimtestaat[[#This Row],[Oppervlak (netto)]]</f>
        <v>0</v>
      </c>
      <c r="AD535" s="93">
        <f>IF(AC535&gt;0,Ruimtestaat[[#This Row],[Prest. (m2 /jaar) weekend]]/Ruimtestaat[[#This Row],[Norm (m2/uur) weekend]],0)</f>
        <v>0</v>
      </c>
      <c r="AE535" s="94">
        <f>Ruimtestaat[[#This Row],[uren / jaar weekend]]*Tariefsopbouw!$D$40</f>
        <v>0</v>
      </c>
      <c r="AF535" s="66">
        <f>Ruimtestaat[[#This Row],[Prest. (m2 /jaar) weekend]]+Ruimtestaat[[#This Row],[Prest. (m2 /jaar) werkdagen]]</f>
        <v>10920</v>
      </c>
      <c r="AG535" s="66">
        <f>Ruimtestaat[[#This Row],[uren / jaar weekend]]+Ruimtestaat[[#This Row],[uren / jaar werkdagen]]</f>
        <v>0</v>
      </c>
      <c r="AH535" s="67">
        <f>Ruimtestaat[[#This Row],[kosten / jaar weekend]]+Ruimtestaat[[#This Row],[kosten / jaar werkdagen]]</f>
        <v>0</v>
      </c>
    </row>
    <row r="536" spans="1:34" ht="15" customHeight="1">
      <c r="A536" s="112">
        <v>3</v>
      </c>
      <c r="B536" s="23" t="str">
        <f>VLOOKUP(Ruimtestaat[[#This Row],[Code]],Locaties[#All],2,FALSE)</f>
        <v>RSG N.O. Veluwe</v>
      </c>
      <c r="C536" s="23" t="str">
        <f>VLOOKUP(Ruimtestaat[[#This Row],[Code]],Locaties[#All],4,FALSE)</f>
        <v>Schotweg 1</v>
      </c>
      <c r="D536" s="23" t="str">
        <f>VLOOKUP(Ruimtestaat[[#This Row],[Code]],Locaties[#All],5,FALSE)</f>
        <v>8162 GM</v>
      </c>
      <c r="E536" s="23" t="str">
        <f>VLOOKUP(Ruimtestaat[[#This Row],[Code]],Locaties[#All],6,FALSE)</f>
        <v>Epe</v>
      </c>
      <c r="F536" s="23" t="s">
        <v>1110</v>
      </c>
      <c r="G536" s="60"/>
      <c r="H536" s="23" t="s">
        <v>1299</v>
      </c>
      <c r="J536" s="3" t="s">
        <v>1266</v>
      </c>
      <c r="K536" s="23">
        <v>6</v>
      </c>
      <c r="L536" s="60" t="str">
        <f>VLOOKUP(K536,Ruimtegroepen[],2,FALSE)</f>
        <v>Gangen/hallen</v>
      </c>
      <c r="M536" s="23" t="s">
        <v>1300</v>
      </c>
      <c r="N536" s="23" t="s">
        <v>1301</v>
      </c>
      <c r="O536" s="86">
        <v>55</v>
      </c>
      <c r="P536" s="86"/>
      <c r="Q536" s="95" t="str">
        <f>LEFT(VLOOKUP(Ruimtestaat[[#This Row],[Ruimte code]],Ruimtegroepen[#All],4,1),2)</f>
        <v xml:space="preserve">V </v>
      </c>
      <c r="R536" s="95"/>
      <c r="S536" s="87">
        <v>42</v>
      </c>
      <c r="T536" s="87" t="s">
        <v>2</v>
      </c>
      <c r="U536" s="88">
        <f>IF(S536&gt;0,IF(RIGHT(Ruimtestaat[[#This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36" s="88">
        <f>IF(U536&gt;0,VLOOKUP($K536,Ruimtegroepen[],3,FALSE)*VLOOKUP($M536,Vloersoorten[],3,FALSE)*VLOOKUP($T536,Frequenties[],3,FALSE)*VLOOKUP($A536,Locaties[],3,FALSE),0)</f>
        <v>0</v>
      </c>
      <c r="W536" s="89">
        <f>Ruimtestaat[[#This Row],[Uitvoeringen werkdagen]]*Ruimtestaat[[#This Row],[Oppervlak (netto)]]</f>
        <v>11550</v>
      </c>
      <c r="X536" s="90">
        <f>IF(V536&gt;0,Ruimtestaat[[#This Row],[Prest. (m2 /jaar) werkdagen]]/Ruimtestaat[[#This Row],[Norm (m2/uur) werkdagen]],0)</f>
        <v>0</v>
      </c>
      <c r="Y536" s="91">
        <f>Ruimtestaat[[#This Row],[uren / jaar werkdagen]]*Tariefsopbouw!$E$35</f>
        <v>0</v>
      </c>
      <c r="Z536" s="88"/>
      <c r="AA536" s="92">
        <f>IF(Ruimtestaat[[#This Row],[Frequentie weekend]]&gt;0,VALUE(LEFT(Z536,1))*S536,0)</f>
        <v>0</v>
      </c>
      <c r="AB536" s="88">
        <f>IF($AA536&gt;0,VLOOKUP($K536,Ruimtegroepen[],3,FALSE)*VLOOKUP($M536,Vloersoorten[],3,FALSE)*VLOOKUP($Z536,Frequenties[],3,FALSE)*VLOOKUP(#REF!,Locaties[],3,FALSE),0)</f>
        <v>0</v>
      </c>
      <c r="AC536" s="90">
        <f>Ruimtestaat[[#This Row],[Uitvoeringen weekend]]*Ruimtestaat[[#This Row],[Oppervlak (netto)]]</f>
        <v>0</v>
      </c>
      <c r="AD536" s="93">
        <f>IF(AC536&gt;0,Ruimtestaat[[#This Row],[Prest. (m2 /jaar) weekend]]/Ruimtestaat[[#This Row],[Norm (m2/uur) weekend]],0)</f>
        <v>0</v>
      </c>
      <c r="AE536" s="94">
        <f>Ruimtestaat[[#This Row],[uren / jaar weekend]]*Tariefsopbouw!$D$40</f>
        <v>0</v>
      </c>
      <c r="AF536" s="66">
        <f>Ruimtestaat[[#This Row],[Prest. (m2 /jaar) weekend]]+Ruimtestaat[[#This Row],[Prest. (m2 /jaar) werkdagen]]</f>
        <v>11550</v>
      </c>
      <c r="AG536" s="66">
        <f>Ruimtestaat[[#This Row],[uren / jaar weekend]]+Ruimtestaat[[#This Row],[uren / jaar werkdagen]]</f>
        <v>0</v>
      </c>
      <c r="AH536" s="67">
        <f>Ruimtestaat[[#This Row],[kosten / jaar weekend]]+Ruimtestaat[[#This Row],[kosten / jaar werkdagen]]</f>
        <v>0</v>
      </c>
    </row>
    <row r="537" spans="1:34" ht="15" customHeight="1">
      <c r="A537" s="112">
        <v>3</v>
      </c>
      <c r="B537" s="23" t="str">
        <f>VLOOKUP(Ruimtestaat[[#This Row],[Code]],Locaties[#All],2,FALSE)</f>
        <v>RSG N.O. Veluwe</v>
      </c>
      <c r="C537" s="23" t="str">
        <f>VLOOKUP(Ruimtestaat[[#This Row],[Code]],Locaties[#All],4,FALSE)</f>
        <v>Schotweg 1</v>
      </c>
      <c r="D537" s="23" t="str">
        <f>VLOOKUP(Ruimtestaat[[#This Row],[Code]],Locaties[#All],5,FALSE)</f>
        <v>8162 GM</v>
      </c>
      <c r="E537" s="23" t="str">
        <f>VLOOKUP(Ruimtestaat[[#This Row],[Code]],Locaties[#All],6,FALSE)</f>
        <v>Epe</v>
      </c>
      <c r="F537" s="23" t="s">
        <v>1111</v>
      </c>
      <c r="G537" s="60"/>
      <c r="H537" s="23" t="s">
        <v>1299</v>
      </c>
      <c r="I537" s="23" t="s">
        <v>1223</v>
      </c>
      <c r="J537" s="3" t="s">
        <v>1267</v>
      </c>
      <c r="K537" s="23">
        <v>16</v>
      </c>
      <c r="L537" s="60" t="str">
        <f>VLOOKUP(K537,Ruimtegroepen[],2,FALSE)</f>
        <v>Leslokalen theorie</v>
      </c>
      <c r="M537" s="23" t="s">
        <v>1094</v>
      </c>
      <c r="N537" s="23" t="s">
        <v>1095</v>
      </c>
      <c r="O537" s="86">
        <v>140</v>
      </c>
      <c r="P537" s="86"/>
      <c r="Q537" s="95" t="str">
        <f>LEFT(VLOOKUP(Ruimtestaat[[#This Row],[Ruimte code]],Ruimtegroepen[#All],4,1),2)</f>
        <v xml:space="preserve">L </v>
      </c>
      <c r="R537" s="95"/>
      <c r="S537" s="87">
        <v>40</v>
      </c>
      <c r="T537" s="87" t="s">
        <v>2</v>
      </c>
      <c r="U537" s="88">
        <f>IF(S537&gt;0,IF(RIGHT(Ruimtestaat[[#This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37" s="88">
        <f>IF(U537&gt;0,VLOOKUP($K537,Ruimtegroepen[],3,FALSE)*VLOOKUP($M537,Vloersoorten[],3,FALSE)*VLOOKUP($T537,Frequenties[],3,FALSE)*VLOOKUP($A537,Locaties[],3,FALSE),0)</f>
        <v>0</v>
      </c>
      <c r="W537" s="89">
        <f>Ruimtestaat[[#This Row],[Uitvoeringen werkdagen]]*Ruimtestaat[[#This Row],[Oppervlak (netto)]]</f>
        <v>28000</v>
      </c>
      <c r="X537" s="90">
        <f>IF(V537&gt;0,Ruimtestaat[[#This Row],[Prest. (m2 /jaar) werkdagen]]/Ruimtestaat[[#This Row],[Norm (m2/uur) werkdagen]],0)</f>
        <v>0</v>
      </c>
      <c r="Y537" s="91">
        <f>Ruimtestaat[[#This Row],[uren / jaar werkdagen]]*Tariefsopbouw!$E$35</f>
        <v>0</v>
      </c>
      <c r="Z537" s="88"/>
      <c r="AA537" s="92">
        <f>IF(Ruimtestaat[[#This Row],[Frequentie weekend]]&gt;0,VALUE(LEFT(Z537,1))*S537,0)</f>
        <v>0</v>
      </c>
      <c r="AB537" s="88">
        <f>IF($AA537&gt;0,VLOOKUP($K537,Ruimtegroepen[],3,FALSE)*VLOOKUP($M537,Vloersoorten[],3,FALSE)*VLOOKUP($Z537,Frequenties[],3,FALSE)*VLOOKUP(#REF!,Locaties[],3,FALSE),0)</f>
        <v>0</v>
      </c>
      <c r="AC537" s="90">
        <f>Ruimtestaat[[#This Row],[Uitvoeringen weekend]]*Ruimtestaat[[#This Row],[Oppervlak (netto)]]</f>
        <v>0</v>
      </c>
      <c r="AD537" s="93">
        <f>IF(AC537&gt;0,Ruimtestaat[[#This Row],[Prest. (m2 /jaar) weekend]]/Ruimtestaat[[#This Row],[Norm (m2/uur) weekend]],0)</f>
        <v>0</v>
      </c>
      <c r="AE537" s="94">
        <f>Ruimtestaat[[#This Row],[uren / jaar weekend]]*Tariefsopbouw!$D$40</f>
        <v>0</v>
      </c>
      <c r="AF537" s="66">
        <f>Ruimtestaat[[#This Row],[Prest. (m2 /jaar) weekend]]+Ruimtestaat[[#This Row],[Prest. (m2 /jaar) werkdagen]]</f>
        <v>28000</v>
      </c>
      <c r="AG537" s="66">
        <f>Ruimtestaat[[#This Row],[uren / jaar weekend]]+Ruimtestaat[[#This Row],[uren / jaar werkdagen]]</f>
        <v>0</v>
      </c>
      <c r="AH537" s="67">
        <f>Ruimtestaat[[#This Row],[kosten / jaar weekend]]+Ruimtestaat[[#This Row],[kosten / jaar werkdagen]]</f>
        <v>0</v>
      </c>
    </row>
    <row r="538" spans="1:34" ht="15" customHeight="1">
      <c r="A538" s="112">
        <v>3</v>
      </c>
      <c r="B538" s="23" t="str">
        <f>VLOOKUP(Ruimtestaat[[#This Row],[Code]],Locaties[#All],2,FALSE)</f>
        <v>RSG N.O. Veluwe</v>
      </c>
      <c r="C538" s="23" t="str">
        <f>VLOOKUP(Ruimtestaat[[#This Row],[Code]],Locaties[#All],4,FALSE)</f>
        <v>Schotweg 1</v>
      </c>
      <c r="D538" s="23" t="str">
        <f>VLOOKUP(Ruimtestaat[[#This Row],[Code]],Locaties[#All],5,FALSE)</f>
        <v>8162 GM</v>
      </c>
      <c r="E538" s="23" t="str">
        <f>VLOOKUP(Ruimtestaat[[#This Row],[Code]],Locaties[#All],6,FALSE)</f>
        <v>Epe</v>
      </c>
      <c r="F538" s="23" t="s">
        <v>1111</v>
      </c>
      <c r="G538" s="60"/>
      <c r="H538" s="23" t="s">
        <v>1299</v>
      </c>
      <c r="I538" s="23" t="s">
        <v>1224</v>
      </c>
      <c r="J538" s="3" t="s">
        <v>1268</v>
      </c>
      <c r="K538" s="23">
        <v>1</v>
      </c>
      <c r="L538" s="60" t="str">
        <f>VLOOKUP(K538,Ruimtegroepen[],2,FALSE)</f>
        <v>Magazijnen/bergingen</v>
      </c>
      <c r="M538" s="23" t="s">
        <v>1094</v>
      </c>
      <c r="N538" s="23" t="s">
        <v>1095</v>
      </c>
      <c r="O538" s="86">
        <v>6</v>
      </c>
      <c r="P538" s="86"/>
      <c r="Q538" s="95" t="str">
        <f>LEFT(VLOOKUP(Ruimtestaat[[#This Row],[Ruimte code]],Ruimtegroepen[#All],4,1),2)</f>
        <v xml:space="preserve">V </v>
      </c>
      <c r="R538" s="95"/>
      <c r="S538" s="87">
        <v>40</v>
      </c>
      <c r="T538" s="87" t="s">
        <v>15</v>
      </c>
      <c r="U538" s="88">
        <f>IF(S538&gt;0,IF(RIGHT(Ruimtestaat[[#This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V538" s="88">
        <f>IF(U538&gt;0,VLOOKUP($K538,Ruimtegroepen[],3,FALSE)*VLOOKUP($M538,Vloersoorten[],3,FALSE)*VLOOKUP($T538,Frequenties[],3,FALSE)*VLOOKUP($A538,Locaties[],3,FALSE),0)</f>
        <v>0</v>
      </c>
      <c r="W538" s="89">
        <f>Ruimtestaat[[#This Row],[Uitvoeringen werkdagen]]*Ruimtestaat[[#This Row],[Oppervlak (netto)]]</f>
        <v>240</v>
      </c>
      <c r="X538" s="90">
        <f>IF(V538&gt;0,Ruimtestaat[[#This Row],[Prest. (m2 /jaar) werkdagen]]/Ruimtestaat[[#This Row],[Norm (m2/uur) werkdagen]],0)</f>
        <v>0</v>
      </c>
      <c r="Y538" s="91">
        <f>Ruimtestaat[[#This Row],[uren / jaar werkdagen]]*Tariefsopbouw!$E$35</f>
        <v>0</v>
      </c>
      <c r="Z538" s="88"/>
      <c r="AA538" s="92">
        <f>IF(Ruimtestaat[[#This Row],[Frequentie weekend]]&gt;0,VALUE(LEFT(Z538,1))*S538,0)</f>
        <v>0</v>
      </c>
      <c r="AB538" s="88">
        <f>IF($AA538&gt;0,VLOOKUP($K538,Ruimtegroepen[],3,FALSE)*VLOOKUP($M538,Vloersoorten[],3,FALSE)*VLOOKUP($Z538,Frequenties[],3,FALSE)*VLOOKUP(#REF!,Locaties[],3,FALSE),0)</f>
        <v>0</v>
      </c>
      <c r="AC538" s="90">
        <f>Ruimtestaat[[#This Row],[Uitvoeringen weekend]]*Ruimtestaat[[#This Row],[Oppervlak (netto)]]</f>
        <v>0</v>
      </c>
      <c r="AD538" s="93">
        <f>IF(AC538&gt;0,Ruimtestaat[[#This Row],[Prest. (m2 /jaar) weekend]]/Ruimtestaat[[#This Row],[Norm (m2/uur) weekend]],0)</f>
        <v>0</v>
      </c>
      <c r="AE538" s="94">
        <f>Ruimtestaat[[#This Row],[uren / jaar weekend]]*Tariefsopbouw!$D$40</f>
        <v>0</v>
      </c>
      <c r="AF538" s="66">
        <f>Ruimtestaat[[#This Row],[Prest. (m2 /jaar) weekend]]+Ruimtestaat[[#This Row],[Prest. (m2 /jaar) werkdagen]]</f>
        <v>240</v>
      </c>
      <c r="AG538" s="66">
        <f>Ruimtestaat[[#This Row],[uren / jaar weekend]]+Ruimtestaat[[#This Row],[uren / jaar werkdagen]]</f>
        <v>0</v>
      </c>
      <c r="AH538" s="67">
        <f>Ruimtestaat[[#This Row],[kosten / jaar weekend]]+Ruimtestaat[[#This Row],[kosten / jaar werkdagen]]</f>
        <v>0</v>
      </c>
    </row>
    <row r="539" spans="1:34" ht="15" customHeight="1">
      <c r="A539" s="112">
        <v>3</v>
      </c>
      <c r="B539" s="23" t="str">
        <f>VLOOKUP(Ruimtestaat[[#This Row],[Code]],Locaties[#All],2,FALSE)</f>
        <v>RSG N.O. Veluwe</v>
      </c>
      <c r="C539" s="23" t="str">
        <f>VLOOKUP(Ruimtestaat[[#This Row],[Code]],Locaties[#All],4,FALSE)</f>
        <v>Schotweg 1</v>
      </c>
      <c r="D539" s="23" t="str">
        <f>VLOOKUP(Ruimtestaat[[#This Row],[Code]],Locaties[#All],5,FALSE)</f>
        <v>8162 GM</v>
      </c>
      <c r="E539" s="23" t="str">
        <f>VLOOKUP(Ruimtestaat[[#This Row],[Code]],Locaties[#All],6,FALSE)</f>
        <v>Epe</v>
      </c>
      <c r="F539" s="23" t="s">
        <v>1111</v>
      </c>
      <c r="G539" s="60"/>
      <c r="H539" s="23" t="s">
        <v>1299</v>
      </c>
      <c r="J539" s="3" t="s">
        <v>1220</v>
      </c>
      <c r="K539" s="23">
        <v>10</v>
      </c>
      <c r="L539" s="60" t="str">
        <f>VLOOKUP(K539,Ruimtegroepen[],2,FALSE)</f>
        <v>Trappenhuizen/lift</v>
      </c>
      <c r="M539" s="23" t="s">
        <v>1300</v>
      </c>
      <c r="N539" s="23" t="s">
        <v>1301</v>
      </c>
      <c r="O539" s="86">
        <v>6</v>
      </c>
      <c r="P539" s="86"/>
      <c r="Q539" s="95" t="str">
        <f>LEFT(VLOOKUP(Ruimtestaat[[#This Row],[Ruimte code]],Ruimtegroepen[#All],4,1),2)</f>
        <v xml:space="preserve">V </v>
      </c>
      <c r="R539" s="95"/>
      <c r="S539" s="87">
        <v>42</v>
      </c>
      <c r="T539" s="87" t="s">
        <v>2</v>
      </c>
      <c r="U539" s="88">
        <f>IF(S539&gt;0,IF(RIGHT(Ruimtestaat[[#This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39" s="88">
        <f>IF(U539&gt;0,VLOOKUP($K539,Ruimtegroepen[],3,FALSE)*VLOOKUP($M539,Vloersoorten[],3,FALSE)*VLOOKUP($T539,Frequenties[],3,FALSE)*VLOOKUP($A539,Locaties[],3,FALSE),0)</f>
        <v>0</v>
      </c>
      <c r="W539" s="89">
        <f>Ruimtestaat[[#This Row],[Uitvoeringen werkdagen]]*Ruimtestaat[[#This Row],[Oppervlak (netto)]]</f>
        <v>1260</v>
      </c>
      <c r="X539" s="90">
        <f>IF(V539&gt;0,Ruimtestaat[[#This Row],[Prest. (m2 /jaar) werkdagen]]/Ruimtestaat[[#This Row],[Norm (m2/uur) werkdagen]],0)</f>
        <v>0</v>
      </c>
      <c r="Y539" s="91">
        <f>Ruimtestaat[[#This Row],[uren / jaar werkdagen]]*Tariefsopbouw!$E$35</f>
        <v>0</v>
      </c>
      <c r="Z539" s="88"/>
      <c r="AA539" s="92">
        <f>IF(Ruimtestaat[[#This Row],[Frequentie weekend]]&gt;0,VALUE(LEFT(Z539,1))*S539,0)</f>
        <v>0</v>
      </c>
      <c r="AB539" s="88">
        <f>IF($AA539&gt;0,VLOOKUP($K539,Ruimtegroepen[],3,FALSE)*VLOOKUP($M539,Vloersoorten[],3,FALSE)*VLOOKUP($Z539,Frequenties[],3,FALSE)*VLOOKUP(#REF!,Locaties[],3,FALSE),0)</f>
        <v>0</v>
      </c>
      <c r="AC539" s="90">
        <f>Ruimtestaat[[#This Row],[Uitvoeringen weekend]]*Ruimtestaat[[#This Row],[Oppervlak (netto)]]</f>
        <v>0</v>
      </c>
      <c r="AD539" s="93">
        <f>IF(AC539&gt;0,Ruimtestaat[[#This Row],[Prest. (m2 /jaar) weekend]]/Ruimtestaat[[#This Row],[Norm (m2/uur) weekend]],0)</f>
        <v>0</v>
      </c>
      <c r="AE539" s="94">
        <f>Ruimtestaat[[#This Row],[uren / jaar weekend]]*Tariefsopbouw!$D$40</f>
        <v>0</v>
      </c>
      <c r="AF539" s="66">
        <f>Ruimtestaat[[#This Row],[Prest. (m2 /jaar) weekend]]+Ruimtestaat[[#This Row],[Prest. (m2 /jaar) werkdagen]]</f>
        <v>1260</v>
      </c>
      <c r="AG539" s="66">
        <f>Ruimtestaat[[#This Row],[uren / jaar weekend]]+Ruimtestaat[[#This Row],[uren / jaar werkdagen]]</f>
        <v>0</v>
      </c>
      <c r="AH539" s="67">
        <f>Ruimtestaat[[#This Row],[kosten / jaar weekend]]+Ruimtestaat[[#This Row],[kosten / jaar werkdagen]]</f>
        <v>0</v>
      </c>
    </row>
    <row r="540" spans="1:34" ht="15" customHeight="1">
      <c r="A540" s="112">
        <v>3</v>
      </c>
      <c r="B540" s="23" t="str">
        <f>VLOOKUP(Ruimtestaat[[#This Row],[Code]],Locaties[#All],2,FALSE)</f>
        <v>RSG N.O. Veluwe</v>
      </c>
      <c r="C540" s="23" t="str">
        <f>VLOOKUP(Ruimtestaat[[#This Row],[Code]],Locaties[#All],4,FALSE)</f>
        <v>Schotweg 1</v>
      </c>
      <c r="D540" s="23" t="str">
        <f>VLOOKUP(Ruimtestaat[[#This Row],[Code]],Locaties[#All],5,FALSE)</f>
        <v>8162 GM</v>
      </c>
      <c r="E540" s="23" t="str">
        <f>VLOOKUP(Ruimtestaat[[#This Row],[Code]],Locaties[#All],6,FALSE)</f>
        <v>Epe</v>
      </c>
      <c r="F540" s="23" t="s">
        <v>1111</v>
      </c>
      <c r="G540" s="60"/>
      <c r="H540" s="23" t="s">
        <v>1299</v>
      </c>
      <c r="I540" s="23" t="s">
        <v>1225</v>
      </c>
      <c r="J540" s="3" t="s">
        <v>1269</v>
      </c>
      <c r="K540" s="23">
        <v>16</v>
      </c>
      <c r="L540" s="60" t="str">
        <f>VLOOKUP(K540,Ruimtegroepen[],2,FALSE)</f>
        <v>Leslokalen theorie</v>
      </c>
      <c r="M540" s="23" t="s">
        <v>1094</v>
      </c>
      <c r="N540" s="23" t="s">
        <v>1095</v>
      </c>
      <c r="O540" s="86">
        <v>17</v>
      </c>
      <c r="P540" s="86"/>
      <c r="Q540" s="95" t="str">
        <f>LEFT(VLOOKUP(Ruimtestaat[[#This Row],[Ruimte code]],Ruimtegroepen[#All],4,1),2)</f>
        <v xml:space="preserve">L </v>
      </c>
      <c r="R540" s="95"/>
      <c r="S540" s="87">
        <v>40</v>
      </c>
      <c r="T540" s="87" t="s">
        <v>2</v>
      </c>
      <c r="U540" s="88">
        <f>IF(S540&gt;0,IF(RIGHT(Ruimtestaat[[#This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40" s="88">
        <f>IF(U540&gt;0,VLOOKUP($K540,Ruimtegroepen[],3,FALSE)*VLOOKUP($M540,Vloersoorten[],3,FALSE)*VLOOKUP($T540,Frequenties[],3,FALSE)*VLOOKUP($A540,Locaties[],3,FALSE),0)</f>
        <v>0</v>
      </c>
      <c r="W540" s="89">
        <f>Ruimtestaat[[#This Row],[Uitvoeringen werkdagen]]*Ruimtestaat[[#This Row],[Oppervlak (netto)]]</f>
        <v>3400</v>
      </c>
      <c r="X540" s="90">
        <f>IF(V540&gt;0,Ruimtestaat[[#This Row],[Prest. (m2 /jaar) werkdagen]]/Ruimtestaat[[#This Row],[Norm (m2/uur) werkdagen]],0)</f>
        <v>0</v>
      </c>
      <c r="Y540" s="91">
        <f>Ruimtestaat[[#This Row],[uren / jaar werkdagen]]*Tariefsopbouw!$E$35</f>
        <v>0</v>
      </c>
      <c r="Z540" s="88"/>
      <c r="AA540" s="92">
        <f>IF(Ruimtestaat[[#This Row],[Frequentie weekend]]&gt;0,VALUE(LEFT(Z540,1))*S540,0)</f>
        <v>0</v>
      </c>
      <c r="AB540" s="88">
        <f>IF($AA540&gt;0,VLOOKUP($K540,Ruimtegroepen[],3,FALSE)*VLOOKUP($M540,Vloersoorten[],3,FALSE)*VLOOKUP($Z540,Frequenties[],3,FALSE)*VLOOKUP(#REF!,Locaties[],3,FALSE),0)</f>
        <v>0</v>
      </c>
      <c r="AC540" s="90">
        <f>Ruimtestaat[[#This Row],[Uitvoeringen weekend]]*Ruimtestaat[[#This Row],[Oppervlak (netto)]]</f>
        <v>0</v>
      </c>
      <c r="AD540" s="93">
        <f>IF(AC540&gt;0,Ruimtestaat[[#This Row],[Prest. (m2 /jaar) weekend]]/Ruimtestaat[[#This Row],[Norm (m2/uur) weekend]],0)</f>
        <v>0</v>
      </c>
      <c r="AE540" s="94">
        <f>Ruimtestaat[[#This Row],[uren / jaar weekend]]*Tariefsopbouw!$D$40</f>
        <v>0</v>
      </c>
      <c r="AF540" s="66">
        <f>Ruimtestaat[[#This Row],[Prest. (m2 /jaar) weekend]]+Ruimtestaat[[#This Row],[Prest. (m2 /jaar) werkdagen]]</f>
        <v>3400</v>
      </c>
      <c r="AG540" s="66">
        <f>Ruimtestaat[[#This Row],[uren / jaar weekend]]+Ruimtestaat[[#This Row],[uren / jaar werkdagen]]</f>
        <v>0</v>
      </c>
      <c r="AH540" s="67">
        <f>Ruimtestaat[[#This Row],[kosten / jaar weekend]]+Ruimtestaat[[#This Row],[kosten / jaar werkdagen]]</f>
        <v>0</v>
      </c>
    </row>
    <row r="541" spans="1:34" ht="15" customHeight="1">
      <c r="A541" s="112">
        <v>3</v>
      </c>
      <c r="B541" s="23" t="str">
        <f>VLOOKUP(Ruimtestaat[[#This Row],[Code]],Locaties[#All],2,FALSE)</f>
        <v>RSG N.O. Veluwe</v>
      </c>
      <c r="C541" s="23" t="str">
        <f>VLOOKUP(Ruimtestaat[[#This Row],[Code]],Locaties[#All],4,FALSE)</f>
        <v>Schotweg 1</v>
      </c>
      <c r="D541" s="23" t="str">
        <f>VLOOKUP(Ruimtestaat[[#This Row],[Code]],Locaties[#All],5,FALSE)</f>
        <v>8162 GM</v>
      </c>
      <c r="E541" s="23" t="str">
        <f>VLOOKUP(Ruimtestaat[[#This Row],[Code]],Locaties[#All],6,FALSE)</f>
        <v>Epe</v>
      </c>
      <c r="F541" s="23" t="s">
        <v>1111</v>
      </c>
      <c r="G541" s="60"/>
      <c r="H541" s="23" t="s">
        <v>1299</v>
      </c>
      <c r="I541" s="23" t="s">
        <v>1226</v>
      </c>
      <c r="J541" s="3" t="s">
        <v>1179</v>
      </c>
      <c r="K541" s="23">
        <v>16</v>
      </c>
      <c r="L541" s="60" t="str">
        <f>VLOOKUP(K541,Ruimtegroepen[],2,FALSE)</f>
        <v>Leslokalen theorie</v>
      </c>
      <c r="M541" s="23" t="s">
        <v>1300</v>
      </c>
      <c r="N541" s="23" t="s">
        <v>1301</v>
      </c>
      <c r="O541" s="86">
        <v>51</v>
      </c>
      <c r="P541" s="86"/>
      <c r="Q541" s="95" t="str">
        <f>LEFT(VLOOKUP(Ruimtestaat[[#This Row],[Ruimte code]],Ruimtegroepen[#All],4,1),2)</f>
        <v xml:space="preserve">L </v>
      </c>
      <c r="R541" s="95"/>
      <c r="S541" s="87">
        <v>40</v>
      </c>
      <c r="T541" s="87" t="s">
        <v>2</v>
      </c>
      <c r="U541" s="88">
        <f>IF(S541&gt;0,IF(RIGHT(Ruimtestaat[[#This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41" s="88">
        <f>IF(U541&gt;0,VLOOKUP($K541,Ruimtegroepen[],3,FALSE)*VLOOKUP($M541,Vloersoorten[],3,FALSE)*VLOOKUP($T541,Frequenties[],3,FALSE)*VLOOKUP($A541,Locaties[],3,FALSE),0)</f>
        <v>0</v>
      </c>
      <c r="W541" s="89">
        <f>Ruimtestaat[[#This Row],[Uitvoeringen werkdagen]]*Ruimtestaat[[#This Row],[Oppervlak (netto)]]</f>
        <v>10200</v>
      </c>
      <c r="X541" s="90">
        <f>IF(V541&gt;0,Ruimtestaat[[#This Row],[Prest. (m2 /jaar) werkdagen]]/Ruimtestaat[[#This Row],[Norm (m2/uur) werkdagen]],0)</f>
        <v>0</v>
      </c>
      <c r="Y541" s="91">
        <f>Ruimtestaat[[#This Row],[uren / jaar werkdagen]]*Tariefsopbouw!$E$35</f>
        <v>0</v>
      </c>
      <c r="Z541" s="88"/>
      <c r="AA541" s="92">
        <f>IF(Ruimtestaat[[#This Row],[Frequentie weekend]]&gt;0,VALUE(LEFT(Z541,1))*S541,0)</f>
        <v>0</v>
      </c>
      <c r="AB541" s="88">
        <f>IF($AA541&gt;0,VLOOKUP($K541,Ruimtegroepen[],3,FALSE)*VLOOKUP($M541,Vloersoorten[],3,FALSE)*VLOOKUP($Z541,Frequenties[],3,FALSE)*VLOOKUP(#REF!,Locaties[],3,FALSE),0)</f>
        <v>0</v>
      </c>
      <c r="AC541" s="90">
        <f>Ruimtestaat[[#This Row],[Uitvoeringen weekend]]*Ruimtestaat[[#This Row],[Oppervlak (netto)]]</f>
        <v>0</v>
      </c>
      <c r="AD541" s="93">
        <f>IF(AC541&gt;0,Ruimtestaat[[#This Row],[Prest. (m2 /jaar) weekend]]/Ruimtestaat[[#This Row],[Norm (m2/uur) weekend]],0)</f>
        <v>0</v>
      </c>
      <c r="AE541" s="94">
        <f>Ruimtestaat[[#This Row],[uren / jaar weekend]]*Tariefsopbouw!$D$40</f>
        <v>0</v>
      </c>
      <c r="AF541" s="66">
        <f>Ruimtestaat[[#This Row],[Prest. (m2 /jaar) weekend]]+Ruimtestaat[[#This Row],[Prest. (m2 /jaar) werkdagen]]</f>
        <v>10200</v>
      </c>
      <c r="AG541" s="66">
        <f>Ruimtestaat[[#This Row],[uren / jaar weekend]]+Ruimtestaat[[#This Row],[uren / jaar werkdagen]]</f>
        <v>0</v>
      </c>
      <c r="AH541" s="67">
        <f>Ruimtestaat[[#This Row],[kosten / jaar weekend]]+Ruimtestaat[[#This Row],[kosten / jaar werkdagen]]</f>
        <v>0</v>
      </c>
    </row>
    <row r="542" spans="1:34" ht="15" customHeight="1">
      <c r="A542" s="112">
        <v>3</v>
      </c>
      <c r="B542" s="23" t="str">
        <f>VLOOKUP(Ruimtestaat[[#This Row],[Code]],Locaties[#All],2,FALSE)</f>
        <v>RSG N.O. Veluwe</v>
      </c>
      <c r="C542" s="23" t="str">
        <f>VLOOKUP(Ruimtestaat[[#This Row],[Code]],Locaties[#All],4,FALSE)</f>
        <v>Schotweg 1</v>
      </c>
      <c r="D542" s="23" t="str">
        <f>VLOOKUP(Ruimtestaat[[#This Row],[Code]],Locaties[#All],5,FALSE)</f>
        <v>8162 GM</v>
      </c>
      <c r="E542" s="23" t="str">
        <f>VLOOKUP(Ruimtestaat[[#This Row],[Code]],Locaties[#All],6,FALSE)</f>
        <v>Epe</v>
      </c>
      <c r="F542" s="23" t="s">
        <v>1111</v>
      </c>
      <c r="G542" s="60"/>
      <c r="H542" s="23" t="s">
        <v>1299</v>
      </c>
      <c r="I542" s="23" t="s">
        <v>1227</v>
      </c>
      <c r="J542" s="3" t="s">
        <v>1127</v>
      </c>
      <c r="K542" s="23">
        <v>23</v>
      </c>
      <c r="L542" s="60" t="str">
        <f>VLOOKUP(K542,Ruimtegroepen[],2,FALSE)</f>
        <v>Niet in onderhoud</v>
      </c>
      <c r="M542" s="23" t="s">
        <v>1300</v>
      </c>
      <c r="N542" s="23" t="s">
        <v>1301</v>
      </c>
      <c r="O542" s="86"/>
      <c r="P542" s="86">
        <v>6</v>
      </c>
      <c r="Q542" s="95" t="str">
        <f>LEFT(VLOOKUP(Ruimtestaat[[#This Row],[Ruimte code]],Ruimtegroepen[#All],4,1),2)</f>
        <v/>
      </c>
      <c r="R542" s="95"/>
      <c r="S542" s="87"/>
      <c r="T542" s="87"/>
      <c r="U542" s="88">
        <f>IF(S542&gt;0,IF(RIGHT(Ruimtestaat[[#This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542" s="88">
        <f>IF(U542&gt;0,VLOOKUP($K542,Ruimtegroepen[],3,FALSE)*VLOOKUP($M542,Vloersoorten[],3,FALSE)*VLOOKUP($T542,Frequenties[],3,FALSE)*VLOOKUP($A542,Locaties[],3,FALSE),0)</f>
        <v>0</v>
      </c>
      <c r="W542" s="89">
        <f>Ruimtestaat[[#This Row],[Uitvoeringen werkdagen]]*Ruimtestaat[[#This Row],[Oppervlak (netto)]]</f>
        <v>0</v>
      </c>
      <c r="X542" s="90">
        <f>IF(V542&gt;0,Ruimtestaat[[#This Row],[Prest. (m2 /jaar) werkdagen]]/Ruimtestaat[[#This Row],[Norm (m2/uur) werkdagen]],0)</f>
        <v>0</v>
      </c>
      <c r="Y542" s="91">
        <f>Ruimtestaat[[#This Row],[uren / jaar werkdagen]]*Tariefsopbouw!$E$35</f>
        <v>0</v>
      </c>
      <c r="Z542" s="88"/>
      <c r="AA542" s="92">
        <f>IF(Ruimtestaat[[#This Row],[Frequentie weekend]]&gt;0,VALUE(LEFT(Z542,1))*S542,0)</f>
        <v>0</v>
      </c>
      <c r="AB542" s="88">
        <f>IF($AA542&gt;0,VLOOKUP($K542,Ruimtegroepen[],3,FALSE)*VLOOKUP($M542,Vloersoorten[],3,FALSE)*VLOOKUP($Z542,Frequenties[],3,FALSE)*VLOOKUP(#REF!,Locaties[],3,FALSE),0)</f>
        <v>0</v>
      </c>
      <c r="AC542" s="90">
        <f>Ruimtestaat[[#This Row],[Uitvoeringen weekend]]*Ruimtestaat[[#This Row],[Oppervlak (netto)]]</f>
        <v>0</v>
      </c>
      <c r="AD542" s="93">
        <f>IF(AC542&gt;0,Ruimtestaat[[#This Row],[Prest. (m2 /jaar) weekend]]/Ruimtestaat[[#This Row],[Norm (m2/uur) weekend]],0)</f>
        <v>0</v>
      </c>
      <c r="AE542" s="94">
        <f>Ruimtestaat[[#This Row],[uren / jaar weekend]]*Tariefsopbouw!$D$40</f>
        <v>0</v>
      </c>
      <c r="AF542" s="66">
        <f>Ruimtestaat[[#This Row],[Prest. (m2 /jaar) weekend]]+Ruimtestaat[[#This Row],[Prest. (m2 /jaar) werkdagen]]</f>
        <v>0</v>
      </c>
      <c r="AG542" s="66">
        <f>Ruimtestaat[[#This Row],[uren / jaar weekend]]+Ruimtestaat[[#This Row],[uren / jaar werkdagen]]</f>
        <v>0</v>
      </c>
      <c r="AH542" s="67">
        <f>Ruimtestaat[[#This Row],[kosten / jaar weekend]]+Ruimtestaat[[#This Row],[kosten / jaar werkdagen]]</f>
        <v>0</v>
      </c>
    </row>
    <row r="543" spans="1:34" ht="15" customHeight="1">
      <c r="A543" s="112">
        <v>3</v>
      </c>
      <c r="B543" s="23" t="str">
        <f>VLOOKUP(Ruimtestaat[[#This Row],[Code]],Locaties[#All],2,FALSE)</f>
        <v>RSG N.O. Veluwe</v>
      </c>
      <c r="C543" s="23" t="str">
        <f>VLOOKUP(Ruimtestaat[[#This Row],[Code]],Locaties[#All],4,FALSE)</f>
        <v>Schotweg 1</v>
      </c>
      <c r="D543" s="23" t="str">
        <f>VLOOKUP(Ruimtestaat[[#This Row],[Code]],Locaties[#All],5,FALSE)</f>
        <v>8162 GM</v>
      </c>
      <c r="E543" s="23" t="str">
        <f>VLOOKUP(Ruimtestaat[[#This Row],[Code]],Locaties[#All],6,FALSE)</f>
        <v>Epe</v>
      </c>
      <c r="F543" s="23" t="s">
        <v>1111</v>
      </c>
      <c r="G543" s="60"/>
      <c r="H543" s="23" t="s">
        <v>1299</v>
      </c>
      <c r="I543" s="23" t="s">
        <v>1236</v>
      </c>
      <c r="J543" s="3" t="s">
        <v>1186</v>
      </c>
      <c r="K543" s="23">
        <v>5</v>
      </c>
      <c r="L543" s="60" t="str">
        <f>VLOOKUP(K543,Ruimtegroepen[],2,FALSE)</f>
        <v>Sanitair</v>
      </c>
      <c r="M543" s="23" t="s">
        <v>114</v>
      </c>
      <c r="N543" s="23" t="s">
        <v>1304</v>
      </c>
      <c r="O543" s="86">
        <v>6</v>
      </c>
      <c r="P543" s="86"/>
      <c r="Q543" s="95" t="str">
        <f>LEFT(VLOOKUP(Ruimtestaat[[#This Row],[Ruimte code]],Ruimtegroepen[#All],4,1),2)</f>
        <v xml:space="preserve">S </v>
      </c>
      <c r="R543" s="95"/>
      <c r="S543" s="87">
        <v>42</v>
      </c>
      <c r="T543" s="87" t="s">
        <v>2</v>
      </c>
      <c r="U543" s="88">
        <f>IF(S543&gt;0,IF(RIGHT(Ruimtestaat[[#This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43" s="88">
        <f>IF(U543&gt;0,VLOOKUP($K543,Ruimtegroepen[],3,FALSE)*VLOOKUP($M543,Vloersoorten[],3,FALSE)*VLOOKUP($T543,Frequenties[],3,FALSE)*VLOOKUP($A543,Locaties[],3,FALSE),0)</f>
        <v>0</v>
      </c>
      <c r="W543" s="89">
        <f>Ruimtestaat[[#This Row],[Uitvoeringen werkdagen]]*Ruimtestaat[[#This Row],[Oppervlak (netto)]]</f>
        <v>1260</v>
      </c>
      <c r="X543" s="90">
        <f>IF(V543&gt;0,Ruimtestaat[[#This Row],[Prest. (m2 /jaar) werkdagen]]/Ruimtestaat[[#This Row],[Norm (m2/uur) werkdagen]],0)</f>
        <v>0</v>
      </c>
      <c r="Y543" s="91">
        <f>Ruimtestaat[[#This Row],[uren / jaar werkdagen]]*Tariefsopbouw!$E$35</f>
        <v>0</v>
      </c>
      <c r="Z543" s="88"/>
      <c r="AA543" s="92">
        <f>IF(Ruimtestaat[[#This Row],[Frequentie weekend]]&gt;0,VALUE(LEFT(Z543,1))*S543,0)</f>
        <v>0</v>
      </c>
      <c r="AB543" s="88">
        <f>IF($AA543&gt;0,VLOOKUP($K543,Ruimtegroepen[],3,FALSE)*VLOOKUP($M543,Vloersoorten[],3,FALSE)*VLOOKUP($Z543,Frequenties[],3,FALSE)*VLOOKUP(#REF!,Locaties[],3,FALSE),0)</f>
        <v>0</v>
      </c>
      <c r="AC543" s="90">
        <f>Ruimtestaat[[#This Row],[Uitvoeringen weekend]]*Ruimtestaat[[#This Row],[Oppervlak (netto)]]</f>
        <v>0</v>
      </c>
      <c r="AD543" s="93">
        <f>IF(AC543&gt;0,Ruimtestaat[[#This Row],[Prest. (m2 /jaar) weekend]]/Ruimtestaat[[#This Row],[Norm (m2/uur) weekend]],0)</f>
        <v>0</v>
      </c>
      <c r="AE543" s="94">
        <f>Ruimtestaat[[#This Row],[uren / jaar weekend]]*Tariefsopbouw!$D$40</f>
        <v>0</v>
      </c>
      <c r="AF543" s="66">
        <f>Ruimtestaat[[#This Row],[Prest. (m2 /jaar) weekend]]+Ruimtestaat[[#This Row],[Prest. (m2 /jaar) werkdagen]]</f>
        <v>1260</v>
      </c>
      <c r="AG543" s="66">
        <f>Ruimtestaat[[#This Row],[uren / jaar weekend]]+Ruimtestaat[[#This Row],[uren / jaar werkdagen]]</f>
        <v>0</v>
      </c>
      <c r="AH543" s="67">
        <f>Ruimtestaat[[#This Row],[kosten / jaar weekend]]+Ruimtestaat[[#This Row],[kosten / jaar werkdagen]]</f>
        <v>0</v>
      </c>
    </row>
    <row r="544" spans="1:34" ht="15" customHeight="1">
      <c r="A544" s="112">
        <v>3</v>
      </c>
      <c r="B544" s="23" t="str">
        <f>VLOOKUP(Ruimtestaat[[#This Row],[Code]],Locaties[#All],2,FALSE)</f>
        <v>RSG N.O. Veluwe</v>
      </c>
      <c r="C544" s="23" t="str">
        <f>VLOOKUP(Ruimtestaat[[#This Row],[Code]],Locaties[#All],4,FALSE)</f>
        <v>Schotweg 1</v>
      </c>
      <c r="D544" s="23" t="str">
        <f>VLOOKUP(Ruimtestaat[[#This Row],[Code]],Locaties[#All],5,FALSE)</f>
        <v>8162 GM</v>
      </c>
      <c r="E544" s="23" t="str">
        <f>VLOOKUP(Ruimtestaat[[#This Row],[Code]],Locaties[#All],6,FALSE)</f>
        <v>Epe</v>
      </c>
      <c r="F544" s="23" t="s">
        <v>1111</v>
      </c>
      <c r="G544" s="60"/>
      <c r="H544" s="23" t="s">
        <v>1299</v>
      </c>
      <c r="I544" s="23">
        <v>107</v>
      </c>
      <c r="J544" s="3" t="s">
        <v>1179</v>
      </c>
      <c r="K544" s="23">
        <v>16</v>
      </c>
      <c r="L544" s="60" t="str">
        <f>VLOOKUP(K544,Ruimtegroepen[],2,FALSE)</f>
        <v>Leslokalen theorie</v>
      </c>
      <c r="M544" s="23" t="s">
        <v>1300</v>
      </c>
      <c r="N544" s="23" t="s">
        <v>1301</v>
      </c>
      <c r="O544" s="86">
        <v>51</v>
      </c>
      <c r="P544" s="86"/>
      <c r="Q544" s="95" t="str">
        <f>LEFT(VLOOKUP(Ruimtestaat[[#This Row],[Ruimte code]],Ruimtegroepen[#All],4,1),2)</f>
        <v xml:space="preserve">L </v>
      </c>
      <c r="R544" s="95"/>
      <c r="S544" s="87">
        <v>40</v>
      </c>
      <c r="T544" s="87" t="s">
        <v>2</v>
      </c>
      <c r="U544" s="88">
        <f>IF(S544&gt;0,IF(RIGHT(Ruimtestaat[[#This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44" s="88">
        <f>IF(U544&gt;0,VLOOKUP($K544,Ruimtegroepen[],3,FALSE)*VLOOKUP($M544,Vloersoorten[],3,FALSE)*VLOOKUP($T544,Frequenties[],3,FALSE)*VLOOKUP($A544,Locaties[],3,FALSE),0)</f>
        <v>0</v>
      </c>
      <c r="W544" s="89">
        <f>Ruimtestaat[[#This Row],[Uitvoeringen werkdagen]]*Ruimtestaat[[#This Row],[Oppervlak (netto)]]</f>
        <v>10200</v>
      </c>
      <c r="X544" s="90">
        <f>IF(V544&gt;0,Ruimtestaat[[#This Row],[Prest. (m2 /jaar) werkdagen]]/Ruimtestaat[[#This Row],[Norm (m2/uur) werkdagen]],0)</f>
        <v>0</v>
      </c>
      <c r="Y544" s="91">
        <f>Ruimtestaat[[#This Row],[uren / jaar werkdagen]]*Tariefsopbouw!$E$35</f>
        <v>0</v>
      </c>
      <c r="Z544" s="88"/>
      <c r="AA544" s="92">
        <f>IF(Ruimtestaat[[#This Row],[Frequentie weekend]]&gt;0,VALUE(LEFT(Z544,1))*S544,0)</f>
        <v>0</v>
      </c>
      <c r="AB544" s="88">
        <f>IF($AA544&gt;0,VLOOKUP($K544,Ruimtegroepen[],3,FALSE)*VLOOKUP($M544,Vloersoorten[],3,FALSE)*VLOOKUP($Z544,Frequenties[],3,FALSE)*VLOOKUP(#REF!,Locaties[],3,FALSE),0)</f>
        <v>0</v>
      </c>
      <c r="AC544" s="90">
        <f>Ruimtestaat[[#This Row],[Uitvoeringen weekend]]*Ruimtestaat[[#This Row],[Oppervlak (netto)]]</f>
        <v>0</v>
      </c>
      <c r="AD544" s="93">
        <f>IF(AC544&gt;0,Ruimtestaat[[#This Row],[Prest. (m2 /jaar) weekend]]/Ruimtestaat[[#This Row],[Norm (m2/uur) weekend]],0)</f>
        <v>0</v>
      </c>
      <c r="AE544" s="94">
        <f>Ruimtestaat[[#This Row],[uren / jaar weekend]]*Tariefsopbouw!$D$40</f>
        <v>0</v>
      </c>
      <c r="AF544" s="66">
        <f>Ruimtestaat[[#This Row],[Prest. (m2 /jaar) weekend]]+Ruimtestaat[[#This Row],[Prest. (m2 /jaar) werkdagen]]</f>
        <v>10200</v>
      </c>
      <c r="AG544" s="66">
        <f>Ruimtestaat[[#This Row],[uren / jaar weekend]]+Ruimtestaat[[#This Row],[uren / jaar werkdagen]]</f>
        <v>0</v>
      </c>
      <c r="AH544" s="67">
        <f>Ruimtestaat[[#This Row],[kosten / jaar weekend]]+Ruimtestaat[[#This Row],[kosten / jaar werkdagen]]</f>
        <v>0</v>
      </c>
    </row>
    <row r="545" spans="1:34" ht="15" customHeight="1">
      <c r="A545" s="112">
        <v>3</v>
      </c>
      <c r="B545" s="23" t="str">
        <f>VLOOKUP(Ruimtestaat[[#This Row],[Code]],Locaties[#All],2,FALSE)</f>
        <v>RSG N.O. Veluwe</v>
      </c>
      <c r="C545" s="23" t="str">
        <f>VLOOKUP(Ruimtestaat[[#This Row],[Code]],Locaties[#All],4,FALSE)</f>
        <v>Schotweg 1</v>
      </c>
      <c r="D545" s="23" t="str">
        <f>VLOOKUP(Ruimtestaat[[#This Row],[Code]],Locaties[#All],5,FALSE)</f>
        <v>8162 GM</v>
      </c>
      <c r="E545" s="23" t="str">
        <f>VLOOKUP(Ruimtestaat[[#This Row],[Code]],Locaties[#All],6,FALSE)</f>
        <v>Epe</v>
      </c>
      <c r="F545" s="23" t="s">
        <v>1111</v>
      </c>
      <c r="G545" s="60"/>
      <c r="H545" s="23" t="s">
        <v>1299</v>
      </c>
      <c r="I545" s="23">
        <v>108</v>
      </c>
      <c r="J545" s="3" t="s">
        <v>1270</v>
      </c>
      <c r="K545" s="23">
        <v>23</v>
      </c>
      <c r="L545" s="60" t="str">
        <f>VLOOKUP(K545,Ruimtegroepen[],2,FALSE)</f>
        <v>Niet in onderhoud</v>
      </c>
      <c r="M545" s="23" t="s">
        <v>1300</v>
      </c>
      <c r="N545" s="23" t="s">
        <v>1301</v>
      </c>
      <c r="O545" s="86"/>
      <c r="P545" s="86">
        <v>3</v>
      </c>
      <c r="Q545" s="95" t="str">
        <f>LEFT(VLOOKUP(Ruimtestaat[[#This Row],[Ruimte code]],Ruimtegroepen[#All],4,1),2)</f>
        <v/>
      </c>
      <c r="R545" s="95"/>
      <c r="S545" s="87"/>
      <c r="T545" s="87"/>
      <c r="U545" s="88">
        <f>IF(S545&gt;0,IF(RIGHT(Ruimtestaat[[#This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545" s="88">
        <f>IF(U545&gt;0,VLOOKUP($K545,Ruimtegroepen[],3,FALSE)*VLOOKUP($M545,Vloersoorten[],3,FALSE)*VLOOKUP($T545,Frequenties[],3,FALSE)*VLOOKUP($A545,Locaties[],3,FALSE),0)</f>
        <v>0</v>
      </c>
      <c r="W545" s="89">
        <f>Ruimtestaat[[#This Row],[Uitvoeringen werkdagen]]*Ruimtestaat[[#This Row],[Oppervlak (netto)]]</f>
        <v>0</v>
      </c>
      <c r="X545" s="90">
        <f>IF(V545&gt;0,Ruimtestaat[[#This Row],[Prest. (m2 /jaar) werkdagen]]/Ruimtestaat[[#This Row],[Norm (m2/uur) werkdagen]],0)</f>
        <v>0</v>
      </c>
      <c r="Y545" s="91">
        <f>Ruimtestaat[[#This Row],[uren / jaar werkdagen]]*Tariefsopbouw!$E$35</f>
        <v>0</v>
      </c>
      <c r="Z545" s="88"/>
      <c r="AA545" s="92">
        <f>IF(Ruimtestaat[[#This Row],[Frequentie weekend]]&gt;0,VALUE(LEFT(Z545,1))*S545,0)</f>
        <v>0</v>
      </c>
      <c r="AB545" s="88">
        <f>IF($AA545&gt;0,VLOOKUP($K545,Ruimtegroepen[],3,FALSE)*VLOOKUP($M545,Vloersoorten[],3,FALSE)*VLOOKUP($Z545,Frequenties[],3,FALSE)*VLOOKUP(#REF!,Locaties[],3,FALSE),0)</f>
        <v>0</v>
      </c>
      <c r="AC545" s="90">
        <f>Ruimtestaat[[#This Row],[Uitvoeringen weekend]]*Ruimtestaat[[#This Row],[Oppervlak (netto)]]</f>
        <v>0</v>
      </c>
      <c r="AD545" s="93">
        <f>IF(AC545&gt;0,Ruimtestaat[[#This Row],[Prest. (m2 /jaar) weekend]]/Ruimtestaat[[#This Row],[Norm (m2/uur) weekend]],0)</f>
        <v>0</v>
      </c>
      <c r="AE545" s="94">
        <f>Ruimtestaat[[#This Row],[uren / jaar weekend]]*Tariefsopbouw!$D$40</f>
        <v>0</v>
      </c>
      <c r="AF545" s="66">
        <f>Ruimtestaat[[#This Row],[Prest. (m2 /jaar) weekend]]+Ruimtestaat[[#This Row],[Prest. (m2 /jaar) werkdagen]]</f>
        <v>0</v>
      </c>
      <c r="AG545" s="66">
        <f>Ruimtestaat[[#This Row],[uren / jaar weekend]]+Ruimtestaat[[#This Row],[uren / jaar werkdagen]]</f>
        <v>0</v>
      </c>
      <c r="AH545" s="67">
        <f>Ruimtestaat[[#This Row],[kosten / jaar weekend]]+Ruimtestaat[[#This Row],[kosten / jaar werkdagen]]</f>
        <v>0</v>
      </c>
    </row>
    <row r="546" spans="1:34" ht="15" customHeight="1">
      <c r="A546" s="112">
        <v>3</v>
      </c>
      <c r="B546" s="23" t="str">
        <f>VLOOKUP(Ruimtestaat[[#This Row],[Code]],Locaties[#All],2,FALSE)</f>
        <v>RSG N.O. Veluwe</v>
      </c>
      <c r="C546" s="23" t="str">
        <f>VLOOKUP(Ruimtestaat[[#This Row],[Code]],Locaties[#All],4,FALSE)</f>
        <v>Schotweg 1</v>
      </c>
      <c r="D546" s="23" t="str">
        <f>VLOOKUP(Ruimtestaat[[#This Row],[Code]],Locaties[#All],5,FALSE)</f>
        <v>8162 GM</v>
      </c>
      <c r="E546" s="23" t="str">
        <f>VLOOKUP(Ruimtestaat[[#This Row],[Code]],Locaties[#All],6,FALSE)</f>
        <v>Epe</v>
      </c>
      <c r="F546" s="23" t="s">
        <v>1111</v>
      </c>
      <c r="G546" s="60"/>
      <c r="H546" s="23" t="s">
        <v>1299</v>
      </c>
      <c r="I546" s="23" t="s">
        <v>1240</v>
      </c>
      <c r="J546" s="3" t="s">
        <v>1127</v>
      </c>
      <c r="K546" s="23">
        <v>23</v>
      </c>
      <c r="L546" s="60" t="str">
        <f>VLOOKUP(K546,Ruimtegroepen[],2,FALSE)</f>
        <v>Niet in onderhoud</v>
      </c>
      <c r="M546" s="23" t="s">
        <v>1300</v>
      </c>
      <c r="N546" s="23" t="s">
        <v>1301</v>
      </c>
      <c r="O546" s="86"/>
      <c r="P546" s="86">
        <v>0</v>
      </c>
      <c r="Q546" s="95" t="str">
        <f>LEFT(VLOOKUP(Ruimtestaat[[#This Row],[Ruimte code]],Ruimtegroepen[#All],4,1),2)</f>
        <v/>
      </c>
      <c r="R546" s="95"/>
      <c r="S546" s="87"/>
      <c r="T546" s="87"/>
      <c r="U546" s="88">
        <f>IF(S546&gt;0,IF(RIGHT(Ruimtestaat[[#This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546" s="88">
        <f>IF(U546&gt;0,VLOOKUP($K546,Ruimtegroepen[],3,FALSE)*VLOOKUP($M546,Vloersoorten[],3,FALSE)*VLOOKUP($T546,Frequenties[],3,FALSE)*VLOOKUP($A546,Locaties[],3,FALSE),0)</f>
        <v>0</v>
      </c>
      <c r="W546" s="89">
        <f>Ruimtestaat[[#This Row],[Uitvoeringen werkdagen]]*Ruimtestaat[[#This Row],[Oppervlak (netto)]]</f>
        <v>0</v>
      </c>
      <c r="X546" s="90">
        <f>IF(V546&gt;0,Ruimtestaat[[#This Row],[Prest. (m2 /jaar) werkdagen]]/Ruimtestaat[[#This Row],[Norm (m2/uur) werkdagen]],0)</f>
        <v>0</v>
      </c>
      <c r="Y546" s="91">
        <f>Ruimtestaat[[#This Row],[uren / jaar werkdagen]]*Tariefsopbouw!$E$35</f>
        <v>0</v>
      </c>
      <c r="Z546" s="88"/>
      <c r="AA546" s="92">
        <f>IF(Ruimtestaat[[#This Row],[Frequentie weekend]]&gt;0,VALUE(LEFT(Z546,1))*S546,0)</f>
        <v>0</v>
      </c>
      <c r="AB546" s="88">
        <f>IF($AA546&gt;0,VLOOKUP($K546,Ruimtegroepen[],3,FALSE)*VLOOKUP($M546,Vloersoorten[],3,FALSE)*VLOOKUP($Z546,Frequenties[],3,FALSE)*VLOOKUP(#REF!,Locaties[],3,FALSE),0)</f>
        <v>0</v>
      </c>
      <c r="AC546" s="90">
        <f>Ruimtestaat[[#This Row],[Uitvoeringen weekend]]*Ruimtestaat[[#This Row],[Oppervlak (netto)]]</f>
        <v>0</v>
      </c>
      <c r="AD546" s="93">
        <f>IF(AC546&gt;0,Ruimtestaat[[#This Row],[Prest. (m2 /jaar) weekend]]/Ruimtestaat[[#This Row],[Norm (m2/uur) weekend]],0)</f>
        <v>0</v>
      </c>
      <c r="AE546" s="94">
        <f>Ruimtestaat[[#This Row],[uren / jaar weekend]]*Tariefsopbouw!$D$40</f>
        <v>0</v>
      </c>
      <c r="AF546" s="66">
        <f>Ruimtestaat[[#This Row],[Prest. (m2 /jaar) weekend]]+Ruimtestaat[[#This Row],[Prest. (m2 /jaar) werkdagen]]</f>
        <v>0</v>
      </c>
      <c r="AG546" s="66">
        <f>Ruimtestaat[[#This Row],[uren / jaar weekend]]+Ruimtestaat[[#This Row],[uren / jaar werkdagen]]</f>
        <v>0</v>
      </c>
      <c r="AH546" s="67">
        <f>Ruimtestaat[[#This Row],[kosten / jaar weekend]]+Ruimtestaat[[#This Row],[kosten / jaar werkdagen]]</f>
        <v>0</v>
      </c>
    </row>
    <row r="547" spans="1:34" ht="15" customHeight="1">
      <c r="A547" s="112">
        <v>3</v>
      </c>
      <c r="B547" s="23" t="str">
        <f>VLOOKUP(Ruimtestaat[[#This Row],[Code]],Locaties[#All],2,FALSE)</f>
        <v>RSG N.O. Veluwe</v>
      </c>
      <c r="C547" s="23" t="str">
        <f>VLOOKUP(Ruimtestaat[[#This Row],[Code]],Locaties[#All],4,FALSE)</f>
        <v>Schotweg 1</v>
      </c>
      <c r="D547" s="23" t="str">
        <f>VLOOKUP(Ruimtestaat[[#This Row],[Code]],Locaties[#All],5,FALSE)</f>
        <v>8162 GM</v>
      </c>
      <c r="E547" s="23" t="str">
        <f>VLOOKUP(Ruimtestaat[[#This Row],[Code]],Locaties[#All],6,FALSE)</f>
        <v>Epe</v>
      </c>
      <c r="F547" s="23" t="s">
        <v>1111</v>
      </c>
      <c r="G547" s="60"/>
      <c r="H547" s="23" t="s">
        <v>1299</v>
      </c>
      <c r="I547" s="23" t="s">
        <v>1242</v>
      </c>
      <c r="J547" s="3" t="s">
        <v>1060</v>
      </c>
      <c r="K547" s="23">
        <v>16</v>
      </c>
      <c r="L547" s="60" t="str">
        <f>VLOOKUP(K547,Ruimtegroepen[],2,FALSE)</f>
        <v>Leslokalen theorie</v>
      </c>
      <c r="M547" s="23" t="s">
        <v>1300</v>
      </c>
      <c r="N547" s="23" t="s">
        <v>1301</v>
      </c>
      <c r="O547" s="86">
        <v>12</v>
      </c>
      <c r="P547" s="86"/>
      <c r="Q547" s="95" t="str">
        <f>LEFT(VLOOKUP(Ruimtestaat[[#This Row],[Ruimte code]],Ruimtegroepen[#All],4,1),2)</f>
        <v xml:space="preserve">L </v>
      </c>
      <c r="R547" s="95"/>
      <c r="S547" s="87">
        <v>40</v>
      </c>
      <c r="T547" s="87" t="s">
        <v>2</v>
      </c>
      <c r="U547" s="88">
        <f>IF(S547&gt;0,IF(RIGHT(Ruimtestaat[[#This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47" s="88">
        <f>IF(U547&gt;0,VLOOKUP($K547,Ruimtegroepen[],3,FALSE)*VLOOKUP($M547,Vloersoorten[],3,FALSE)*VLOOKUP($T547,Frequenties[],3,FALSE)*VLOOKUP($A547,Locaties[],3,FALSE),0)</f>
        <v>0</v>
      </c>
      <c r="W547" s="89">
        <f>Ruimtestaat[[#This Row],[Uitvoeringen werkdagen]]*Ruimtestaat[[#This Row],[Oppervlak (netto)]]</f>
        <v>2400</v>
      </c>
      <c r="X547" s="90">
        <f>IF(V547&gt;0,Ruimtestaat[[#This Row],[Prest. (m2 /jaar) werkdagen]]/Ruimtestaat[[#This Row],[Norm (m2/uur) werkdagen]],0)</f>
        <v>0</v>
      </c>
      <c r="Y547" s="91">
        <f>Ruimtestaat[[#This Row],[uren / jaar werkdagen]]*Tariefsopbouw!$E$35</f>
        <v>0</v>
      </c>
      <c r="Z547" s="88"/>
      <c r="AA547" s="92">
        <f>IF(Ruimtestaat[[#This Row],[Frequentie weekend]]&gt;0,VALUE(LEFT(Z547,1))*S547,0)</f>
        <v>0</v>
      </c>
      <c r="AB547" s="88">
        <f>IF($AA547&gt;0,VLOOKUP($K547,Ruimtegroepen[],3,FALSE)*VLOOKUP($M547,Vloersoorten[],3,FALSE)*VLOOKUP($Z547,Frequenties[],3,FALSE)*VLOOKUP(#REF!,Locaties[],3,FALSE),0)</f>
        <v>0</v>
      </c>
      <c r="AC547" s="90">
        <f>Ruimtestaat[[#This Row],[Uitvoeringen weekend]]*Ruimtestaat[[#This Row],[Oppervlak (netto)]]</f>
        <v>0</v>
      </c>
      <c r="AD547" s="93">
        <f>IF(AC547&gt;0,Ruimtestaat[[#This Row],[Prest. (m2 /jaar) weekend]]/Ruimtestaat[[#This Row],[Norm (m2/uur) weekend]],0)</f>
        <v>0</v>
      </c>
      <c r="AE547" s="94">
        <f>Ruimtestaat[[#This Row],[uren / jaar weekend]]*Tariefsopbouw!$D$40</f>
        <v>0</v>
      </c>
      <c r="AF547" s="66">
        <f>Ruimtestaat[[#This Row],[Prest. (m2 /jaar) weekend]]+Ruimtestaat[[#This Row],[Prest. (m2 /jaar) werkdagen]]</f>
        <v>2400</v>
      </c>
      <c r="AG547" s="66">
        <f>Ruimtestaat[[#This Row],[uren / jaar weekend]]+Ruimtestaat[[#This Row],[uren / jaar werkdagen]]</f>
        <v>0</v>
      </c>
      <c r="AH547" s="67">
        <f>Ruimtestaat[[#This Row],[kosten / jaar weekend]]+Ruimtestaat[[#This Row],[kosten / jaar werkdagen]]</f>
        <v>0</v>
      </c>
    </row>
    <row r="548" spans="1:34" ht="15" customHeight="1">
      <c r="A548" s="112">
        <v>3</v>
      </c>
      <c r="B548" s="23" t="str">
        <f>VLOOKUP(Ruimtestaat[[#This Row],[Code]],Locaties[#All],2,FALSE)</f>
        <v>RSG N.O. Veluwe</v>
      </c>
      <c r="C548" s="23" t="str">
        <f>VLOOKUP(Ruimtestaat[[#This Row],[Code]],Locaties[#All],4,FALSE)</f>
        <v>Schotweg 1</v>
      </c>
      <c r="D548" s="23" t="str">
        <f>VLOOKUP(Ruimtestaat[[#This Row],[Code]],Locaties[#All],5,FALSE)</f>
        <v>8162 GM</v>
      </c>
      <c r="E548" s="23" t="str">
        <f>VLOOKUP(Ruimtestaat[[#This Row],[Code]],Locaties[#All],6,FALSE)</f>
        <v>Epe</v>
      </c>
      <c r="F548" s="23" t="s">
        <v>1111</v>
      </c>
      <c r="G548" s="60"/>
      <c r="H548" s="23" t="s">
        <v>1299</v>
      </c>
      <c r="I548" s="23" t="s">
        <v>1244</v>
      </c>
      <c r="J548" s="3" t="s">
        <v>1179</v>
      </c>
      <c r="K548" s="23">
        <v>16</v>
      </c>
      <c r="L548" s="60" t="str">
        <f>VLOOKUP(K548,Ruimtegroepen[],2,FALSE)</f>
        <v>Leslokalen theorie</v>
      </c>
      <c r="M548" s="23" t="s">
        <v>1300</v>
      </c>
      <c r="N548" s="23" t="s">
        <v>1301</v>
      </c>
      <c r="O548" s="86">
        <v>51</v>
      </c>
      <c r="P548" s="86"/>
      <c r="Q548" s="95" t="str">
        <f>LEFT(VLOOKUP(Ruimtestaat[[#This Row],[Ruimte code]],Ruimtegroepen[#All],4,1),2)</f>
        <v xml:space="preserve">L </v>
      </c>
      <c r="R548" s="95"/>
      <c r="S548" s="87">
        <v>40</v>
      </c>
      <c r="T548" s="87" t="s">
        <v>2</v>
      </c>
      <c r="U548" s="88">
        <f>IF(S548&gt;0,IF(RIGHT(Ruimtestaat[[#This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48" s="88">
        <f>IF(U548&gt;0,VLOOKUP($K548,Ruimtegroepen[],3,FALSE)*VLOOKUP($M548,Vloersoorten[],3,FALSE)*VLOOKUP($T548,Frequenties[],3,FALSE)*VLOOKUP($A548,Locaties[],3,FALSE),0)</f>
        <v>0</v>
      </c>
      <c r="W548" s="89">
        <f>Ruimtestaat[[#This Row],[Uitvoeringen werkdagen]]*Ruimtestaat[[#This Row],[Oppervlak (netto)]]</f>
        <v>10200</v>
      </c>
      <c r="X548" s="90">
        <f>IF(V548&gt;0,Ruimtestaat[[#This Row],[Prest. (m2 /jaar) werkdagen]]/Ruimtestaat[[#This Row],[Norm (m2/uur) werkdagen]],0)</f>
        <v>0</v>
      </c>
      <c r="Y548" s="91">
        <f>Ruimtestaat[[#This Row],[uren / jaar werkdagen]]*Tariefsopbouw!$E$35</f>
        <v>0</v>
      </c>
      <c r="Z548" s="88"/>
      <c r="AA548" s="92">
        <f>IF(Ruimtestaat[[#This Row],[Frequentie weekend]]&gt;0,VALUE(LEFT(Z548,1))*S548,0)</f>
        <v>0</v>
      </c>
      <c r="AB548" s="88">
        <f>IF($AA548&gt;0,VLOOKUP($K548,Ruimtegroepen[],3,FALSE)*VLOOKUP($M548,Vloersoorten[],3,FALSE)*VLOOKUP($Z548,Frequenties[],3,FALSE)*VLOOKUP(#REF!,Locaties[],3,FALSE),0)</f>
        <v>0</v>
      </c>
      <c r="AC548" s="90">
        <f>Ruimtestaat[[#This Row],[Uitvoeringen weekend]]*Ruimtestaat[[#This Row],[Oppervlak (netto)]]</f>
        <v>0</v>
      </c>
      <c r="AD548" s="93">
        <f>IF(AC548&gt;0,Ruimtestaat[[#This Row],[Prest. (m2 /jaar) weekend]]/Ruimtestaat[[#This Row],[Norm (m2/uur) weekend]],0)</f>
        <v>0</v>
      </c>
      <c r="AE548" s="94">
        <f>Ruimtestaat[[#This Row],[uren / jaar weekend]]*Tariefsopbouw!$D$40</f>
        <v>0</v>
      </c>
      <c r="AF548" s="66">
        <f>Ruimtestaat[[#This Row],[Prest. (m2 /jaar) weekend]]+Ruimtestaat[[#This Row],[Prest. (m2 /jaar) werkdagen]]</f>
        <v>10200</v>
      </c>
      <c r="AG548" s="66">
        <f>Ruimtestaat[[#This Row],[uren / jaar weekend]]+Ruimtestaat[[#This Row],[uren / jaar werkdagen]]</f>
        <v>0</v>
      </c>
      <c r="AH548" s="67">
        <f>Ruimtestaat[[#This Row],[kosten / jaar weekend]]+Ruimtestaat[[#This Row],[kosten / jaar werkdagen]]</f>
        <v>0</v>
      </c>
    </row>
    <row r="549" spans="1:34" ht="15" customHeight="1">
      <c r="A549" s="112">
        <v>3</v>
      </c>
      <c r="B549" s="23" t="str">
        <f>VLOOKUP(Ruimtestaat[[#This Row],[Code]],Locaties[#All],2,FALSE)</f>
        <v>RSG N.O. Veluwe</v>
      </c>
      <c r="C549" s="23" t="str">
        <f>VLOOKUP(Ruimtestaat[[#This Row],[Code]],Locaties[#All],4,FALSE)</f>
        <v>Schotweg 1</v>
      </c>
      <c r="D549" s="23" t="str">
        <f>VLOOKUP(Ruimtestaat[[#This Row],[Code]],Locaties[#All],5,FALSE)</f>
        <v>8162 GM</v>
      </c>
      <c r="E549" s="23" t="str">
        <f>VLOOKUP(Ruimtestaat[[#This Row],[Code]],Locaties[#All],6,FALSE)</f>
        <v>Epe</v>
      </c>
      <c r="F549" s="23" t="s">
        <v>1111</v>
      </c>
      <c r="G549" s="60"/>
      <c r="H549" s="23" t="s">
        <v>1299</v>
      </c>
      <c r="I549" s="23" t="s">
        <v>1245</v>
      </c>
      <c r="J549" s="3" t="s">
        <v>1060</v>
      </c>
      <c r="K549" s="23">
        <v>16</v>
      </c>
      <c r="L549" s="60" t="str">
        <f>VLOOKUP(K549,Ruimtegroepen[],2,FALSE)</f>
        <v>Leslokalen theorie</v>
      </c>
      <c r="M549" s="23" t="s">
        <v>1300</v>
      </c>
      <c r="N549" s="23" t="s">
        <v>1301</v>
      </c>
      <c r="O549" s="86">
        <v>15</v>
      </c>
      <c r="P549" s="86"/>
      <c r="Q549" s="95" t="str">
        <f>LEFT(VLOOKUP(Ruimtestaat[[#This Row],[Ruimte code]],Ruimtegroepen[#All],4,1),2)</f>
        <v xml:space="preserve">L </v>
      </c>
      <c r="R549" s="95"/>
      <c r="S549" s="87">
        <v>40</v>
      </c>
      <c r="T549" s="87" t="s">
        <v>2</v>
      </c>
      <c r="U549" s="88">
        <f>IF(S549&gt;0,IF(RIGHT(Ruimtestaat[[#This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49" s="88">
        <f>IF(U549&gt;0,VLOOKUP($K549,Ruimtegroepen[],3,FALSE)*VLOOKUP($M549,Vloersoorten[],3,FALSE)*VLOOKUP($T549,Frequenties[],3,FALSE)*VLOOKUP($A549,Locaties[],3,FALSE),0)</f>
        <v>0</v>
      </c>
      <c r="W549" s="89">
        <f>Ruimtestaat[[#This Row],[Uitvoeringen werkdagen]]*Ruimtestaat[[#This Row],[Oppervlak (netto)]]</f>
        <v>3000</v>
      </c>
      <c r="X549" s="90">
        <f>IF(V549&gt;0,Ruimtestaat[[#This Row],[Prest. (m2 /jaar) werkdagen]]/Ruimtestaat[[#This Row],[Norm (m2/uur) werkdagen]],0)</f>
        <v>0</v>
      </c>
      <c r="Y549" s="91">
        <f>Ruimtestaat[[#This Row],[uren / jaar werkdagen]]*Tariefsopbouw!$E$35</f>
        <v>0</v>
      </c>
      <c r="Z549" s="88"/>
      <c r="AA549" s="92">
        <f>IF(Ruimtestaat[[#This Row],[Frequentie weekend]]&gt;0,VALUE(LEFT(Z549,1))*S549,0)</f>
        <v>0</v>
      </c>
      <c r="AB549" s="88">
        <f>IF($AA549&gt;0,VLOOKUP($K549,Ruimtegroepen[],3,FALSE)*VLOOKUP($M549,Vloersoorten[],3,FALSE)*VLOOKUP($Z549,Frequenties[],3,FALSE)*VLOOKUP(#REF!,Locaties[],3,FALSE),0)</f>
        <v>0</v>
      </c>
      <c r="AC549" s="90">
        <f>Ruimtestaat[[#This Row],[Uitvoeringen weekend]]*Ruimtestaat[[#This Row],[Oppervlak (netto)]]</f>
        <v>0</v>
      </c>
      <c r="AD549" s="93">
        <f>IF(AC549&gt;0,Ruimtestaat[[#This Row],[Prest. (m2 /jaar) weekend]]/Ruimtestaat[[#This Row],[Norm (m2/uur) weekend]],0)</f>
        <v>0</v>
      </c>
      <c r="AE549" s="94">
        <f>Ruimtestaat[[#This Row],[uren / jaar weekend]]*Tariefsopbouw!$D$40</f>
        <v>0</v>
      </c>
      <c r="AF549" s="66">
        <f>Ruimtestaat[[#This Row],[Prest. (m2 /jaar) weekend]]+Ruimtestaat[[#This Row],[Prest. (m2 /jaar) werkdagen]]</f>
        <v>3000</v>
      </c>
      <c r="AG549" s="66">
        <f>Ruimtestaat[[#This Row],[uren / jaar weekend]]+Ruimtestaat[[#This Row],[uren / jaar werkdagen]]</f>
        <v>0</v>
      </c>
      <c r="AH549" s="67">
        <f>Ruimtestaat[[#This Row],[kosten / jaar weekend]]+Ruimtestaat[[#This Row],[kosten / jaar werkdagen]]</f>
        <v>0</v>
      </c>
    </row>
    <row r="550" spans="1:34" ht="15" customHeight="1">
      <c r="A550" s="112">
        <v>3</v>
      </c>
      <c r="B550" s="23" t="str">
        <f>VLOOKUP(Ruimtestaat[[#This Row],[Code]],Locaties[#All],2,FALSE)</f>
        <v>RSG N.O. Veluwe</v>
      </c>
      <c r="C550" s="23" t="str">
        <f>VLOOKUP(Ruimtestaat[[#This Row],[Code]],Locaties[#All],4,FALSE)</f>
        <v>Schotweg 1</v>
      </c>
      <c r="D550" s="23" t="str">
        <f>VLOOKUP(Ruimtestaat[[#This Row],[Code]],Locaties[#All],5,FALSE)</f>
        <v>8162 GM</v>
      </c>
      <c r="E550" s="23" t="str">
        <f>VLOOKUP(Ruimtestaat[[#This Row],[Code]],Locaties[#All],6,FALSE)</f>
        <v>Epe</v>
      </c>
      <c r="F550" s="23" t="s">
        <v>1111</v>
      </c>
      <c r="G550" s="60"/>
      <c r="H550" s="23" t="s">
        <v>1299</v>
      </c>
      <c r="I550" s="23" t="s">
        <v>1246</v>
      </c>
      <c r="J550" s="3" t="s">
        <v>1271</v>
      </c>
      <c r="K550" s="23">
        <v>1</v>
      </c>
      <c r="L550" s="60" t="str">
        <f>VLOOKUP(K550,Ruimtegroepen[],2,FALSE)</f>
        <v>Magazijnen/bergingen</v>
      </c>
      <c r="M550" s="23" t="s">
        <v>1300</v>
      </c>
      <c r="N550" s="23" t="s">
        <v>1301</v>
      </c>
      <c r="O550" s="86">
        <v>24</v>
      </c>
      <c r="P550" s="86"/>
      <c r="Q550" s="95" t="str">
        <f>LEFT(VLOOKUP(Ruimtestaat[[#This Row],[Ruimte code]],Ruimtegroepen[#All],4,1),2)</f>
        <v xml:space="preserve">V </v>
      </c>
      <c r="R550" s="95"/>
      <c r="S550" s="87">
        <v>40</v>
      </c>
      <c r="T550" s="87" t="s">
        <v>15</v>
      </c>
      <c r="U550" s="88">
        <f>IF(S550&gt;0,IF(RIGHT(Ruimtestaat[[#This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V550" s="88">
        <f>IF(U550&gt;0,VLOOKUP($K550,Ruimtegroepen[],3,FALSE)*VLOOKUP($M550,Vloersoorten[],3,FALSE)*VLOOKUP($T550,Frequenties[],3,FALSE)*VLOOKUP($A550,Locaties[],3,FALSE),0)</f>
        <v>0</v>
      </c>
      <c r="W550" s="89">
        <f>Ruimtestaat[[#This Row],[Uitvoeringen werkdagen]]*Ruimtestaat[[#This Row],[Oppervlak (netto)]]</f>
        <v>960</v>
      </c>
      <c r="X550" s="90">
        <f>IF(V550&gt;0,Ruimtestaat[[#This Row],[Prest. (m2 /jaar) werkdagen]]/Ruimtestaat[[#This Row],[Norm (m2/uur) werkdagen]],0)</f>
        <v>0</v>
      </c>
      <c r="Y550" s="91">
        <f>Ruimtestaat[[#This Row],[uren / jaar werkdagen]]*Tariefsopbouw!$E$35</f>
        <v>0</v>
      </c>
      <c r="Z550" s="88"/>
      <c r="AA550" s="92">
        <f>IF(Ruimtestaat[[#This Row],[Frequentie weekend]]&gt;0,VALUE(LEFT(Z550,1))*S550,0)</f>
        <v>0</v>
      </c>
      <c r="AB550" s="88">
        <f>IF($AA550&gt;0,VLOOKUP($K550,Ruimtegroepen[],3,FALSE)*VLOOKUP($M550,Vloersoorten[],3,FALSE)*VLOOKUP($Z550,Frequenties[],3,FALSE)*VLOOKUP(#REF!,Locaties[],3,FALSE),0)</f>
        <v>0</v>
      </c>
      <c r="AC550" s="90">
        <f>Ruimtestaat[[#This Row],[Uitvoeringen weekend]]*Ruimtestaat[[#This Row],[Oppervlak (netto)]]</f>
        <v>0</v>
      </c>
      <c r="AD550" s="93">
        <f>IF(AC550&gt;0,Ruimtestaat[[#This Row],[Prest. (m2 /jaar) weekend]]/Ruimtestaat[[#This Row],[Norm (m2/uur) weekend]],0)</f>
        <v>0</v>
      </c>
      <c r="AE550" s="94">
        <f>Ruimtestaat[[#This Row],[uren / jaar weekend]]*Tariefsopbouw!$D$40</f>
        <v>0</v>
      </c>
      <c r="AF550" s="66">
        <f>Ruimtestaat[[#This Row],[Prest. (m2 /jaar) weekend]]+Ruimtestaat[[#This Row],[Prest. (m2 /jaar) werkdagen]]</f>
        <v>960</v>
      </c>
      <c r="AG550" s="66">
        <f>Ruimtestaat[[#This Row],[uren / jaar weekend]]+Ruimtestaat[[#This Row],[uren / jaar werkdagen]]</f>
        <v>0</v>
      </c>
      <c r="AH550" s="67">
        <f>Ruimtestaat[[#This Row],[kosten / jaar weekend]]+Ruimtestaat[[#This Row],[kosten / jaar werkdagen]]</f>
        <v>0</v>
      </c>
    </row>
    <row r="551" spans="1:34" ht="15" customHeight="1">
      <c r="A551" s="112">
        <v>3</v>
      </c>
      <c r="B551" s="23" t="str">
        <f>VLOOKUP(Ruimtestaat[[#This Row],[Code]],Locaties[#All],2,FALSE)</f>
        <v>RSG N.O. Veluwe</v>
      </c>
      <c r="C551" s="23" t="str">
        <f>VLOOKUP(Ruimtestaat[[#This Row],[Code]],Locaties[#All],4,FALSE)</f>
        <v>Schotweg 1</v>
      </c>
      <c r="D551" s="23" t="str">
        <f>VLOOKUP(Ruimtestaat[[#This Row],[Code]],Locaties[#All],5,FALSE)</f>
        <v>8162 GM</v>
      </c>
      <c r="E551" s="23" t="str">
        <f>VLOOKUP(Ruimtestaat[[#This Row],[Code]],Locaties[#All],6,FALSE)</f>
        <v>Epe</v>
      </c>
      <c r="F551" s="23" t="s">
        <v>1111</v>
      </c>
      <c r="G551" s="60"/>
      <c r="H551" s="23" t="s">
        <v>1299</v>
      </c>
      <c r="I551" s="23" t="s">
        <v>1248</v>
      </c>
      <c r="J551" s="3" t="s">
        <v>1059</v>
      </c>
      <c r="K551" s="23">
        <v>16</v>
      </c>
      <c r="L551" s="60" t="str">
        <f>VLOOKUP(K551,Ruimtegroepen[],2,FALSE)</f>
        <v>Leslokalen theorie</v>
      </c>
      <c r="M551" s="23" t="s">
        <v>1300</v>
      </c>
      <c r="N551" s="23" t="s">
        <v>1301</v>
      </c>
      <c r="O551" s="86">
        <v>51</v>
      </c>
      <c r="P551" s="86"/>
      <c r="Q551" s="95" t="str">
        <f>LEFT(VLOOKUP(Ruimtestaat[[#This Row],[Ruimte code]],Ruimtegroepen[#All],4,1),2)</f>
        <v xml:space="preserve">L </v>
      </c>
      <c r="R551" s="95"/>
      <c r="S551" s="87">
        <v>40</v>
      </c>
      <c r="T551" s="87" t="s">
        <v>2</v>
      </c>
      <c r="U551" s="88">
        <f>IF(S551&gt;0,IF(RIGHT(Ruimtestaat[[#This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51" s="88">
        <f>IF(U551&gt;0,VLOOKUP($K551,Ruimtegroepen[],3,FALSE)*VLOOKUP($M551,Vloersoorten[],3,FALSE)*VLOOKUP($T551,Frequenties[],3,FALSE)*VLOOKUP($A551,Locaties[],3,FALSE),0)</f>
        <v>0</v>
      </c>
      <c r="W551" s="89">
        <f>Ruimtestaat[[#This Row],[Uitvoeringen werkdagen]]*Ruimtestaat[[#This Row],[Oppervlak (netto)]]</f>
        <v>10200</v>
      </c>
      <c r="X551" s="90">
        <f>IF(V551&gt;0,Ruimtestaat[[#This Row],[Prest. (m2 /jaar) werkdagen]]/Ruimtestaat[[#This Row],[Norm (m2/uur) werkdagen]],0)</f>
        <v>0</v>
      </c>
      <c r="Y551" s="91">
        <f>Ruimtestaat[[#This Row],[uren / jaar werkdagen]]*Tariefsopbouw!$E$35</f>
        <v>0</v>
      </c>
      <c r="Z551" s="88"/>
      <c r="AA551" s="92">
        <f>IF(Ruimtestaat[[#This Row],[Frequentie weekend]]&gt;0,VALUE(LEFT(Z551,1))*S551,0)</f>
        <v>0</v>
      </c>
      <c r="AB551" s="88">
        <f>IF($AA551&gt;0,VLOOKUP($K551,Ruimtegroepen[],3,FALSE)*VLOOKUP($M551,Vloersoorten[],3,FALSE)*VLOOKUP($Z551,Frequenties[],3,FALSE)*VLOOKUP(#REF!,Locaties[],3,FALSE),0)</f>
        <v>0</v>
      </c>
      <c r="AC551" s="90">
        <f>Ruimtestaat[[#This Row],[Uitvoeringen weekend]]*Ruimtestaat[[#This Row],[Oppervlak (netto)]]</f>
        <v>0</v>
      </c>
      <c r="AD551" s="93">
        <f>IF(AC551&gt;0,Ruimtestaat[[#This Row],[Prest. (m2 /jaar) weekend]]/Ruimtestaat[[#This Row],[Norm (m2/uur) weekend]],0)</f>
        <v>0</v>
      </c>
      <c r="AE551" s="94">
        <f>Ruimtestaat[[#This Row],[uren / jaar weekend]]*Tariefsopbouw!$D$40</f>
        <v>0</v>
      </c>
      <c r="AF551" s="66">
        <f>Ruimtestaat[[#This Row],[Prest. (m2 /jaar) weekend]]+Ruimtestaat[[#This Row],[Prest. (m2 /jaar) werkdagen]]</f>
        <v>10200</v>
      </c>
      <c r="AG551" s="66">
        <f>Ruimtestaat[[#This Row],[uren / jaar weekend]]+Ruimtestaat[[#This Row],[uren / jaar werkdagen]]</f>
        <v>0</v>
      </c>
      <c r="AH551" s="67">
        <f>Ruimtestaat[[#This Row],[kosten / jaar weekend]]+Ruimtestaat[[#This Row],[kosten / jaar werkdagen]]</f>
        <v>0</v>
      </c>
    </row>
    <row r="552" spans="1:34" ht="15" customHeight="1">
      <c r="A552" s="112">
        <v>3</v>
      </c>
      <c r="B552" s="23" t="str">
        <f>VLOOKUP(Ruimtestaat[[#This Row],[Code]],Locaties[#All],2,FALSE)</f>
        <v>RSG N.O. Veluwe</v>
      </c>
      <c r="C552" s="23" t="str">
        <f>VLOOKUP(Ruimtestaat[[#This Row],[Code]],Locaties[#All],4,FALSE)</f>
        <v>Schotweg 1</v>
      </c>
      <c r="D552" s="23" t="str">
        <f>VLOOKUP(Ruimtestaat[[#This Row],[Code]],Locaties[#All],5,FALSE)</f>
        <v>8162 GM</v>
      </c>
      <c r="E552" s="23" t="str">
        <f>VLOOKUP(Ruimtestaat[[#This Row],[Code]],Locaties[#All],6,FALSE)</f>
        <v>Epe</v>
      </c>
      <c r="F552" s="23" t="s">
        <v>1111</v>
      </c>
      <c r="G552" s="60"/>
      <c r="H552" s="23" t="s">
        <v>1299</v>
      </c>
      <c r="I552" s="23" t="s">
        <v>1249</v>
      </c>
      <c r="J552" s="3" t="s">
        <v>1119</v>
      </c>
      <c r="K552" s="23">
        <v>2</v>
      </c>
      <c r="L552" s="60" t="str">
        <f>VLOOKUP(K552,Ruimtegroepen[],2,FALSE)</f>
        <v>Kantoren</v>
      </c>
      <c r="M552" s="23" t="s">
        <v>1094</v>
      </c>
      <c r="N552" s="23" t="s">
        <v>1095</v>
      </c>
      <c r="O552" s="86">
        <v>30</v>
      </c>
      <c r="P552" s="86"/>
      <c r="Q552" s="95" t="str">
        <f>LEFT(VLOOKUP(Ruimtestaat[[#This Row],[Ruimte code]],Ruimtegroepen[#All],4,1),2)</f>
        <v xml:space="preserve">B </v>
      </c>
      <c r="R552" s="95"/>
      <c r="S552" s="87">
        <v>42</v>
      </c>
      <c r="T552" s="87" t="s">
        <v>2</v>
      </c>
      <c r="U552" s="88">
        <f>IF(S552&gt;0,IF(RIGHT(Ruimtestaat[[#This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52" s="88">
        <f>IF(U552&gt;0,VLOOKUP($K552,Ruimtegroepen[],3,FALSE)*VLOOKUP($M552,Vloersoorten[],3,FALSE)*VLOOKUP($T552,Frequenties[],3,FALSE)*VLOOKUP($A552,Locaties[],3,FALSE),0)</f>
        <v>0</v>
      </c>
      <c r="W552" s="89">
        <f>Ruimtestaat[[#This Row],[Uitvoeringen werkdagen]]*Ruimtestaat[[#This Row],[Oppervlak (netto)]]</f>
        <v>6300</v>
      </c>
      <c r="X552" s="90">
        <f>IF(V552&gt;0,Ruimtestaat[[#This Row],[Prest. (m2 /jaar) werkdagen]]/Ruimtestaat[[#This Row],[Norm (m2/uur) werkdagen]],0)</f>
        <v>0</v>
      </c>
      <c r="Y552" s="91">
        <f>Ruimtestaat[[#This Row],[uren / jaar werkdagen]]*Tariefsopbouw!$E$35</f>
        <v>0</v>
      </c>
      <c r="Z552" s="88"/>
      <c r="AA552" s="92">
        <f>IF(Ruimtestaat[[#This Row],[Frequentie weekend]]&gt;0,VALUE(LEFT(Z552,1))*S552,0)</f>
        <v>0</v>
      </c>
      <c r="AB552" s="88">
        <f>IF($AA552&gt;0,VLOOKUP($K552,Ruimtegroepen[],3,FALSE)*VLOOKUP($M552,Vloersoorten[],3,FALSE)*VLOOKUP($Z552,Frequenties[],3,FALSE)*VLOOKUP(#REF!,Locaties[],3,FALSE),0)</f>
        <v>0</v>
      </c>
      <c r="AC552" s="90">
        <f>Ruimtestaat[[#This Row],[Uitvoeringen weekend]]*Ruimtestaat[[#This Row],[Oppervlak (netto)]]</f>
        <v>0</v>
      </c>
      <c r="AD552" s="93">
        <f>IF(AC552&gt;0,Ruimtestaat[[#This Row],[Prest. (m2 /jaar) weekend]]/Ruimtestaat[[#This Row],[Norm (m2/uur) weekend]],0)</f>
        <v>0</v>
      </c>
      <c r="AE552" s="94">
        <f>Ruimtestaat[[#This Row],[uren / jaar weekend]]*Tariefsopbouw!$D$40</f>
        <v>0</v>
      </c>
      <c r="AF552" s="66">
        <f>Ruimtestaat[[#This Row],[Prest. (m2 /jaar) weekend]]+Ruimtestaat[[#This Row],[Prest. (m2 /jaar) werkdagen]]</f>
        <v>6300</v>
      </c>
      <c r="AG552" s="66">
        <f>Ruimtestaat[[#This Row],[uren / jaar weekend]]+Ruimtestaat[[#This Row],[uren / jaar werkdagen]]</f>
        <v>0</v>
      </c>
      <c r="AH552" s="67">
        <f>Ruimtestaat[[#This Row],[kosten / jaar weekend]]+Ruimtestaat[[#This Row],[kosten / jaar werkdagen]]</f>
        <v>0</v>
      </c>
    </row>
    <row r="553" spans="1:34" ht="15" customHeight="1">
      <c r="A553" s="112">
        <v>3</v>
      </c>
      <c r="B553" s="23" t="str">
        <f>VLOOKUP(Ruimtestaat[[#This Row],[Code]],Locaties[#All],2,FALSE)</f>
        <v>RSG N.O. Veluwe</v>
      </c>
      <c r="C553" s="23" t="str">
        <f>VLOOKUP(Ruimtestaat[[#This Row],[Code]],Locaties[#All],4,FALSE)</f>
        <v>Schotweg 1</v>
      </c>
      <c r="D553" s="23" t="str">
        <f>VLOOKUP(Ruimtestaat[[#This Row],[Code]],Locaties[#All],5,FALSE)</f>
        <v>8162 GM</v>
      </c>
      <c r="E553" s="23" t="str">
        <f>VLOOKUP(Ruimtestaat[[#This Row],[Code]],Locaties[#All],6,FALSE)</f>
        <v>Epe</v>
      </c>
      <c r="F553" s="23" t="s">
        <v>1111</v>
      </c>
      <c r="G553" s="60"/>
      <c r="H553" s="23" t="s">
        <v>1299</v>
      </c>
      <c r="I553" s="23" t="s">
        <v>1250</v>
      </c>
      <c r="J553" s="3" t="s">
        <v>1271</v>
      </c>
      <c r="K553" s="23">
        <v>1</v>
      </c>
      <c r="L553" s="60" t="str">
        <f>VLOOKUP(K553,Ruimtegroepen[],2,FALSE)</f>
        <v>Magazijnen/bergingen</v>
      </c>
      <c r="M553" s="23" t="s">
        <v>1300</v>
      </c>
      <c r="N553" s="23" t="s">
        <v>1301</v>
      </c>
      <c r="O553" s="86">
        <v>6</v>
      </c>
      <c r="P553" s="86"/>
      <c r="Q553" s="95" t="str">
        <f>LEFT(VLOOKUP(Ruimtestaat[[#This Row],[Ruimte code]],Ruimtegroepen[#All],4,1),2)</f>
        <v xml:space="preserve">V </v>
      </c>
      <c r="R553" s="95"/>
      <c r="S553" s="87">
        <v>40</v>
      </c>
      <c r="T553" s="87" t="s">
        <v>15</v>
      </c>
      <c r="U553" s="88">
        <f>IF(S553&gt;0,IF(RIGHT(Ruimtestaat[[#This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V553" s="88">
        <f>IF(U553&gt;0,VLOOKUP($K553,Ruimtegroepen[],3,FALSE)*VLOOKUP($M553,Vloersoorten[],3,FALSE)*VLOOKUP($T553,Frequenties[],3,FALSE)*VLOOKUP($A553,Locaties[],3,FALSE),0)</f>
        <v>0</v>
      </c>
      <c r="W553" s="89">
        <f>Ruimtestaat[[#This Row],[Uitvoeringen werkdagen]]*Ruimtestaat[[#This Row],[Oppervlak (netto)]]</f>
        <v>240</v>
      </c>
      <c r="X553" s="90">
        <f>IF(V553&gt;0,Ruimtestaat[[#This Row],[Prest. (m2 /jaar) werkdagen]]/Ruimtestaat[[#This Row],[Norm (m2/uur) werkdagen]],0)</f>
        <v>0</v>
      </c>
      <c r="Y553" s="91">
        <f>Ruimtestaat[[#This Row],[uren / jaar werkdagen]]*Tariefsopbouw!$E$35</f>
        <v>0</v>
      </c>
      <c r="Z553" s="88"/>
      <c r="AA553" s="92">
        <f>IF(Ruimtestaat[[#This Row],[Frequentie weekend]]&gt;0,VALUE(LEFT(Z553,1))*S553,0)</f>
        <v>0</v>
      </c>
      <c r="AB553" s="88">
        <f>IF($AA553&gt;0,VLOOKUP($K553,Ruimtegroepen[],3,FALSE)*VLOOKUP($M553,Vloersoorten[],3,FALSE)*VLOOKUP($Z553,Frequenties[],3,FALSE)*VLOOKUP(#REF!,Locaties[],3,FALSE),0)</f>
        <v>0</v>
      </c>
      <c r="AC553" s="90">
        <f>Ruimtestaat[[#This Row],[Uitvoeringen weekend]]*Ruimtestaat[[#This Row],[Oppervlak (netto)]]</f>
        <v>0</v>
      </c>
      <c r="AD553" s="93">
        <f>IF(AC553&gt;0,Ruimtestaat[[#This Row],[Prest. (m2 /jaar) weekend]]/Ruimtestaat[[#This Row],[Norm (m2/uur) weekend]],0)</f>
        <v>0</v>
      </c>
      <c r="AE553" s="94">
        <f>Ruimtestaat[[#This Row],[uren / jaar weekend]]*Tariefsopbouw!$D$40</f>
        <v>0</v>
      </c>
      <c r="AF553" s="66">
        <f>Ruimtestaat[[#This Row],[Prest. (m2 /jaar) weekend]]+Ruimtestaat[[#This Row],[Prest. (m2 /jaar) werkdagen]]</f>
        <v>240</v>
      </c>
      <c r="AG553" s="66">
        <f>Ruimtestaat[[#This Row],[uren / jaar weekend]]+Ruimtestaat[[#This Row],[uren / jaar werkdagen]]</f>
        <v>0</v>
      </c>
      <c r="AH553" s="67">
        <f>Ruimtestaat[[#This Row],[kosten / jaar weekend]]+Ruimtestaat[[#This Row],[kosten / jaar werkdagen]]</f>
        <v>0</v>
      </c>
    </row>
    <row r="554" spans="1:34" ht="15" customHeight="1">
      <c r="A554" s="112">
        <v>3</v>
      </c>
      <c r="B554" s="23" t="str">
        <f>VLOOKUP(Ruimtestaat[[#This Row],[Code]],Locaties[#All],2,FALSE)</f>
        <v>RSG N.O. Veluwe</v>
      </c>
      <c r="C554" s="23" t="str">
        <f>VLOOKUP(Ruimtestaat[[#This Row],[Code]],Locaties[#All],4,FALSE)</f>
        <v>Schotweg 1</v>
      </c>
      <c r="D554" s="23" t="str">
        <f>VLOOKUP(Ruimtestaat[[#This Row],[Code]],Locaties[#All],5,FALSE)</f>
        <v>8162 GM</v>
      </c>
      <c r="E554" s="23" t="str">
        <f>VLOOKUP(Ruimtestaat[[#This Row],[Code]],Locaties[#All],6,FALSE)</f>
        <v>Epe</v>
      </c>
      <c r="F554" s="23" t="s">
        <v>1111</v>
      </c>
      <c r="G554" s="60"/>
      <c r="H554" s="23" t="s">
        <v>1299</v>
      </c>
      <c r="I554" s="23" t="s">
        <v>1252</v>
      </c>
      <c r="J554" s="3" t="s">
        <v>1025</v>
      </c>
      <c r="K554" s="23">
        <v>6</v>
      </c>
      <c r="L554" s="60" t="str">
        <f>VLOOKUP(K554,Ruimtegroepen[],2,FALSE)</f>
        <v>Gangen/hallen</v>
      </c>
      <c r="M554" s="23" t="s">
        <v>1300</v>
      </c>
      <c r="N554" s="23" t="s">
        <v>1301</v>
      </c>
      <c r="O554" s="86">
        <v>27</v>
      </c>
      <c r="P554" s="86"/>
      <c r="Q554" s="95" t="str">
        <f>LEFT(VLOOKUP(Ruimtestaat[[#This Row],[Ruimte code]],Ruimtegroepen[#All],4,1),2)</f>
        <v xml:space="preserve">V </v>
      </c>
      <c r="R554" s="95"/>
      <c r="S554" s="87">
        <v>42</v>
      </c>
      <c r="T554" s="87" t="s">
        <v>2</v>
      </c>
      <c r="U554" s="88">
        <f>IF(S554&gt;0,IF(RIGHT(Ruimtestaat[[#This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54" s="88">
        <f>IF(U554&gt;0,VLOOKUP($K554,Ruimtegroepen[],3,FALSE)*VLOOKUP($M554,Vloersoorten[],3,FALSE)*VLOOKUP($T554,Frequenties[],3,FALSE)*VLOOKUP($A554,Locaties[],3,FALSE),0)</f>
        <v>0</v>
      </c>
      <c r="W554" s="89">
        <f>Ruimtestaat[[#This Row],[Uitvoeringen werkdagen]]*Ruimtestaat[[#This Row],[Oppervlak (netto)]]</f>
        <v>5670</v>
      </c>
      <c r="X554" s="90">
        <f>IF(V554&gt;0,Ruimtestaat[[#This Row],[Prest. (m2 /jaar) werkdagen]]/Ruimtestaat[[#This Row],[Norm (m2/uur) werkdagen]],0)</f>
        <v>0</v>
      </c>
      <c r="Y554" s="91">
        <f>Ruimtestaat[[#This Row],[uren / jaar werkdagen]]*Tariefsopbouw!$E$35</f>
        <v>0</v>
      </c>
      <c r="Z554" s="88"/>
      <c r="AA554" s="92">
        <f>IF(Ruimtestaat[[#This Row],[Frequentie weekend]]&gt;0,VALUE(LEFT(Z554,1))*S554,0)</f>
        <v>0</v>
      </c>
      <c r="AB554" s="88">
        <f>IF($AA554&gt;0,VLOOKUP($K554,Ruimtegroepen[],3,FALSE)*VLOOKUP($M554,Vloersoorten[],3,FALSE)*VLOOKUP($Z554,Frequenties[],3,FALSE)*VLOOKUP(#REF!,Locaties[],3,FALSE),0)</f>
        <v>0</v>
      </c>
      <c r="AC554" s="90">
        <f>Ruimtestaat[[#This Row],[Uitvoeringen weekend]]*Ruimtestaat[[#This Row],[Oppervlak (netto)]]</f>
        <v>0</v>
      </c>
      <c r="AD554" s="93">
        <f>IF(AC554&gt;0,Ruimtestaat[[#This Row],[Prest. (m2 /jaar) weekend]]/Ruimtestaat[[#This Row],[Norm (m2/uur) weekend]],0)</f>
        <v>0</v>
      </c>
      <c r="AE554" s="94">
        <f>Ruimtestaat[[#This Row],[uren / jaar weekend]]*Tariefsopbouw!$D$40</f>
        <v>0</v>
      </c>
      <c r="AF554" s="66">
        <f>Ruimtestaat[[#This Row],[Prest. (m2 /jaar) weekend]]+Ruimtestaat[[#This Row],[Prest. (m2 /jaar) werkdagen]]</f>
        <v>5670</v>
      </c>
      <c r="AG554" s="66">
        <f>Ruimtestaat[[#This Row],[uren / jaar weekend]]+Ruimtestaat[[#This Row],[uren / jaar werkdagen]]</f>
        <v>0</v>
      </c>
      <c r="AH554" s="67">
        <f>Ruimtestaat[[#This Row],[kosten / jaar weekend]]+Ruimtestaat[[#This Row],[kosten / jaar werkdagen]]</f>
        <v>0</v>
      </c>
    </row>
    <row r="555" spans="1:34" ht="15" customHeight="1">
      <c r="A555" s="112">
        <v>3</v>
      </c>
      <c r="B555" s="23" t="str">
        <f>VLOOKUP(Ruimtestaat[[#This Row],[Code]],Locaties[#All],2,FALSE)</f>
        <v>RSG N.O. Veluwe</v>
      </c>
      <c r="C555" s="23" t="str">
        <f>VLOOKUP(Ruimtestaat[[#This Row],[Code]],Locaties[#All],4,FALSE)</f>
        <v>Schotweg 1</v>
      </c>
      <c r="D555" s="23" t="str">
        <f>VLOOKUP(Ruimtestaat[[#This Row],[Code]],Locaties[#All],5,FALSE)</f>
        <v>8162 GM</v>
      </c>
      <c r="E555" s="23" t="str">
        <f>VLOOKUP(Ruimtestaat[[#This Row],[Code]],Locaties[#All],6,FALSE)</f>
        <v>Epe</v>
      </c>
      <c r="F555" s="23" t="s">
        <v>1111</v>
      </c>
      <c r="G555" s="60"/>
      <c r="H555" s="23" t="s">
        <v>1299</v>
      </c>
      <c r="I555" s="23" t="s">
        <v>1254</v>
      </c>
      <c r="J555" s="3" t="s">
        <v>1272</v>
      </c>
      <c r="K555" s="23">
        <v>2</v>
      </c>
      <c r="L555" s="60" t="str">
        <f>VLOOKUP(K555,Ruimtegroepen[],2,FALSE)</f>
        <v>Kantoren</v>
      </c>
      <c r="M555" s="23" t="s">
        <v>1094</v>
      </c>
      <c r="N555" s="23" t="s">
        <v>1095</v>
      </c>
      <c r="O555" s="86">
        <v>20</v>
      </c>
      <c r="P555" s="86"/>
      <c r="Q555" s="95" t="str">
        <f>LEFT(VLOOKUP(Ruimtestaat[[#This Row],[Ruimte code]],Ruimtegroepen[#All],4,1),2)</f>
        <v xml:space="preserve">B </v>
      </c>
      <c r="R555" s="95"/>
      <c r="S555" s="87">
        <v>42</v>
      </c>
      <c r="T555" s="87" t="s">
        <v>2</v>
      </c>
      <c r="U555" s="88">
        <f>IF(S555&gt;0,IF(RIGHT(Ruimtestaat[[#This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55" s="88">
        <f>IF(U555&gt;0,VLOOKUP($K555,Ruimtegroepen[],3,FALSE)*VLOOKUP($M555,Vloersoorten[],3,FALSE)*VLOOKUP($T555,Frequenties[],3,FALSE)*VLOOKUP($A555,Locaties[],3,FALSE),0)</f>
        <v>0</v>
      </c>
      <c r="W555" s="89">
        <f>Ruimtestaat[[#This Row],[Uitvoeringen werkdagen]]*Ruimtestaat[[#This Row],[Oppervlak (netto)]]</f>
        <v>4200</v>
      </c>
      <c r="X555" s="90">
        <f>IF(V555&gt;0,Ruimtestaat[[#This Row],[Prest. (m2 /jaar) werkdagen]]/Ruimtestaat[[#This Row],[Norm (m2/uur) werkdagen]],0)</f>
        <v>0</v>
      </c>
      <c r="Y555" s="91">
        <f>Ruimtestaat[[#This Row],[uren / jaar werkdagen]]*Tariefsopbouw!$E$35</f>
        <v>0</v>
      </c>
      <c r="Z555" s="88"/>
      <c r="AA555" s="92">
        <f>IF(Ruimtestaat[[#This Row],[Frequentie weekend]]&gt;0,VALUE(LEFT(Z555,1))*S555,0)</f>
        <v>0</v>
      </c>
      <c r="AB555" s="88">
        <f>IF($AA555&gt;0,VLOOKUP($K555,Ruimtegroepen[],3,FALSE)*VLOOKUP($M555,Vloersoorten[],3,FALSE)*VLOOKUP($Z555,Frequenties[],3,FALSE)*VLOOKUP(#REF!,Locaties[],3,FALSE),0)</f>
        <v>0</v>
      </c>
      <c r="AC555" s="90">
        <f>Ruimtestaat[[#This Row],[Uitvoeringen weekend]]*Ruimtestaat[[#This Row],[Oppervlak (netto)]]</f>
        <v>0</v>
      </c>
      <c r="AD555" s="93">
        <f>IF(AC555&gt;0,Ruimtestaat[[#This Row],[Prest. (m2 /jaar) weekend]]/Ruimtestaat[[#This Row],[Norm (m2/uur) weekend]],0)</f>
        <v>0</v>
      </c>
      <c r="AE555" s="94">
        <f>Ruimtestaat[[#This Row],[uren / jaar weekend]]*Tariefsopbouw!$D$40</f>
        <v>0</v>
      </c>
      <c r="AF555" s="66">
        <f>Ruimtestaat[[#This Row],[Prest. (m2 /jaar) weekend]]+Ruimtestaat[[#This Row],[Prest. (m2 /jaar) werkdagen]]</f>
        <v>4200</v>
      </c>
      <c r="AG555" s="66">
        <f>Ruimtestaat[[#This Row],[uren / jaar weekend]]+Ruimtestaat[[#This Row],[uren / jaar werkdagen]]</f>
        <v>0</v>
      </c>
      <c r="AH555" s="67">
        <f>Ruimtestaat[[#This Row],[kosten / jaar weekend]]+Ruimtestaat[[#This Row],[kosten / jaar werkdagen]]</f>
        <v>0</v>
      </c>
    </row>
    <row r="556" spans="1:34" ht="15" customHeight="1">
      <c r="A556" s="112">
        <v>3</v>
      </c>
      <c r="B556" s="23" t="str">
        <f>VLOOKUP(Ruimtestaat[[#This Row],[Code]],Locaties[#All],2,FALSE)</f>
        <v>RSG N.O. Veluwe</v>
      </c>
      <c r="C556" s="23" t="str">
        <f>VLOOKUP(Ruimtestaat[[#This Row],[Code]],Locaties[#All],4,FALSE)</f>
        <v>Schotweg 1</v>
      </c>
      <c r="D556" s="23" t="str">
        <f>VLOOKUP(Ruimtestaat[[#This Row],[Code]],Locaties[#All],5,FALSE)</f>
        <v>8162 GM</v>
      </c>
      <c r="E556" s="23" t="str">
        <f>VLOOKUP(Ruimtestaat[[#This Row],[Code]],Locaties[#All],6,FALSE)</f>
        <v>Epe</v>
      </c>
      <c r="F556" s="23" t="s">
        <v>1111</v>
      </c>
      <c r="G556" s="60"/>
      <c r="H556" s="23" t="s">
        <v>1299</v>
      </c>
      <c r="I556" s="23" t="s">
        <v>1273</v>
      </c>
      <c r="J556" s="3" t="s">
        <v>1274</v>
      </c>
      <c r="K556" s="23">
        <v>2</v>
      </c>
      <c r="L556" s="60" t="str">
        <f>VLOOKUP(K556,Ruimtegroepen[],2,FALSE)</f>
        <v>Kantoren</v>
      </c>
      <c r="M556" s="23" t="s">
        <v>1094</v>
      </c>
      <c r="N556" s="23" t="s">
        <v>1095</v>
      </c>
      <c r="O556" s="86">
        <v>38</v>
      </c>
      <c r="P556" s="86"/>
      <c r="Q556" s="95" t="str">
        <f>LEFT(VLOOKUP(Ruimtestaat[[#This Row],[Ruimte code]],Ruimtegroepen[#All],4,1),2)</f>
        <v xml:space="preserve">B </v>
      </c>
      <c r="R556" s="95"/>
      <c r="S556" s="87">
        <v>42</v>
      </c>
      <c r="T556" s="87" t="s">
        <v>2</v>
      </c>
      <c r="U556" s="88">
        <f>IF(S556&gt;0,IF(RIGHT(Ruimtestaat[[#This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56" s="88">
        <f>IF(U556&gt;0,VLOOKUP($K556,Ruimtegroepen[],3,FALSE)*VLOOKUP($M556,Vloersoorten[],3,FALSE)*VLOOKUP($T556,Frequenties[],3,FALSE)*VLOOKUP($A556,Locaties[],3,FALSE),0)</f>
        <v>0</v>
      </c>
      <c r="W556" s="89">
        <f>Ruimtestaat[[#This Row],[Uitvoeringen werkdagen]]*Ruimtestaat[[#This Row],[Oppervlak (netto)]]</f>
        <v>7980</v>
      </c>
      <c r="X556" s="90">
        <f>IF(V556&gt;0,Ruimtestaat[[#This Row],[Prest. (m2 /jaar) werkdagen]]/Ruimtestaat[[#This Row],[Norm (m2/uur) werkdagen]],0)</f>
        <v>0</v>
      </c>
      <c r="Y556" s="91">
        <f>Ruimtestaat[[#This Row],[uren / jaar werkdagen]]*Tariefsopbouw!$E$35</f>
        <v>0</v>
      </c>
      <c r="Z556" s="88"/>
      <c r="AA556" s="92">
        <f>IF(Ruimtestaat[[#This Row],[Frequentie weekend]]&gt;0,VALUE(LEFT(Z556,1))*S556,0)</f>
        <v>0</v>
      </c>
      <c r="AB556" s="88">
        <f>IF($AA556&gt;0,VLOOKUP($K556,Ruimtegroepen[],3,FALSE)*VLOOKUP($M556,Vloersoorten[],3,FALSE)*VLOOKUP($Z556,Frequenties[],3,FALSE)*VLOOKUP(#REF!,Locaties[],3,FALSE),0)</f>
        <v>0</v>
      </c>
      <c r="AC556" s="90">
        <f>Ruimtestaat[[#This Row],[Uitvoeringen weekend]]*Ruimtestaat[[#This Row],[Oppervlak (netto)]]</f>
        <v>0</v>
      </c>
      <c r="AD556" s="93">
        <f>IF(AC556&gt;0,Ruimtestaat[[#This Row],[Prest. (m2 /jaar) weekend]]/Ruimtestaat[[#This Row],[Norm (m2/uur) weekend]],0)</f>
        <v>0</v>
      </c>
      <c r="AE556" s="94">
        <f>Ruimtestaat[[#This Row],[uren / jaar weekend]]*Tariefsopbouw!$D$40</f>
        <v>0</v>
      </c>
      <c r="AF556" s="66">
        <f>Ruimtestaat[[#This Row],[Prest. (m2 /jaar) weekend]]+Ruimtestaat[[#This Row],[Prest. (m2 /jaar) werkdagen]]</f>
        <v>7980</v>
      </c>
      <c r="AG556" s="66">
        <f>Ruimtestaat[[#This Row],[uren / jaar weekend]]+Ruimtestaat[[#This Row],[uren / jaar werkdagen]]</f>
        <v>0</v>
      </c>
      <c r="AH556" s="67">
        <f>Ruimtestaat[[#This Row],[kosten / jaar weekend]]+Ruimtestaat[[#This Row],[kosten / jaar werkdagen]]</f>
        <v>0</v>
      </c>
    </row>
    <row r="557" spans="1:34" ht="15" customHeight="1">
      <c r="A557" s="112">
        <v>3</v>
      </c>
      <c r="B557" s="23" t="str">
        <f>VLOOKUP(Ruimtestaat[[#This Row],[Code]],Locaties[#All],2,FALSE)</f>
        <v>RSG N.O. Veluwe</v>
      </c>
      <c r="C557" s="23" t="str">
        <f>VLOOKUP(Ruimtestaat[[#This Row],[Code]],Locaties[#All],4,FALSE)</f>
        <v>Schotweg 1</v>
      </c>
      <c r="D557" s="23" t="str">
        <f>VLOOKUP(Ruimtestaat[[#This Row],[Code]],Locaties[#All],5,FALSE)</f>
        <v>8162 GM</v>
      </c>
      <c r="E557" s="23" t="str">
        <f>VLOOKUP(Ruimtestaat[[#This Row],[Code]],Locaties[#All],6,FALSE)</f>
        <v>Epe</v>
      </c>
      <c r="F557" s="23" t="s">
        <v>1111</v>
      </c>
      <c r="G557" s="60"/>
      <c r="H557" s="23" t="s">
        <v>1299</v>
      </c>
      <c r="I557" s="23" t="s">
        <v>1275</v>
      </c>
      <c r="J557" s="3" t="s">
        <v>1276</v>
      </c>
      <c r="K557" s="23">
        <v>2</v>
      </c>
      <c r="L557" s="60" t="str">
        <f>VLOOKUP(K557,Ruimtegroepen[],2,FALSE)</f>
        <v>Kantoren</v>
      </c>
      <c r="M557" s="23" t="s">
        <v>1094</v>
      </c>
      <c r="N557" s="23" t="s">
        <v>1095</v>
      </c>
      <c r="O557" s="86">
        <v>22</v>
      </c>
      <c r="P557" s="86"/>
      <c r="Q557" s="95" t="str">
        <f>LEFT(VLOOKUP(Ruimtestaat[[#This Row],[Ruimte code]],Ruimtegroepen[#All],4,1),2)</f>
        <v xml:space="preserve">B </v>
      </c>
      <c r="R557" s="95"/>
      <c r="S557" s="87">
        <v>42</v>
      </c>
      <c r="T557" s="87" t="s">
        <v>2</v>
      </c>
      <c r="U557" s="88">
        <f>IF(S557&gt;0,IF(RIGHT(Ruimtestaat[[#This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57" s="88">
        <f>IF(U557&gt;0,VLOOKUP($K557,Ruimtegroepen[],3,FALSE)*VLOOKUP($M557,Vloersoorten[],3,FALSE)*VLOOKUP($T557,Frequenties[],3,FALSE)*VLOOKUP($A557,Locaties[],3,FALSE),0)</f>
        <v>0</v>
      </c>
      <c r="W557" s="89">
        <f>Ruimtestaat[[#This Row],[Uitvoeringen werkdagen]]*Ruimtestaat[[#This Row],[Oppervlak (netto)]]</f>
        <v>4620</v>
      </c>
      <c r="X557" s="90">
        <f>IF(V557&gt;0,Ruimtestaat[[#This Row],[Prest. (m2 /jaar) werkdagen]]/Ruimtestaat[[#This Row],[Norm (m2/uur) werkdagen]],0)</f>
        <v>0</v>
      </c>
      <c r="Y557" s="91">
        <f>Ruimtestaat[[#This Row],[uren / jaar werkdagen]]*Tariefsopbouw!$E$35</f>
        <v>0</v>
      </c>
      <c r="Z557" s="88"/>
      <c r="AA557" s="92">
        <f>IF(Ruimtestaat[[#This Row],[Frequentie weekend]]&gt;0,VALUE(LEFT(Z557,1))*S557,0)</f>
        <v>0</v>
      </c>
      <c r="AB557" s="88">
        <f>IF($AA557&gt;0,VLOOKUP($K557,Ruimtegroepen[],3,FALSE)*VLOOKUP($M557,Vloersoorten[],3,FALSE)*VLOOKUP($Z557,Frequenties[],3,FALSE)*VLOOKUP(#REF!,Locaties[],3,FALSE),0)</f>
        <v>0</v>
      </c>
      <c r="AC557" s="90">
        <f>Ruimtestaat[[#This Row],[Uitvoeringen weekend]]*Ruimtestaat[[#This Row],[Oppervlak (netto)]]</f>
        <v>0</v>
      </c>
      <c r="AD557" s="93">
        <f>IF(AC557&gt;0,Ruimtestaat[[#This Row],[Prest. (m2 /jaar) weekend]]/Ruimtestaat[[#This Row],[Norm (m2/uur) weekend]],0)</f>
        <v>0</v>
      </c>
      <c r="AE557" s="94">
        <f>Ruimtestaat[[#This Row],[uren / jaar weekend]]*Tariefsopbouw!$D$40</f>
        <v>0</v>
      </c>
      <c r="AF557" s="66">
        <f>Ruimtestaat[[#This Row],[Prest. (m2 /jaar) weekend]]+Ruimtestaat[[#This Row],[Prest. (m2 /jaar) werkdagen]]</f>
        <v>4620</v>
      </c>
      <c r="AG557" s="66">
        <f>Ruimtestaat[[#This Row],[uren / jaar weekend]]+Ruimtestaat[[#This Row],[uren / jaar werkdagen]]</f>
        <v>0</v>
      </c>
      <c r="AH557" s="67">
        <f>Ruimtestaat[[#This Row],[kosten / jaar weekend]]+Ruimtestaat[[#This Row],[kosten / jaar werkdagen]]</f>
        <v>0</v>
      </c>
    </row>
    <row r="558" spans="1:34" ht="15" customHeight="1">
      <c r="A558" s="112">
        <v>3</v>
      </c>
      <c r="B558" s="23" t="str">
        <f>VLOOKUP(Ruimtestaat[[#This Row],[Code]],Locaties[#All],2,FALSE)</f>
        <v>RSG N.O. Veluwe</v>
      </c>
      <c r="C558" s="23" t="str">
        <f>VLOOKUP(Ruimtestaat[[#This Row],[Code]],Locaties[#All],4,FALSE)</f>
        <v>Schotweg 1</v>
      </c>
      <c r="D558" s="23" t="str">
        <f>VLOOKUP(Ruimtestaat[[#This Row],[Code]],Locaties[#All],5,FALSE)</f>
        <v>8162 GM</v>
      </c>
      <c r="E558" s="23" t="str">
        <f>VLOOKUP(Ruimtestaat[[#This Row],[Code]],Locaties[#All],6,FALSE)</f>
        <v>Epe</v>
      </c>
      <c r="F558" s="23" t="s">
        <v>1111</v>
      </c>
      <c r="G558" s="60"/>
      <c r="H558" s="23" t="s">
        <v>1299</v>
      </c>
      <c r="I558" s="23" t="s">
        <v>1277</v>
      </c>
      <c r="J558" s="3" t="s">
        <v>1119</v>
      </c>
      <c r="K558" s="23">
        <v>2</v>
      </c>
      <c r="L558" s="60" t="str">
        <f>VLOOKUP(K558,Ruimtegroepen[],2,FALSE)</f>
        <v>Kantoren</v>
      </c>
      <c r="M558" s="23" t="s">
        <v>1094</v>
      </c>
      <c r="N558" s="23" t="s">
        <v>1095</v>
      </c>
      <c r="O558" s="86">
        <v>22</v>
      </c>
      <c r="P558" s="86"/>
      <c r="Q558" s="95" t="str">
        <f>LEFT(VLOOKUP(Ruimtestaat[[#This Row],[Ruimte code]],Ruimtegroepen[#All],4,1),2)</f>
        <v xml:space="preserve">B </v>
      </c>
      <c r="R558" s="95"/>
      <c r="S558" s="87">
        <v>42</v>
      </c>
      <c r="T558" s="87" t="s">
        <v>2</v>
      </c>
      <c r="U558" s="88">
        <f>IF(S558&gt;0,IF(RIGHT(Ruimtestaat[[#This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58" s="88">
        <f>IF(U558&gt;0,VLOOKUP($K558,Ruimtegroepen[],3,FALSE)*VLOOKUP($M558,Vloersoorten[],3,FALSE)*VLOOKUP($T558,Frequenties[],3,FALSE)*VLOOKUP($A558,Locaties[],3,FALSE),0)</f>
        <v>0</v>
      </c>
      <c r="W558" s="89">
        <f>Ruimtestaat[[#This Row],[Uitvoeringen werkdagen]]*Ruimtestaat[[#This Row],[Oppervlak (netto)]]</f>
        <v>4620</v>
      </c>
      <c r="X558" s="90">
        <f>IF(V558&gt;0,Ruimtestaat[[#This Row],[Prest. (m2 /jaar) werkdagen]]/Ruimtestaat[[#This Row],[Norm (m2/uur) werkdagen]],0)</f>
        <v>0</v>
      </c>
      <c r="Y558" s="91">
        <f>Ruimtestaat[[#This Row],[uren / jaar werkdagen]]*Tariefsopbouw!$E$35</f>
        <v>0</v>
      </c>
      <c r="Z558" s="88"/>
      <c r="AA558" s="92">
        <f>IF(Ruimtestaat[[#This Row],[Frequentie weekend]]&gt;0,VALUE(LEFT(Z558,1))*S558,0)</f>
        <v>0</v>
      </c>
      <c r="AB558" s="88">
        <f>IF($AA558&gt;0,VLOOKUP($K558,Ruimtegroepen[],3,FALSE)*VLOOKUP($M558,Vloersoorten[],3,FALSE)*VLOOKUP($Z558,Frequenties[],3,FALSE)*VLOOKUP(#REF!,Locaties[],3,FALSE),0)</f>
        <v>0</v>
      </c>
      <c r="AC558" s="90">
        <f>Ruimtestaat[[#This Row],[Uitvoeringen weekend]]*Ruimtestaat[[#This Row],[Oppervlak (netto)]]</f>
        <v>0</v>
      </c>
      <c r="AD558" s="93">
        <f>IF(AC558&gt;0,Ruimtestaat[[#This Row],[Prest. (m2 /jaar) weekend]]/Ruimtestaat[[#This Row],[Norm (m2/uur) weekend]],0)</f>
        <v>0</v>
      </c>
      <c r="AE558" s="94">
        <f>Ruimtestaat[[#This Row],[uren / jaar weekend]]*Tariefsopbouw!$D$40</f>
        <v>0</v>
      </c>
      <c r="AF558" s="66">
        <f>Ruimtestaat[[#This Row],[Prest. (m2 /jaar) weekend]]+Ruimtestaat[[#This Row],[Prest. (m2 /jaar) werkdagen]]</f>
        <v>4620</v>
      </c>
      <c r="AG558" s="66">
        <f>Ruimtestaat[[#This Row],[uren / jaar weekend]]+Ruimtestaat[[#This Row],[uren / jaar werkdagen]]</f>
        <v>0</v>
      </c>
      <c r="AH558" s="67">
        <f>Ruimtestaat[[#This Row],[kosten / jaar weekend]]+Ruimtestaat[[#This Row],[kosten / jaar werkdagen]]</f>
        <v>0</v>
      </c>
    </row>
    <row r="559" spans="1:34" ht="15" customHeight="1">
      <c r="A559" s="112">
        <v>3</v>
      </c>
      <c r="B559" s="23" t="str">
        <f>VLOOKUP(Ruimtestaat[[#This Row],[Code]],Locaties[#All],2,FALSE)</f>
        <v>RSG N.O. Veluwe</v>
      </c>
      <c r="C559" s="23" t="str">
        <f>VLOOKUP(Ruimtestaat[[#This Row],[Code]],Locaties[#All],4,FALSE)</f>
        <v>Schotweg 1</v>
      </c>
      <c r="D559" s="23" t="str">
        <f>VLOOKUP(Ruimtestaat[[#This Row],[Code]],Locaties[#All],5,FALSE)</f>
        <v>8162 GM</v>
      </c>
      <c r="E559" s="23" t="str">
        <f>VLOOKUP(Ruimtestaat[[#This Row],[Code]],Locaties[#All],6,FALSE)</f>
        <v>Epe</v>
      </c>
      <c r="F559" s="23" t="s">
        <v>1111</v>
      </c>
      <c r="G559" s="60"/>
      <c r="H559" s="23" t="s">
        <v>1299</v>
      </c>
      <c r="I559" s="23" t="s">
        <v>1278</v>
      </c>
      <c r="J559" s="3" t="s">
        <v>1154</v>
      </c>
      <c r="K559" s="23">
        <v>23</v>
      </c>
      <c r="L559" s="60" t="str">
        <f>VLOOKUP(K559,Ruimtegroepen[],2,FALSE)</f>
        <v>Niet in onderhoud</v>
      </c>
      <c r="M559" s="23" t="s">
        <v>113</v>
      </c>
      <c r="N559" s="23" t="s">
        <v>1307</v>
      </c>
      <c r="O559" s="86"/>
      <c r="P559" s="86">
        <v>51</v>
      </c>
      <c r="Q559" s="95" t="str">
        <f>LEFT(VLOOKUP(Ruimtestaat[[#This Row],[Ruimte code]],Ruimtegroepen[#All],4,1),2)</f>
        <v/>
      </c>
      <c r="R559" s="95"/>
      <c r="S559" s="87"/>
      <c r="T559" s="87"/>
      <c r="U559" s="88">
        <f>IF(S559&gt;0,IF(RIGHT(Ruimtestaat[[#This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559" s="88">
        <f>IF(U559&gt;0,VLOOKUP($K559,Ruimtegroepen[],3,FALSE)*VLOOKUP($M559,Vloersoorten[],3,FALSE)*VLOOKUP($T559,Frequenties[],3,FALSE)*VLOOKUP($A559,Locaties[],3,FALSE),0)</f>
        <v>0</v>
      </c>
      <c r="W559" s="89">
        <f>Ruimtestaat[[#This Row],[Uitvoeringen werkdagen]]*Ruimtestaat[[#This Row],[Oppervlak (netto)]]</f>
        <v>0</v>
      </c>
      <c r="X559" s="90">
        <f>IF(V559&gt;0,Ruimtestaat[[#This Row],[Prest. (m2 /jaar) werkdagen]]/Ruimtestaat[[#This Row],[Norm (m2/uur) werkdagen]],0)</f>
        <v>0</v>
      </c>
      <c r="Y559" s="91">
        <f>Ruimtestaat[[#This Row],[uren / jaar werkdagen]]*Tariefsopbouw!$E$35</f>
        <v>0</v>
      </c>
      <c r="Z559" s="88"/>
      <c r="AA559" s="92">
        <f>IF(Ruimtestaat[[#This Row],[Frequentie weekend]]&gt;0,VALUE(LEFT(Z559,1))*S559,0)</f>
        <v>0</v>
      </c>
      <c r="AB559" s="88">
        <f>IF($AA559&gt;0,VLOOKUP($K559,Ruimtegroepen[],3,FALSE)*VLOOKUP($M559,Vloersoorten[],3,FALSE)*VLOOKUP($Z559,Frequenties[],3,FALSE)*VLOOKUP(#REF!,Locaties[],3,FALSE),0)</f>
        <v>0</v>
      </c>
      <c r="AC559" s="90">
        <f>Ruimtestaat[[#This Row],[Uitvoeringen weekend]]*Ruimtestaat[[#This Row],[Oppervlak (netto)]]</f>
        <v>0</v>
      </c>
      <c r="AD559" s="93">
        <f>IF(AC559&gt;0,Ruimtestaat[[#This Row],[Prest. (m2 /jaar) weekend]]/Ruimtestaat[[#This Row],[Norm (m2/uur) weekend]],0)</f>
        <v>0</v>
      </c>
      <c r="AE559" s="94">
        <f>Ruimtestaat[[#This Row],[uren / jaar weekend]]*Tariefsopbouw!$D$40</f>
        <v>0</v>
      </c>
      <c r="AF559" s="66">
        <f>Ruimtestaat[[#This Row],[Prest. (m2 /jaar) weekend]]+Ruimtestaat[[#This Row],[Prest. (m2 /jaar) werkdagen]]</f>
        <v>0</v>
      </c>
      <c r="AG559" s="66">
        <f>Ruimtestaat[[#This Row],[uren / jaar weekend]]+Ruimtestaat[[#This Row],[uren / jaar werkdagen]]</f>
        <v>0</v>
      </c>
      <c r="AH559" s="67">
        <f>Ruimtestaat[[#This Row],[kosten / jaar weekend]]+Ruimtestaat[[#This Row],[kosten / jaar werkdagen]]</f>
        <v>0</v>
      </c>
    </row>
    <row r="560" spans="1:34" ht="15" customHeight="1">
      <c r="A560" s="112">
        <v>3</v>
      </c>
      <c r="B560" s="23" t="str">
        <f>VLOOKUP(Ruimtestaat[[#This Row],[Code]],Locaties[#All],2,FALSE)</f>
        <v>RSG N.O. Veluwe</v>
      </c>
      <c r="C560" s="23" t="str">
        <f>VLOOKUP(Ruimtestaat[[#This Row],[Code]],Locaties[#All],4,FALSE)</f>
        <v>Schotweg 1</v>
      </c>
      <c r="D560" s="23" t="str">
        <f>VLOOKUP(Ruimtestaat[[#This Row],[Code]],Locaties[#All],5,FALSE)</f>
        <v>8162 GM</v>
      </c>
      <c r="E560" s="23" t="str">
        <f>VLOOKUP(Ruimtestaat[[#This Row],[Code]],Locaties[#All],6,FALSE)</f>
        <v>Epe</v>
      </c>
      <c r="F560" s="23" t="s">
        <v>1111</v>
      </c>
      <c r="G560" s="60"/>
      <c r="H560" s="23" t="s">
        <v>1299</v>
      </c>
      <c r="I560" s="23" t="s">
        <v>1279</v>
      </c>
      <c r="J560" s="3" t="s">
        <v>1179</v>
      </c>
      <c r="K560" s="23">
        <v>16</v>
      </c>
      <c r="L560" s="60" t="str">
        <f>VLOOKUP(K560,Ruimtegroepen[],2,FALSE)</f>
        <v>Leslokalen theorie</v>
      </c>
      <c r="M560" s="23" t="s">
        <v>1300</v>
      </c>
      <c r="N560" s="23" t="s">
        <v>1301</v>
      </c>
      <c r="O560" s="86">
        <v>51</v>
      </c>
      <c r="P560" s="86"/>
      <c r="Q560" s="95" t="str">
        <f>LEFT(VLOOKUP(Ruimtestaat[[#This Row],[Ruimte code]],Ruimtegroepen[#All],4,1),2)</f>
        <v xml:space="preserve">L </v>
      </c>
      <c r="R560" s="95"/>
      <c r="S560" s="87">
        <v>40</v>
      </c>
      <c r="T560" s="87" t="s">
        <v>2</v>
      </c>
      <c r="U560" s="88">
        <f>IF(S560&gt;0,IF(RIGHT(Ruimtestaat[[#This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60" s="88">
        <f>IF(U560&gt;0,VLOOKUP($K560,Ruimtegroepen[],3,FALSE)*VLOOKUP($M560,Vloersoorten[],3,FALSE)*VLOOKUP($T560,Frequenties[],3,FALSE)*VLOOKUP($A560,Locaties[],3,FALSE),0)</f>
        <v>0</v>
      </c>
      <c r="W560" s="89">
        <f>Ruimtestaat[[#This Row],[Uitvoeringen werkdagen]]*Ruimtestaat[[#This Row],[Oppervlak (netto)]]</f>
        <v>10200</v>
      </c>
      <c r="X560" s="90">
        <f>IF(V560&gt;0,Ruimtestaat[[#This Row],[Prest. (m2 /jaar) werkdagen]]/Ruimtestaat[[#This Row],[Norm (m2/uur) werkdagen]],0)</f>
        <v>0</v>
      </c>
      <c r="Y560" s="91">
        <f>Ruimtestaat[[#This Row],[uren / jaar werkdagen]]*Tariefsopbouw!$E$35</f>
        <v>0</v>
      </c>
      <c r="Z560" s="88"/>
      <c r="AA560" s="92">
        <f>IF(Ruimtestaat[[#This Row],[Frequentie weekend]]&gt;0,VALUE(LEFT(Z560,1))*S560,0)</f>
        <v>0</v>
      </c>
      <c r="AB560" s="88">
        <f>IF($AA560&gt;0,VLOOKUP($K560,Ruimtegroepen[],3,FALSE)*VLOOKUP($M560,Vloersoorten[],3,FALSE)*VLOOKUP($Z560,Frequenties[],3,FALSE)*VLOOKUP(#REF!,Locaties[],3,FALSE),0)</f>
        <v>0</v>
      </c>
      <c r="AC560" s="90">
        <f>Ruimtestaat[[#This Row],[Uitvoeringen weekend]]*Ruimtestaat[[#This Row],[Oppervlak (netto)]]</f>
        <v>0</v>
      </c>
      <c r="AD560" s="93">
        <f>IF(AC560&gt;0,Ruimtestaat[[#This Row],[Prest. (m2 /jaar) weekend]]/Ruimtestaat[[#This Row],[Norm (m2/uur) weekend]],0)</f>
        <v>0</v>
      </c>
      <c r="AE560" s="94">
        <f>Ruimtestaat[[#This Row],[uren / jaar weekend]]*Tariefsopbouw!$D$40</f>
        <v>0</v>
      </c>
      <c r="AF560" s="66">
        <f>Ruimtestaat[[#This Row],[Prest. (m2 /jaar) weekend]]+Ruimtestaat[[#This Row],[Prest. (m2 /jaar) werkdagen]]</f>
        <v>10200</v>
      </c>
      <c r="AG560" s="66">
        <f>Ruimtestaat[[#This Row],[uren / jaar weekend]]+Ruimtestaat[[#This Row],[uren / jaar werkdagen]]</f>
        <v>0</v>
      </c>
      <c r="AH560" s="67">
        <f>Ruimtestaat[[#This Row],[kosten / jaar weekend]]+Ruimtestaat[[#This Row],[kosten / jaar werkdagen]]</f>
        <v>0</v>
      </c>
    </row>
    <row r="561" spans="1:34" ht="15" customHeight="1">
      <c r="A561" s="112">
        <v>3</v>
      </c>
      <c r="B561" s="23" t="str">
        <f>VLOOKUP(Ruimtestaat[[#This Row],[Code]],Locaties[#All],2,FALSE)</f>
        <v>RSG N.O. Veluwe</v>
      </c>
      <c r="C561" s="23" t="str">
        <f>VLOOKUP(Ruimtestaat[[#This Row],[Code]],Locaties[#All],4,FALSE)</f>
        <v>Schotweg 1</v>
      </c>
      <c r="D561" s="23" t="str">
        <f>VLOOKUP(Ruimtestaat[[#This Row],[Code]],Locaties[#All],5,FALSE)</f>
        <v>8162 GM</v>
      </c>
      <c r="E561" s="23" t="str">
        <f>VLOOKUP(Ruimtestaat[[#This Row],[Code]],Locaties[#All],6,FALSE)</f>
        <v>Epe</v>
      </c>
      <c r="F561" s="23" t="s">
        <v>1111</v>
      </c>
      <c r="G561" s="60"/>
      <c r="H561" s="23" t="s">
        <v>1299</v>
      </c>
      <c r="I561" s="23" t="s">
        <v>1280</v>
      </c>
      <c r="J561" s="3" t="s">
        <v>1281</v>
      </c>
      <c r="K561" s="23">
        <v>16</v>
      </c>
      <c r="L561" s="60" t="str">
        <f>VLOOKUP(K561,Ruimtegroepen[],2,FALSE)</f>
        <v>Leslokalen theorie</v>
      </c>
      <c r="M561" s="23" t="s">
        <v>1300</v>
      </c>
      <c r="N561" s="23" t="s">
        <v>1301</v>
      </c>
      <c r="O561" s="86">
        <v>375</v>
      </c>
      <c r="P561" s="86"/>
      <c r="Q561" s="95" t="str">
        <f>LEFT(VLOOKUP(Ruimtestaat[[#This Row],[Ruimte code]],Ruimtegroepen[#All],4,1),2)</f>
        <v xml:space="preserve">L </v>
      </c>
      <c r="R561" s="95"/>
      <c r="S561" s="87">
        <v>40</v>
      </c>
      <c r="T561" s="87" t="s">
        <v>2</v>
      </c>
      <c r="U561" s="88">
        <f>IF(S561&gt;0,IF(RIGHT(Ruimtestaat[[#This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61" s="88">
        <f>IF(U561&gt;0,VLOOKUP($K561,Ruimtegroepen[],3,FALSE)*VLOOKUP($M561,Vloersoorten[],3,FALSE)*VLOOKUP($T561,Frequenties[],3,FALSE)*VLOOKUP($A561,Locaties[],3,FALSE),0)</f>
        <v>0</v>
      </c>
      <c r="W561" s="89">
        <f>Ruimtestaat[[#This Row],[Uitvoeringen werkdagen]]*Ruimtestaat[[#This Row],[Oppervlak (netto)]]</f>
        <v>75000</v>
      </c>
      <c r="X561" s="90">
        <f>IF(V561&gt;0,Ruimtestaat[[#This Row],[Prest. (m2 /jaar) werkdagen]]/Ruimtestaat[[#This Row],[Norm (m2/uur) werkdagen]],0)</f>
        <v>0</v>
      </c>
      <c r="Y561" s="91">
        <f>Ruimtestaat[[#This Row],[uren / jaar werkdagen]]*Tariefsopbouw!$E$35</f>
        <v>0</v>
      </c>
      <c r="Z561" s="88"/>
      <c r="AA561" s="92">
        <f>IF(Ruimtestaat[[#This Row],[Frequentie weekend]]&gt;0,VALUE(LEFT(Z561,1))*S561,0)</f>
        <v>0</v>
      </c>
      <c r="AB561" s="88">
        <f>IF($AA561&gt;0,VLOOKUP($K561,Ruimtegroepen[],3,FALSE)*VLOOKUP($M561,Vloersoorten[],3,FALSE)*VLOOKUP($Z561,Frequenties[],3,FALSE)*VLOOKUP(#REF!,Locaties[],3,FALSE),0)</f>
        <v>0</v>
      </c>
      <c r="AC561" s="90">
        <f>Ruimtestaat[[#This Row],[Uitvoeringen weekend]]*Ruimtestaat[[#This Row],[Oppervlak (netto)]]</f>
        <v>0</v>
      </c>
      <c r="AD561" s="93">
        <f>IF(AC561&gt;0,Ruimtestaat[[#This Row],[Prest. (m2 /jaar) weekend]]/Ruimtestaat[[#This Row],[Norm (m2/uur) weekend]],0)</f>
        <v>0</v>
      </c>
      <c r="AE561" s="94">
        <f>Ruimtestaat[[#This Row],[uren / jaar weekend]]*Tariefsopbouw!$D$40</f>
        <v>0</v>
      </c>
      <c r="AF561" s="66">
        <f>Ruimtestaat[[#This Row],[Prest. (m2 /jaar) weekend]]+Ruimtestaat[[#This Row],[Prest. (m2 /jaar) werkdagen]]</f>
        <v>75000</v>
      </c>
      <c r="AG561" s="66">
        <f>Ruimtestaat[[#This Row],[uren / jaar weekend]]+Ruimtestaat[[#This Row],[uren / jaar werkdagen]]</f>
        <v>0</v>
      </c>
      <c r="AH561" s="67">
        <f>Ruimtestaat[[#This Row],[kosten / jaar weekend]]+Ruimtestaat[[#This Row],[kosten / jaar werkdagen]]</f>
        <v>0</v>
      </c>
    </row>
    <row r="562" spans="1:34" ht="15" customHeight="1">
      <c r="A562" s="112">
        <v>3</v>
      </c>
      <c r="B562" s="23" t="str">
        <f>VLOOKUP(Ruimtestaat[[#This Row],[Code]],Locaties[#All],2,FALSE)</f>
        <v>RSG N.O. Veluwe</v>
      </c>
      <c r="C562" s="23" t="str">
        <f>VLOOKUP(Ruimtestaat[[#This Row],[Code]],Locaties[#All],4,FALSE)</f>
        <v>Schotweg 1</v>
      </c>
      <c r="D562" s="23" t="str">
        <f>VLOOKUP(Ruimtestaat[[#This Row],[Code]],Locaties[#All],5,FALSE)</f>
        <v>8162 GM</v>
      </c>
      <c r="E562" s="23" t="str">
        <f>VLOOKUP(Ruimtestaat[[#This Row],[Code]],Locaties[#All],6,FALSE)</f>
        <v>Epe</v>
      </c>
      <c r="F562" s="23" t="s">
        <v>1111</v>
      </c>
      <c r="G562" s="60"/>
      <c r="H562" s="23" t="s">
        <v>1299</v>
      </c>
      <c r="I562" s="23" t="s">
        <v>1282</v>
      </c>
      <c r="J562" s="3" t="s">
        <v>1059</v>
      </c>
      <c r="K562" s="23">
        <v>16</v>
      </c>
      <c r="L562" s="60" t="str">
        <f>VLOOKUP(K562,Ruimtegroepen[],2,FALSE)</f>
        <v>Leslokalen theorie</v>
      </c>
      <c r="M562" s="23" t="s">
        <v>1300</v>
      </c>
      <c r="N562" s="23" t="s">
        <v>1301</v>
      </c>
      <c r="O562" s="86">
        <v>48</v>
      </c>
      <c r="P562" s="86"/>
      <c r="Q562" s="95" t="str">
        <f>LEFT(VLOOKUP(Ruimtestaat[[#This Row],[Ruimte code]],Ruimtegroepen[#All],4,1),2)</f>
        <v xml:space="preserve">L </v>
      </c>
      <c r="R562" s="95"/>
      <c r="S562" s="87">
        <v>40</v>
      </c>
      <c r="T562" s="87" t="s">
        <v>2</v>
      </c>
      <c r="U562" s="88">
        <f>IF(S562&gt;0,IF(RIGHT(Ruimtestaat[[#This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62" s="88">
        <f>IF(U562&gt;0,VLOOKUP($K562,Ruimtegroepen[],3,FALSE)*VLOOKUP($M562,Vloersoorten[],3,FALSE)*VLOOKUP($T562,Frequenties[],3,FALSE)*VLOOKUP($A562,Locaties[],3,FALSE),0)</f>
        <v>0</v>
      </c>
      <c r="W562" s="89">
        <f>Ruimtestaat[[#This Row],[Uitvoeringen werkdagen]]*Ruimtestaat[[#This Row],[Oppervlak (netto)]]</f>
        <v>9600</v>
      </c>
      <c r="X562" s="90">
        <f>IF(V562&gt;0,Ruimtestaat[[#This Row],[Prest. (m2 /jaar) werkdagen]]/Ruimtestaat[[#This Row],[Norm (m2/uur) werkdagen]],0)</f>
        <v>0</v>
      </c>
      <c r="Y562" s="91">
        <f>Ruimtestaat[[#This Row],[uren / jaar werkdagen]]*Tariefsopbouw!$E$35</f>
        <v>0</v>
      </c>
      <c r="Z562" s="88"/>
      <c r="AA562" s="92">
        <f>IF(Ruimtestaat[[#This Row],[Frequentie weekend]]&gt;0,VALUE(LEFT(Z562,1))*S562,0)</f>
        <v>0</v>
      </c>
      <c r="AB562" s="88">
        <f>IF($AA562&gt;0,VLOOKUP($K562,Ruimtegroepen[],3,FALSE)*VLOOKUP($M562,Vloersoorten[],3,FALSE)*VLOOKUP($Z562,Frequenties[],3,FALSE)*VLOOKUP(#REF!,Locaties[],3,FALSE),0)</f>
        <v>0</v>
      </c>
      <c r="AC562" s="90">
        <f>Ruimtestaat[[#This Row],[Uitvoeringen weekend]]*Ruimtestaat[[#This Row],[Oppervlak (netto)]]</f>
        <v>0</v>
      </c>
      <c r="AD562" s="93">
        <f>IF(AC562&gt;0,Ruimtestaat[[#This Row],[Prest. (m2 /jaar) weekend]]/Ruimtestaat[[#This Row],[Norm (m2/uur) weekend]],0)</f>
        <v>0</v>
      </c>
      <c r="AE562" s="94">
        <f>Ruimtestaat[[#This Row],[uren / jaar weekend]]*Tariefsopbouw!$D$40</f>
        <v>0</v>
      </c>
      <c r="AF562" s="66">
        <f>Ruimtestaat[[#This Row],[Prest. (m2 /jaar) weekend]]+Ruimtestaat[[#This Row],[Prest. (m2 /jaar) werkdagen]]</f>
        <v>9600</v>
      </c>
      <c r="AG562" s="66">
        <f>Ruimtestaat[[#This Row],[uren / jaar weekend]]+Ruimtestaat[[#This Row],[uren / jaar werkdagen]]</f>
        <v>0</v>
      </c>
      <c r="AH562" s="67">
        <f>Ruimtestaat[[#This Row],[kosten / jaar weekend]]+Ruimtestaat[[#This Row],[kosten / jaar werkdagen]]</f>
        <v>0</v>
      </c>
    </row>
    <row r="563" spans="1:34" ht="15" customHeight="1">
      <c r="A563" s="112">
        <v>3</v>
      </c>
      <c r="B563" s="23" t="str">
        <f>VLOOKUP(Ruimtestaat[[#This Row],[Code]],Locaties[#All],2,FALSE)</f>
        <v>RSG N.O. Veluwe</v>
      </c>
      <c r="C563" s="23" t="str">
        <f>VLOOKUP(Ruimtestaat[[#This Row],[Code]],Locaties[#All],4,FALSE)</f>
        <v>Schotweg 1</v>
      </c>
      <c r="D563" s="23" t="str">
        <f>VLOOKUP(Ruimtestaat[[#This Row],[Code]],Locaties[#All],5,FALSE)</f>
        <v>8162 GM</v>
      </c>
      <c r="E563" s="23" t="str">
        <f>VLOOKUP(Ruimtestaat[[#This Row],[Code]],Locaties[#All],6,FALSE)</f>
        <v>Epe</v>
      </c>
      <c r="F563" s="23" t="s">
        <v>1111</v>
      </c>
      <c r="G563" s="60"/>
      <c r="H563" s="23" t="s">
        <v>1299</v>
      </c>
      <c r="I563" s="23" t="s">
        <v>1283</v>
      </c>
      <c r="J563" s="3" t="s">
        <v>1284</v>
      </c>
      <c r="K563" s="23">
        <v>11</v>
      </c>
      <c r="L563" s="60" t="str">
        <f>VLOOKUP(K563,Ruimtegroepen[],2,FALSE)</f>
        <v>Kooklokaal/leskeuken</v>
      </c>
      <c r="M563" s="23" t="s">
        <v>113</v>
      </c>
      <c r="N563" s="23" t="s">
        <v>1091</v>
      </c>
      <c r="O563" s="86">
        <v>50</v>
      </c>
      <c r="P563" s="86"/>
      <c r="Q563" s="95" t="str">
        <f>LEFT(VLOOKUP(Ruimtestaat[[#This Row],[Ruimte code]],Ruimtegroepen[#All],4,1),2)</f>
        <v xml:space="preserve">L </v>
      </c>
      <c r="R563" s="95"/>
      <c r="S563" s="87">
        <v>40</v>
      </c>
      <c r="T563" s="87" t="s">
        <v>2</v>
      </c>
      <c r="U563" s="88">
        <f>IF(S563&gt;0,IF(RIGHT(Ruimtestaat[[#This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63" s="88">
        <f>IF(U563&gt;0,VLOOKUP($K563,Ruimtegroepen[],3,FALSE)*VLOOKUP($M563,Vloersoorten[],3,FALSE)*VLOOKUP($T563,Frequenties[],3,FALSE)*VLOOKUP($A563,Locaties[],3,FALSE),0)</f>
        <v>0</v>
      </c>
      <c r="W563" s="89">
        <f>Ruimtestaat[[#This Row],[Uitvoeringen werkdagen]]*Ruimtestaat[[#This Row],[Oppervlak (netto)]]</f>
        <v>10000</v>
      </c>
      <c r="X563" s="90">
        <f>IF(V563&gt;0,Ruimtestaat[[#This Row],[Prest. (m2 /jaar) werkdagen]]/Ruimtestaat[[#This Row],[Norm (m2/uur) werkdagen]],0)</f>
        <v>0</v>
      </c>
      <c r="Y563" s="91">
        <f>Ruimtestaat[[#This Row],[uren / jaar werkdagen]]*Tariefsopbouw!$E$35</f>
        <v>0</v>
      </c>
      <c r="Z563" s="88"/>
      <c r="AA563" s="92">
        <f>IF(Ruimtestaat[[#This Row],[Frequentie weekend]]&gt;0,VALUE(LEFT(Z563,1))*S563,0)</f>
        <v>0</v>
      </c>
      <c r="AB563" s="88">
        <f>IF($AA563&gt;0,VLOOKUP($K563,Ruimtegroepen[],3,FALSE)*VLOOKUP($M563,Vloersoorten[],3,FALSE)*VLOOKUP($Z563,Frequenties[],3,FALSE)*VLOOKUP(#REF!,Locaties[],3,FALSE),0)</f>
        <v>0</v>
      </c>
      <c r="AC563" s="90">
        <f>Ruimtestaat[[#This Row],[Uitvoeringen weekend]]*Ruimtestaat[[#This Row],[Oppervlak (netto)]]</f>
        <v>0</v>
      </c>
      <c r="AD563" s="93">
        <f>IF(AC563&gt;0,Ruimtestaat[[#This Row],[Prest. (m2 /jaar) weekend]]/Ruimtestaat[[#This Row],[Norm (m2/uur) weekend]],0)</f>
        <v>0</v>
      </c>
      <c r="AE563" s="94">
        <f>Ruimtestaat[[#This Row],[uren / jaar weekend]]*Tariefsopbouw!$D$40</f>
        <v>0</v>
      </c>
      <c r="AF563" s="66">
        <f>Ruimtestaat[[#This Row],[Prest. (m2 /jaar) weekend]]+Ruimtestaat[[#This Row],[Prest. (m2 /jaar) werkdagen]]</f>
        <v>10000</v>
      </c>
      <c r="AG563" s="66">
        <f>Ruimtestaat[[#This Row],[uren / jaar weekend]]+Ruimtestaat[[#This Row],[uren / jaar werkdagen]]</f>
        <v>0</v>
      </c>
      <c r="AH563" s="67">
        <f>Ruimtestaat[[#This Row],[kosten / jaar weekend]]+Ruimtestaat[[#This Row],[kosten / jaar werkdagen]]</f>
        <v>0</v>
      </c>
    </row>
    <row r="564" spans="1:34" ht="15" customHeight="1">
      <c r="A564" s="112">
        <v>3</v>
      </c>
      <c r="B564" s="23" t="str">
        <f>VLOOKUP(Ruimtestaat[[#This Row],[Code]],Locaties[#All],2,FALSE)</f>
        <v>RSG N.O. Veluwe</v>
      </c>
      <c r="C564" s="23" t="str">
        <f>VLOOKUP(Ruimtestaat[[#This Row],[Code]],Locaties[#All],4,FALSE)</f>
        <v>Schotweg 1</v>
      </c>
      <c r="D564" s="23" t="str">
        <f>VLOOKUP(Ruimtestaat[[#This Row],[Code]],Locaties[#All],5,FALSE)</f>
        <v>8162 GM</v>
      </c>
      <c r="E564" s="23" t="str">
        <f>VLOOKUP(Ruimtestaat[[#This Row],[Code]],Locaties[#All],6,FALSE)</f>
        <v>Epe</v>
      </c>
      <c r="F564" s="23" t="s">
        <v>1111</v>
      </c>
      <c r="G564" s="60"/>
      <c r="H564" s="23" t="s">
        <v>1299</v>
      </c>
      <c r="I564" s="23" t="s">
        <v>1285</v>
      </c>
      <c r="J564" s="3" t="s">
        <v>1284</v>
      </c>
      <c r="K564" s="23">
        <v>11</v>
      </c>
      <c r="L564" s="60" t="str">
        <f>VLOOKUP(K564,Ruimtegroepen[],2,FALSE)</f>
        <v>Kooklokaal/leskeuken</v>
      </c>
      <c r="M564" s="23" t="s">
        <v>113</v>
      </c>
      <c r="N564" s="23" t="s">
        <v>1091</v>
      </c>
      <c r="O564" s="86">
        <v>40</v>
      </c>
      <c r="P564" s="86"/>
      <c r="Q564" s="95" t="str">
        <f>LEFT(VLOOKUP(Ruimtestaat[[#This Row],[Ruimte code]],Ruimtegroepen[#All],4,1),2)</f>
        <v xml:space="preserve">L </v>
      </c>
      <c r="R564" s="95"/>
      <c r="S564" s="87">
        <v>40</v>
      </c>
      <c r="T564" s="87" t="s">
        <v>2</v>
      </c>
      <c r="U564" s="88">
        <f>IF(S564&gt;0,IF(RIGHT(Ruimtestaat[[#This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64" s="88">
        <f>IF(U564&gt;0,VLOOKUP($K564,Ruimtegroepen[],3,FALSE)*VLOOKUP($M564,Vloersoorten[],3,FALSE)*VLOOKUP($T564,Frequenties[],3,FALSE)*VLOOKUP($A564,Locaties[],3,FALSE),0)</f>
        <v>0</v>
      </c>
      <c r="W564" s="89">
        <f>Ruimtestaat[[#This Row],[Uitvoeringen werkdagen]]*Ruimtestaat[[#This Row],[Oppervlak (netto)]]</f>
        <v>8000</v>
      </c>
      <c r="X564" s="90">
        <f>IF(V564&gt;0,Ruimtestaat[[#This Row],[Prest. (m2 /jaar) werkdagen]]/Ruimtestaat[[#This Row],[Norm (m2/uur) werkdagen]],0)</f>
        <v>0</v>
      </c>
      <c r="Y564" s="91">
        <f>Ruimtestaat[[#This Row],[uren / jaar werkdagen]]*Tariefsopbouw!$E$35</f>
        <v>0</v>
      </c>
      <c r="Z564" s="88"/>
      <c r="AA564" s="92">
        <f>IF(Ruimtestaat[[#This Row],[Frequentie weekend]]&gt;0,VALUE(LEFT(Z564,1))*S564,0)</f>
        <v>0</v>
      </c>
      <c r="AB564" s="88">
        <f>IF($AA564&gt;0,VLOOKUP($K564,Ruimtegroepen[],3,FALSE)*VLOOKUP($M564,Vloersoorten[],3,FALSE)*VLOOKUP($Z564,Frequenties[],3,FALSE)*VLOOKUP(#REF!,Locaties[],3,FALSE),0)</f>
        <v>0</v>
      </c>
      <c r="AC564" s="90">
        <f>Ruimtestaat[[#This Row],[Uitvoeringen weekend]]*Ruimtestaat[[#This Row],[Oppervlak (netto)]]</f>
        <v>0</v>
      </c>
      <c r="AD564" s="93">
        <f>IF(AC564&gt;0,Ruimtestaat[[#This Row],[Prest. (m2 /jaar) weekend]]/Ruimtestaat[[#This Row],[Norm (m2/uur) weekend]],0)</f>
        <v>0</v>
      </c>
      <c r="AE564" s="94">
        <f>Ruimtestaat[[#This Row],[uren / jaar weekend]]*Tariefsopbouw!$D$40</f>
        <v>0</v>
      </c>
      <c r="AF564" s="66">
        <f>Ruimtestaat[[#This Row],[Prest. (m2 /jaar) weekend]]+Ruimtestaat[[#This Row],[Prest. (m2 /jaar) werkdagen]]</f>
        <v>8000</v>
      </c>
      <c r="AG564" s="66">
        <f>Ruimtestaat[[#This Row],[uren / jaar weekend]]+Ruimtestaat[[#This Row],[uren / jaar werkdagen]]</f>
        <v>0</v>
      </c>
      <c r="AH564" s="67">
        <f>Ruimtestaat[[#This Row],[kosten / jaar weekend]]+Ruimtestaat[[#This Row],[kosten / jaar werkdagen]]</f>
        <v>0</v>
      </c>
    </row>
    <row r="565" spans="1:34" ht="15" customHeight="1">
      <c r="A565" s="112">
        <v>3</v>
      </c>
      <c r="B565" s="23" t="str">
        <f>VLOOKUP(Ruimtestaat[[#This Row],[Code]],Locaties[#All],2,FALSE)</f>
        <v>RSG N.O. Veluwe</v>
      </c>
      <c r="C565" s="23" t="str">
        <f>VLOOKUP(Ruimtestaat[[#This Row],[Code]],Locaties[#All],4,FALSE)</f>
        <v>Schotweg 1</v>
      </c>
      <c r="D565" s="23" t="str">
        <f>VLOOKUP(Ruimtestaat[[#This Row],[Code]],Locaties[#All],5,FALSE)</f>
        <v>8162 GM</v>
      </c>
      <c r="E565" s="23" t="str">
        <f>VLOOKUP(Ruimtestaat[[#This Row],[Code]],Locaties[#All],6,FALSE)</f>
        <v>Epe</v>
      </c>
      <c r="F565" s="23" t="s">
        <v>1111</v>
      </c>
      <c r="G565" s="60"/>
      <c r="H565" s="23" t="s">
        <v>1299</v>
      </c>
      <c r="I565" s="23" t="s">
        <v>1286</v>
      </c>
      <c r="J565" s="3" t="s">
        <v>1017</v>
      </c>
      <c r="K565" s="23">
        <v>1</v>
      </c>
      <c r="L565" s="60" t="str">
        <f>VLOOKUP(K565,Ruimtegroepen[],2,FALSE)</f>
        <v>Magazijnen/bergingen</v>
      </c>
      <c r="M565" s="23" t="s">
        <v>1300</v>
      </c>
      <c r="N565" s="23" t="s">
        <v>1301</v>
      </c>
      <c r="O565" s="86">
        <v>8</v>
      </c>
      <c r="P565" s="86"/>
      <c r="Q565" s="95" t="str">
        <f>LEFT(VLOOKUP(Ruimtestaat[[#This Row],[Ruimte code]],Ruimtegroepen[#All],4,1),2)</f>
        <v xml:space="preserve">V </v>
      </c>
      <c r="R565" s="95"/>
      <c r="S565" s="87">
        <v>40</v>
      </c>
      <c r="T565" s="87" t="s">
        <v>15</v>
      </c>
      <c r="U565" s="88">
        <f>IF(S565&gt;0,IF(RIGHT(Ruimtestaat[[#This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V565" s="88">
        <f>IF(U565&gt;0,VLOOKUP($K565,Ruimtegroepen[],3,FALSE)*VLOOKUP($M565,Vloersoorten[],3,FALSE)*VLOOKUP($T565,Frequenties[],3,FALSE)*VLOOKUP($A565,Locaties[],3,FALSE),0)</f>
        <v>0</v>
      </c>
      <c r="W565" s="89">
        <f>Ruimtestaat[[#This Row],[Uitvoeringen werkdagen]]*Ruimtestaat[[#This Row],[Oppervlak (netto)]]</f>
        <v>320</v>
      </c>
      <c r="X565" s="90">
        <f>IF(V565&gt;0,Ruimtestaat[[#This Row],[Prest. (m2 /jaar) werkdagen]]/Ruimtestaat[[#This Row],[Norm (m2/uur) werkdagen]],0)</f>
        <v>0</v>
      </c>
      <c r="Y565" s="91">
        <f>Ruimtestaat[[#This Row],[uren / jaar werkdagen]]*Tariefsopbouw!$E$35</f>
        <v>0</v>
      </c>
      <c r="Z565" s="88"/>
      <c r="AA565" s="92">
        <f>IF(Ruimtestaat[[#This Row],[Frequentie weekend]]&gt;0,VALUE(LEFT(Z565,1))*S565,0)</f>
        <v>0</v>
      </c>
      <c r="AB565" s="88">
        <f>IF($AA565&gt;0,VLOOKUP($K565,Ruimtegroepen[],3,FALSE)*VLOOKUP($M565,Vloersoorten[],3,FALSE)*VLOOKUP($Z565,Frequenties[],3,FALSE)*VLOOKUP(#REF!,Locaties[],3,FALSE),0)</f>
        <v>0</v>
      </c>
      <c r="AC565" s="90">
        <f>Ruimtestaat[[#This Row],[Uitvoeringen weekend]]*Ruimtestaat[[#This Row],[Oppervlak (netto)]]</f>
        <v>0</v>
      </c>
      <c r="AD565" s="93">
        <f>IF(AC565&gt;0,Ruimtestaat[[#This Row],[Prest. (m2 /jaar) weekend]]/Ruimtestaat[[#This Row],[Norm (m2/uur) weekend]],0)</f>
        <v>0</v>
      </c>
      <c r="AE565" s="94">
        <f>Ruimtestaat[[#This Row],[uren / jaar weekend]]*Tariefsopbouw!$D$40</f>
        <v>0</v>
      </c>
      <c r="AF565" s="66">
        <f>Ruimtestaat[[#This Row],[Prest. (m2 /jaar) weekend]]+Ruimtestaat[[#This Row],[Prest. (m2 /jaar) werkdagen]]</f>
        <v>320</v>
      </c>
      <c r="AG565" s="66">
        <f>Ruimtestaat[[#This Row],[uren / jaar weekend]]+Ruimtestaat[[#This Row],[uren / jaar werkdagen]]</f>
        <v>0</v>
      </c>
      <c r="AH565" s="67">
        <f>Ruimtestaat[[#This Row],[kosten / jaar weekend]]+Ruimtestaat[[#This Row],[kosten / jaar werkdagen]]</f>
        <v>0</v>
      </c>
    </row>
    <row r="566" spans="1:34" ht="15" customHeight="1">
      <c r="A566" s="112">
        <v>3</v>
      </c>
      <c r="B566" s="23" t="str">
        <f>VLOOKUP(Ruimtestaat[[#This Row],[Code]],Locaties[#All],2,FALSE)</f>
        <v>RSG N.O. Veluwe</v>
      </c>
      <c r="C566" s="23" t="str">
        <f>VLOOKUP(Ruimtestaat[[#This Row],[Code]],Locaties[#All],4,FALSE)</f>
        <v>Schotweg 1</v>
      </c>
      <c r="D566" s="23" t="str">
        <f>VLOOKUP(Ruimtestaat[[#This Row],[Code]],Locaties[#All],5,FALSE)</f>
        <v>8162 GM</v>
      </c>
      <c r="E566" s="23" t="str">
        <f>VLOOKUP(Ruimtestaat[[#This Row],[Code]],Locaties[#All],6,FALSE)</f>
        <v>Epe</v>
      </c>
      <c r="F566" s="23" t="s">
        <v>1111</v>
      </c>
      <c r="G566" s="60"/>
      <c r="H566" s="23" t="s">
        <v>1299</v>
      </c>
      <c r="I566" s="23" t="s">
        <v>1287</v>
      </c>
      <c r="J566" s="3" t="s">
        <v>1017</v>
      </c>
      <c r="K566" s="23">
        <v>1</v>
      </c>
      <c r="L566" s="60" t="str">
        <f>VLOOKUP(K566,Ruimtegroepen[],2,FALSE)</f>
        <v>Magazijnen/bergingen</v>
      </c>
      <c r="M566" s="23" t="s">
        <v>1300</v>
      </c>
      <c r="N566" s="23" t="s">
        <v>1301</v>
      </c>
      <c r="O566" s="86">
        <v>8</v>
      </c>
      <c r="P566" s="86"/>
      <c r="Q566" s="95" t="str">
        <f>LEFT(VLOOKUP(Ruimtestaat[[#This Row],[Ruimte code]],Ruimtegroepen[#All],4,1),2)</f>
        <v xml:space="preserve">V </v>
      </c>
      <c r="R566" s="95"/>
      <c r="S566" s="87">
        <v>40</v>
      </c>
      <c r="T566" s="87" t="s">
        <v>15</v>
      </c>
      <c r="U566" s="88">
        <f>IF(S566&gt;0,IF(RIGHT(Ruimtestaat[[#This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V566" s="88">
        <f>IF(U566&gt;0,VLOOKUP($K566,Ruimtegroepen[],3,FALSE)*VLOOKUP($M566,Vloersoorten[],3,FALSE)*VLOOKUP($T566,Frequenties[],3,FALSE)*VLOOKUP($A566,Locaties[],3,FALSE),0)</f>
        <v>0</v>
      </c>
      <c r="W566" s="89">
        <f>Ruimtestaat[[#This Row],[Uitvoeringen werkdagen]]*Ruimtestaat[[#This Row],[Oppervlak (netto)]]</f>
        <v>320</v>
      </c>
      <c r="X566" s="90">
        <f>IF(V566&gt;0,Ruimtestaat[[#This Row],[Prest. (m2 /jaar) werkdagen]]/Ruimtestaat[[#This Row],[Norm (m2/uur) werkdagen]],0)</f>
        <v>0</v>
      </c>
      <c r="Y566" s="91">
        <f>Ruimtestaat[[#This Row],[uren / jaar werkdagen]]*Tariefsopbouw!$E$35</f>
        <v>0</v>
      </c>
      <c r="Z566" s="88"/>
      <c r="AA566" s="92">
        <f>IF(Ruimtestaat[[#This Row],[Frequentie weekend]]&gt;0,VALUE(LEFT(Z566,1))*S566,0)</f>
        <v>0</v>
      </c>
      <c r="AB566" s="88">
        <f>IF($AA566&gt;0,VLOOKUP($K566,Ruimtegroepen[],3,FALSE)*VLOOKUP($M566,Vloersoorten[],3,FALSE)*VLOOKUP($Z566,Frequenties[],3,FALSE)*VLOOKUP(#REF!,Locaties[],3,FALSE),0)</f>
        <v>0</v>
      </c>
      <c r="AC566" s="90">
        <f>Ruimtestaat[[#This Row],[Uitvoeringen weekend]]*Ruimtestaat[[#This Row],[Oppervlak (netto)]]</f>
        <v>0</v>
      </c>
      <c r="AD566" s="93">
        <f>IF(AC566&gt;0,Ruimtestaat[[#This Row],[Prest. (m2 /jaar) weekend]]/Ruimtestaat[[#This Row],[Norm (m2/uur) weekend]],0)</f>
        <v>0</v>
      </c>
      <c r="AE566" s="94">
        <f>Ruimtestaat[[#This Row],[uren / jaar weekend]]*Tariefsopbouw!$D$40</f>
        <v>0</v>
      </c>
      <c r="AF566" s="66">
        <f>Ruimtestaat[[#This Row],[Prest. (m2 /jaar) weekend]]+Ruimtestaat[[#This Row],[Prest. (m2 /jaar) werkdagen]]</f>
        <v>320</v>
      </c>
      <c r="AG566" s="66">
        <f>Ruimtestaat[[#This Row],[uren / jaar weekend]]+Ruimtestaat[[#This Row],[uren / jaar werkdagen]]</f>
        <v>0</v>
      </c>
      <c r="AH566" s="67">
        <f>Ruimtestaat[[#This Row],[kosten / jaar weekend]]+Ruimtestaat[[#This Row],[kosten / jaar werkdagen]]</f>
        <v>0</v>
      </c>
    </row>
    <row r="567" spans="1:34" ht="15" customHeight="1">
      <c r="A567" s="112">
        <v>3</v>
      </c>
      <c r="B567" s="23" t="str">
        <f>VLOOKUP(Ruimtestaat[[#This Row],[Code]],Locaties[#All],2,FALSE)</f>
        <v>RSG N.O. Veluwe</v>
      </c>
      <c r="C567" s="23" t="str">
        <f>VLOOKUP(Ruimtestaat[[#This Row],[Code]],Locaties[#All],4,FALSE)</f>
        <v>Schotweg 1</v>
      </c>
      <c r="D567" s="23" t="str">
        <f>VLOOKUP(Ruimtestaat[[#This Row],[Code]],Locaties[#All],5,FALSE)</f>
        <v>8162 GM</v>
      </c>
      <c r="E567" s="23" t="str">
        <f>VLOOKUP(Ruimtestaat[[#This Row],[Code]],Locaties[#All],6,FALSE)</f>
        <v>Epe</v>
      </c>
      <c r="F567" s="23" t="s">
        <v>1111</v>
      </c>
      <c r="G567" s="60"/>
      <c r="H567" s="23" t="s">
        <v>1299</v>
      </c>
      <c r="I567" s="23" t="s">
        <v>1288</v>
      </c>
      <c r="J567" s="3" t="s">
        <v>1035</v>
      </c>
      <c r="K567" s="23">
        <v>23</v>
      </c>
      <c r="L567" s="60" t="str">
        <f>VLOOKUP(K567,Ruimtegroepen[],2,FALSE)</f>
        <v>Niet in onderhoud</v>
      </c>
      <c r="M567" s="23" t="s">
        <v>1300</v>
      </c>
      <c r="N567" s="23" t="s">
        <v>1301</v>
      </c>
      <c r="O567" s="86"/>
      <c r="P567" s="86">
        <v>12</v>
      </c>
      <c r="Q567" s="95" t="str">
        <f>LEFT(VLOOKUP(Ruimtestaat[[#This Row],[Ruimte code]],Ruimtegroepen[#All],4,1),2)</f>
        <v/>
      </c>
      <c r="R567" s="95"/>
      <c r="S567" s="87"/>
      <c r="T567" s="87"/>
      <c r="U567" s="88">
        <f>IF(S567&gt;0,IF(RIGHT(Ruimtestaat[[#This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567" s="88">
        <f>IF(U567&gt;0,VLOOKUP($K567,Ruimtegroepen[],3,FALSE)*VLOOKUP($M567,Vloersoorten[],3,FALSE)*VLOOKUP($T567,Frequenties[],3,FALSE)*VLOOKUP($A567,Locaties[],3,FALSE),0)</f>
        <v>0</v>
      </c>
      <c r="W567" s="89">
        <f>Ruimtestaat[[#This Row],[Uitvoeringen werkdagen]]*Ruimtestaat[[#This Row],[Oppervlak (netto)]]</f>
        <v>0</v>
      </c>
      <c r="X567" s="90">
        <f>IF(V567&gt;0,Ruimtestaat[[#This Row],[Prest. (m2 /jaar) werkdagen]]/Ruimtestaat[[#This Row],[Norm (m2/uur) werkdagen]],0)</f>
        <v>0</v>
      </c>
      <c r="Y567" s="91">
        <f>Ruimtestaat[[#This Row],[uren / jaar werkdagen]]*Tariefsopbouw!$E$35</f>
        <v>0</v>
      </c>
      <c r="Z567" s="88"/>
      <c r="AA567" s="92">
        <f>IF(Ruimtestaat[[#This Row],[Frequentie weekend]]&gt;0,VALUE(LEFT(Z567,1))*S567,0)</f>
        <v>0</v>
      </c>
      <c r="AB567" s="88">
        <f>IF($AA567&gt;0,VLOOKUP($K567,Ruimtegroepen[],3,FALSE)*VLOOKUP($M567,Vloersoorten[],3,FALSE)*VLOOKUP($Z567,Frequenties[],3,FALSE)*VLOOKUP(#REF!,Locaties[],3,FALSE),0)</f>
        <v>0</v>
      </c>
      <c r="AC567" s="90">
        <f>Ruimtestaat[[#This Row],[Uitvoeringen weekend]]*Ruimtestaat[[#This Row],[Oppervlak (netto)]]</f>
        <v>0</v>
      </c>
      <c r="AD567" s="93">
        <f>IF(AC567&gt;0,Ruimtestaat[[#This Row],[Prest. (m2 /jaar) weekend]]/Ruimtestaat[[#This Row],[Norm (m2/uur) weekend]],0)</f>
        <v>0</v>
      </c>
      <c r="AE567" s="94">
        <f>Ruimtestaat[[#This Row],[uren / jaar weekend]]*Tariefsopbouw!$D$40</f>
        <v>0</v>
      </c>
      <c r="AF567" s="66">
        <f>Ruimtestaat[[#This Row],[Prest. (m2 /jaar) weekend]]+Ruimtestaat[[#This Row],[Prest. (m2 /jaar) werkdagen]]</f>
        <v>0</v>
      </c>
      <c r="AG567" s="66">
        <f>Ruimtestaat[[#This Row],[uren / jaar weekend]]+Ruimtestaat[[#This Row],[uren / jaar werkdagen]]</f>
        <v>0</v>
      </c>
      <c r="AH567" s="67">
        <f>Ruimtestaat[[#This Row],[kosten / jaar weekend]]+Ruimtestaat[[#This Row],[kosten / jaar werkdagen]]</f>
        <v>0</v>
      </c>
    </row>
    <row r="568" spans="1:34" ht="15" customHeight="1">
      <c r="A568" s="112">
        <v>3</v>
      </c>
      <c r="B568" s="23" t="str">
        <f>VLOOKUP(Ruimtestaat[[#This Row],[Code]],Locaties[#All],2,FALSE)</f>
        <v>RSG N.O. Veluwe</v>
      </c>
      <c r="C568" s="23" t="str">
        <f>VLOOKUP(Ruimtestaat[[#This Row],[Code]],Locaties[#All],4,FALSE)</f>
        <v>Schotweg 1</v>
      </c>
      <c r="D568" s="23" t="str">
        <f>VLOOKUP(Ruimtestaat[[#This Row],[Code]],Locaties[#All],5,FALSE)</f>
        <v>8162 GM</v>
      </c>
      <c r="E568" s="23" t="str">
        <f>VLOOKUP(Ruimtestaat[[#This Row],[Code]],Locaties[#All],6,FALSE)</f>
        <v>Epe</v>
      </c>
      <c r="F568" s="23" t="s">
        <v>1111</v>
      </c>
      <c r="G568" s="60"/>
      <c r="H568" s="23" t="s">
        <v>1299</v>
      </c>
      <c r="I568" s="23" t="s">
        <v>1289</v>
      </c>
      <c r="J568" s="3" t="s">
        <v>1136</v>
      </c>
      <c r="K568" s="23">
        <v>5</v>
      </c>
      <c r="L568" s="60" t="str">
        <f>VLOOKUP(K568,Ruimtegroepen[],2,FALSE)</f>
        <v>Sanitair</v>
      </c>
      <c r="M568" s="23" t="s">
        <v>114</v>
      </c>
      <c r="N568" s="23" t="s">
        <v>1304</v>
      </c>
      <c r="O568" s="86">
        <v>12</v>
      </c>
      <c r="P568" s="86"/>
      <c r="Q568" s="95" t="str">
        <f>LEFT(VLOOKUP(Ruimtestaat[[#This Row],[Ruimte code]],Ruimtegroepen[#All],4,1),2)</f>
        <v xml:space="preserve">S </v>
      </c>
      <c r="R568" s="95"/>
      <c r="S568" s="87">
        <v>40</v>
      </c>
      <c r="T568" s="87" t="s">
        <v>2</v>
      </c>
      <c r="U568" s="88">
        <f>IF(S568&gt;0,IF(RIGHT(Ruimtestaat[[#This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68" s="88">
        <f>IF(U568&gt;0,VLOOKUP($K568,Ruimtegroepen[],3,FALSE)*VLOOKUP($M568,Vloersoorten[],3,FALSE)*VLOOKUP($T568,Frequenties[],3,FALSE)*VLOOKUP($A568,Locaties[],3,FALSE),0)</f>
        <v>0</v>
      </c>
      <c r="W568" s="89">
        <f>Ruimtestaat[[#This Row],[Uitvoeringen werkdagen]]*Ruimtestaat[[#This Row],[Oppervlak (netto)]]</f>
        <v>2400</v>
      </c>
      <c r="X568" s="90">
        <f>IF(V568&gt;0,Ruimtestaat[[#This Row],[Prest. (m2 /jaar) werkdagen]]/Ruimtestaat[[#This Row],[Norm (m2/uur) werkdagen]],0)</f>
        <v>0</v>
      </c>
      <c r="Y568" s="91">
        <f>Ruimtestaat[[#This Row],[uren / jaar werkdagen]]*Tariefsopbouw!$E$35</f>
        <v>0</v>
      </c>
      <c r="Z568" s="88"/>
      <c r="AA568" s="92">
        <f>IF(Ruimtestaat[[#This Row],[Frequentie weekend]]&gt;0,VALUE(LEFT(Z568,1))*S568,0)</f>
        <v>0</v>
      </c>
      <c r="AB568" s="88">
        <f>IF($AA568&gt;0,VLOOKUP($K568,Ruimtegroepen[],3,FALSE)*VLOOKUP($M568,Vloersoorten[],3,FALSE)*VLOOKUP($Z568,Frequenties[],3,FALSE)*VLOOKUP(#REF!,Locaties[],3,FALSE),0)</f>
        <v>0</v>
      </c>
      <c r="AC568" s="90">
        <f>Ruimtestaat[[#This Row],[Uitvoeringen weekend]]*Ruimtestaat[[#This Row],[Oppervlak (netto)]]</f>
        <v>0</v>
      </c>
      <c r="AD568" s="93">
        <f>IF(AC568&gt;0,Ruimtestaat[[#This Row],[Prest. (m2 /jaar) weekend]]/Ruimtestaat[[#This Row],[Norm (m2/uur) weekend]],0)</f>
        <v>0</v>
      </c>
      <c r="AE568" s="94">
        <f>Ruimtestaat[[#This Row],[uren / jaar weekend]]*Tariefsopbouw!$D$40</f>
        <v>0</v>
      </c>
      <c r="AF568" s="66">
        <f>Ruimtestaat[[#This Row],[Prest. (m2 /jaar) weekend]]+Ruimtestaat[[#This Row],[Prest. (m2 /jaar) werkdagen]]</f>
        <v>2400</v>
      </c>
      <c r="AG568" s="66">
        <f>Ruimtestaat[[#This Row],[uren / jaar weekend]]+Ruimtestaat[[#This Row],[uren / jaar werkdagen]]</f>
        <v>0</v>
      </c>
      <c r="AH568" s="67">
        <f>Ruimtestaat[[#This Row],[kosten / jaar weekend]]+Ruimtestaat[[#This Row],[kosten / jaar werkdagen]]</f>
        <v>0</v>
      </c>
    </row>
    <row r="569" spans="1:34" ht="15" customHeight="1">
      <c r="A569" s="112">
        <v>3</v>
      </c>
      <c r="B569" s="23" t="str">
        <f>VLOOKUP(Ruimtestaat[[#This Row],[Code]],Locaties[#All],2,FALSE)</f>
        <v>RSG N.O. Veluwe</v>
      </c>
      <c r="C569" s="23" t="str">
        <f>VLOOKUP(Ruimtestaat[[#This Row],[Code]],Locaties[#All],4,FALSE)</f>
        <v>Schotweg 1</v>
      </c>
      <c r="D569" s="23" t="str">
        <f>VLOOKUP(Ruimtestaat[[#This Row],[Code]],Locaties[#All],5,FALSE)</f>
        <v>8162 GM</v>
      </c>
      <c r="E569" s="23" t="str">
        <f>VLOOKUP(Ruimtestaat[[#This Row],[Code]],Locaties[#All],6,FALSE)</f>
        <v>Epe</v>
      </c>
      <c r="F569" s="23" t="s">
        <v>1111</v>
      </c>
      <c r="G569" s="60"/>
      <c r="H569" s="23" t="s">
        <v>1299</v>
      </c>
      <c r="I569" s="23" t="s">
        <v>1290</v>
      </c>
      <c r="J569" s="3" t="s">
        <v>1149</v>
      </c>
      <c r="K569" s="23">
        <v>5</v>
      </c>
      <c r="L569" s="60" t="str">
        <f>VLOOKUP(K569,Ruimtegroepen[],2,FALSE)</f>
        <v>Sanitair</v>
      </c>
      <c r="M569" s="23" t="s">
        <v>114</v>
      </c>
      <c r="N569" s="23" t="s">
        <v>1304</v>
      </c>
      <c r="O569" s="86">
        <v>12</v>
      </c>
      <c r="P569" s="86"/>
      <c r="Q569" s="95" t="str">
        <f>LEFT(VLOOKUP(Ruimtestaat[[#This Row],[Ruimte code]],Ruimtegroepen[#All],4,1),2)</f>
        <v xml:space="preserve">S </v>
      </c>
      <c r="R569" s="95"/>
      <c r="S569" s="87">
        <v>40</v>
      </c>
      <c r="T569" s="87" t="s">
        <v>2</v>
      </c>
      <c r="U569" s="88">
        <f>IF(S569&gt;0,IF(RIGHT(Ruimtestaat[[#This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69" s="88">
        <f>IF(U569&gt;0,VLOOKUP($K569,Ruimtegroepen[],3,FALSE)*VLOOKUP($M569,Vloersoorten[],3,FALSE)*VLOOKUP($T569,Frequenties[],3,FALSE)*VLOOKUP($A569,Locaties[],3,FALSE),0)</f>
        <v>0</v>
      </c>
      <c r="W569" s="89">
        <f>Ruimtestaat[[#This Row],[Uitvoeringen werkdagen]]*Ruimtestaat[[#This Row],[Oppervlak (netto)]]</f>
        <v>2400</v>
      </c>
      <c r="X569" s="90">
        <f>IF(V569&gt;0,Ruimtestaat[[#This Row],[Prest. (m2 /jaar) werkdagen]]/Ruimtestaat[[#This Row],[Norm (m2/uur) werkdagen]],0)</f>
        <v>0</v>
      </c>
      <c r="Y569" s="91">
        <f>Ruimtestaat[[#This Row],[uren / jaar werkdagen]]*Tariefsopbouw!$E$35</f>
        <v>0</v>
      </c>
      <c r="Z569" s="88"/>
      <c r="AA569" s="92">
        <f>IF(Ruimtestaat[[#This Row],[Frequentie weekend]]&gt;0,VALUE(LEFT(Z569,1))*S569,0)</f>
        <v>0</v>
      </c>
      <c r="AB569" s="88">
        <f>IF($AA569&gt;0,VLOOKUP($K569,Ruimtegroepen[],3,FALSE)*VLOOKUP($M569,Vloersoorten[],3,FALSE)*VLOOKUP($Z569,Frequenties[],3,FALSE)*VLOOKUP(#REF!,Locaties[],3,FALSE),0)</f>
        <v>0</v>
      </c>
      <c r="AC569" s="90">
        <f>Ruimtestaat[[#This Row],[Uitvoeringen weekend]]*Ruimtestaat[[#This Row],[Oppervlak (netto)]]</f>
        <v>0</v>
      </c>
      <c r="AD569" s="93">
        <f>IF(AC569&gt;0,Ruimtestaat[[#This Row],[Prest. (m2 /jaar) weekend]]/Ruimtestaat[[#This Row],[Norm (m2/uur) weekend]],0)</f>
        <v>0</v>
      </c>
      <c r="AE569" s="94">
        <f>Ruimtestaat[[#This Row],[uren / jaar weekend]]*Tariefsopbouw!$D$40</f>
        <v>0</v>
      </c>
      <c r="AF569" s="66">
        <f>Ruimtestaat[[#This Row],[Prest. (m2 /jaar) weekend]]+Ruimtestaat[[#This Row],[Prest. (m2 /jaar) werkdagen]]</f>
        <v>2400</v>
      </c>
      <c r="AG569" s="66">
        <f>Ruimtestaat[[#This Row],[uren / jaar weekend]]+Ruimtestaat[[#This Row],[uren / jaar werkdagen]]</f>
        <v>0</v>
      </c>
      <c r="AH569" s="67">
        <f>Ruimtestaat[[#This Row],[kosten / jaar weekend]]+Ruimtestaat[[#This Row],[kosten / jaar werkdagen]]</f>
        <v>0</v>
      </c>
    </row>
    <row r="570" spans="1:34" ht="15" customHeight="1">
      <c r="A570" s="112">
        <v>3</v>
      </c>
      <c r="B570" s="23" t="str">
        <f>VLOOKUP(Ruimtestaat[[#This Row],[Code]],Locaties[#All],2,FALSE)</f>
        <v>RSG N.O. Veluwe</v>
      </c>
      <c r="C570" s="23" t="str">
        <f>VLOOKUP(Ruimtestaat[[#This Row],[Code]],Locaties[#All],4,FALSE)</f>
        <v>Schotweg 1</v>
      </c>
      <c r="D570" s="23" t="str">
        <f>VLOOKUP(Ruimtestaat[[#This Row],[Code]],Locaties[#All],5,FALSE)</f>
        <v>8162 GM</v>
      </c>
      <c r="E570" s="23" t="str">
        <f>VLOOKUP(Ruimtestaat[[#This Row],[Code]],Locaties[#All],6,FALSE)</f>
        <v>Epe</v>
      </c>
      <c r="F570" s="23" t="s">
        <v>1111</v>
      </c>
      <c r="G570" s="60"/>
      <c r="H570" s="23" t="s">
        <v>1299</v>
      </c>
      <c r="I570" s="23" t="s">
        <v>1291</v>
      </c>
      <c r="J570" s="3" t="s">
        <v>1292</v>
      </c>
      <c r="K570" s="23">
        <v>12</v>
      </c>
      <c r="L570" s="60" t="str">
        <f>VLOOKUP(K570,Ruimtegroepen[],2,FALSE)</f>
        <v>Kantine</v>
      </c>
      <c r="M570" s="23" t="s">
        <v>1300</v>
      </c>
      <c r="N570" s="23" t="s">
        <v>1301</v>
      </c>
      <c r="O570" s="86">
        <v>150</v>
      </c>
      <c r="P570" s="86"/>
      <c r="Q570" s="95" t="str">
        <f>LEFT(VLOOKUP(Ruimtestaat[[#This Row],[Ruimte code]],Ruimtegroepen[#All],4,1),2)</f>
        <v xml:space="preserve">V </v>
      </c>
      <c r="R570" s="95"/>
      <c r="S570" s="87">
        <v>40</v>
      </c>
      <c r="T570" s="87" t="s">
        <v>2</v>
      </c>
      <c r="U570" s="88">
        <f>IF(S570&gt;0,IF(RIGHT(Ruimtestaat[[#This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70" s="88">
        <f>IF(U570&gt;0,VLOOKUP($K570,Ruimtegroepen[],3,FALSE)*VLOOKUP($M570,Vloersoorten[],3,FALSE)*VLOOKUP($T570,Frequenties[],3,FALSE)*VLOOKUP($A570,Locaties[],3,FALSE),0)</f>
        <v>0</v>
      </c>
      <c r="W570" s="89">
        <f>Ruimtestaat[[#This Row],[Uitvoeringen werkdagen]]*Ruimtestaat[[#This Row],[Oppervlak (netto)]]</f>
        <v>30000</v>
      </c>
      <c r="X570" s="90">
        <f>IF(V570&gt;0,Ruimtestaat[[#This Row],[Prest. (m2 /jaar) werkdagen]]/Ruimtestaat[[#This Row],[Norm (m2/uur) werkdagen]],0)</f>
        <v>0</v>
      </c>
      <c r="Y570" s="91">
        <f>Ruimtestaat[[#This Row],[uren / jaar werkdagen]]*Tariefsopbouw!$E$35</f>
        <v>0</v>
      </c>
      <c r="Z570" s="88"/>
      <c r="AA570" s="92">
        <f>IF(Ruimtestaat[[#This Row],[Frequentie weekend]]&gt;0,VALUE(LEFT(Z570,1))*S570,0)</f>
        <v>0</v>
      </c>
      <c r="AB570" s="88">
        <f>IF($AA570&gt;0,VLOOKUP($K570,Ruimtegroepen[],3,FALSE)*VLOOKUP($M570,Vloersoorten[],3,FALSE)*VLOOKUP($Z570,Frequenties[],3,FALSE)*VLOOKUP(#REF!,Locaties[],3,FALSE),0)</f>
        <v>0</v>
      </c>
      <c r="AC570" s="90">
        <f>Ruimtestaat[[#This Row],[Uitvoeringen weekend]]*Ruimtestaat[[#This Row],[Oppervlak (netto)]]</f>
        <v>0</v>
      </c>
      <c r="AD570" s="93">
        <f>IF(AC570&gt;0,Ruimtestaat[[#This Row],[Prest. (m2 /jaar) weekend]]/Ruimtestaat[[#This Row],[Norm (m2/uur) weekend]],0)</f>
        <v>0</v>
      </c>
      <c r="AE570" s="94">
        <f>Ruimtestaat[[#This Row],[uren / jaar weekend]]*Tariefsopbouw!$D$40</f>
        <v>0</v>
      </c>
      <c r="AF570" s="66">
        <f>Ruimtestaat[[#This Row],[Prest. (m2 /jaar) weekend]]+Ruimtestaat[[#This Row],[Prest. (m2 /jaar) werkdagen]]</f>
        <v>30000</v>
      </c>
      <c r="AG570" s="66">
        <f>Ruimtestaat[[#This Row],[uren / jaar weekend]]+Ruimtestaat[[#This Row],[uren / jaar werkdagen]]</f>
        <v>0</v>
      </c>
      <c r="AH570" s="67">
        <f>Ruimtestaat[[#This Row],[kosten / jaar weekend]]+Ruimtestaat[[#This Row],[kosten / jaar werkdagen]]</f>
        <v>0</v>
      </c>
    </row>
    <row r="571" spans="1:34" ht="15" customHeight="1">
      <c r="A571" s="112">
        <v>3</v>
      </c>
      <c r="B571" s="23" t="str">
        <f>VLOOKUP(Ruimtestaat[[#This Row],[Code]],Locaties[#All],2,FALSE)</f>
        <v>RSG N.O. Veluwe</v>
      </c>
      <c r="C571" s="23" t="str">
        <f>VLOOKUP(Ruimtestaat[[#This Row],[Code]],Locaties[#All],4,FALSE)</f>
        <v>Schotweg 1</v>
      </c>
      <c r="D571" s="23" t="str">
        <f>VLOOKUP(Ruimtestaat[[#This Row],[Code]],Locaties[#All],5,FALSE)</f>
        <v>8162 GM</v>
      </c>
      <c r="E571" s="23" t="str">
        <f>VLOOKUP(Ruimtestaat[[#This Row],[Code]],Locaties[#All],6,FALSE)</f>
        <v>Epe</v>
      </c>
      <c r="F571" s="23" t="s">
        <v>1111</v>
      </c>
      <c r="G571" s="60"/>
      <c r="H571" s="23" t="s">
        <v>1299</v>
      </c>
      <c r="I571" s="23" t="s">
        <v>1293</v>
      </c>
      <c r="J571" s="3" t="s">
        <v>1294</v>
      </c>
      <c r="K571" s="23">
        <v>12</v>
      </c>
      <c r="L571" s="60" t="str">
        <f>VLOOKUP(K571,Ruimtegroepen[],2,FALSE)</f>
        <v>Kantine</v>
      </c>
      <c r="M571" s="23" t="s">
        <v>1300</v>
      </c>
      <c r="N571" s="23" t="s">
        <v>1301</v>
      </c>
      <c r="O571" s="86">
        <v>10</v>
      </c>
      <c r="P571" s="86"/>
      <c r="Q571" s="95" t="str">
        <f>LEFT(VLOOKUP(Ruimtestaat[[#This Row],[Ruimte code]],Ruimtegroepen[#All],4,1),2)</f>
        <v xml:space="preserve">V </v>
      </c>
      <c r="R571" s="95"/>
      <c r="S571" s="87">
        <v>40</v>
      </c>
      <c r="T571" s="87" t="s">
        <v>2</v>
      </c>
      <c r="U571" s="88">
        <f>IF(S571&gt;0,IF(RIGHT(Ruimtestaat[[#This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71" s="88">
        <f>IF(U571&gt;0,VLOOKUP($K571,Ruimtegroepen[],3,FALSE)*VLOOKUP($M571,Vloersoorten[],3,FALSE)*VLOOKUP($T571,Frequenties[],3,FALSE)*VLOOKUP($A571,Locaties[],3,FALSE),0)</f>
        <v>0</v>
      </c>
      <c r="W571" s="89">
        <f>Ruimtestaat[[#This Row],[Uitvoeringen werkdagen]]*Ruimtestaat[[#This Row],[Oppervlak (netto)]]</f>
        <v>2000</v>
      </c>
      <c r="X571" s="90">
        <f>IF(V571&gt;0,Ruimtestaat[[#This Row],[Prest. (m2 /jaar) werkdagen]]/Ruimtestaat[[#This Row],[Norm (m2/uur) werkdagen]],0)</f>
        <v>0</v>
      </c>
      <c r="Y571" s="91">
        <f>Ruimtestaat[[#This Row],[uren / jaar werkdagen]]*Tariefsopbouw!$E$35</f>
        <v>0</v>
      </c>
      <c r="Z571" s="88"/>
      <c r="AA571" s="92">
        <f>IF(Ruimtestaat[[#This Row],[Frequentie weekend]]&gt;0,VALUE(LEFT(Z571,1))*S571,0)</f>
        <v>0</v>
      </c>
      <c r="AB571" s="88">
        <f>IF($AA571&gt;0,VLOOKUP($K571,Ruimtegroepen[],3,FALSE)*VLOOKUP($M571,Vloersoorten[],3,FALSE)*VLOOKUP($Z571,Frequenties[],3,FALSE)*VLOOKUP(#REF!,Locaties[],3,FALSE),0)</f>
        <v>0</v>
      </c>
      <c r="AC571" s="90">
        <f>Ruimtestaat[[#This Row],[Uitvoeringen weekend]]*Ruimtestaat[[#This Row],[Oppervlak (netto)]]</f>
        <v>0</v>
      </c>
      <c r="AD571" s="93">
        <f>IF(AC571&gt;0,Ruimtestaat[[#This Row],[Prest. (m2 /jaar) weekend]]/Ruimtestaat[[#This Row],[Norm (m2/uur) weekend]],0)</f>
        <v>0</v>
      </c>
      <c r="AE571" s="94">
        <f>Ruimtestaat[[#This Row],[uren / jaar weekend]]*Tariefsopbouw!$D$40</f>
        <v>0</v>
      </c>
      <c r="AF571" s="66">
        <f>Ruimtestaat[[#This Row],[Prest. (m2 /jaar) weekend]]+Ruimtestaat[[#This Row],[Prest. (m2 /jaar) werkdagen]]</f>
        <v>2000</v>
      </c>
      <c r="AG571" s="66">
        <f>Ruimtestaat[[#This Row],[uren / jaar weekend]]+Ruimtestaat[[#This Row],[uren / jaar werkdagen]]</f>
        <v>0</v>
      </c>
      <c r="AH571" s="67">
        <f>Ruimtestaat[[#This Row],[kosten / jaar weekend]]+Ruimtestaat[[#This Row],[kosten / jaar werkdagen]]</f>
        <v>0</v>
      </c>
    </row>
    <row r="572" spans="1:34" ht="15" customHeight="1">
      <c r="A572" s="112">
        <v>3</v>
      </c>
      <c r="B572" s="23" t="str">
        <f>VLOOKUP(Ruimtestaat[[#This Row],[Code]],Locaties[#All],2,FALSE)</f>
        <v>RSG N.O. Veluwe</v>
      </c>
      <c r="C572" s="23" t="str">
        <f>VLOOKUP(Ruimtestaat[[#This Row],[Code]],Locaties[#All],4,FALSE)</f>
        <v>Schotweg 1</v>
      </c>
      <c r="D572" s="23" t="str">
        <f>VLOOKUP(Ruimtestaat[[#This Row],[Code]],Locaties[#All],5,FALSE)</f>
        <v>8162 GM</v>
      </c>
      <c r="E572" s="23" t="str">
        <f>VLOOKUP(Ruimtestaat[[#This Row],[Code]],Locaties[#All],6,FALSE)</f>
        <v>Epe</v>
      </c>
      <c r="F572" s="23" t="s">
        <v>1111</v>
      </c>
      <c r="G572" s="60"/>
      <c r="H572" s="23" t="s">
        <v>1299</v>
      </c>
      <c r="J572" s="3" t="s">
        <v>1295</v>
      </c>
      <c r="K572" s="23">
        <v>6</v>
      </c>
      <c r="L572" s="60" t="str">
        <f>VLOOKUP(K572,Ruimtegroepen[],2,FALSE)</f>
        <v>Gangen/hallen</v>
      </c>
      <c r="M572" s="23" t="s">
        <v>1300</v>
      </c>
      <c r="N572" s="23" t="s">
        <v>1301</v>
      </c>
      <c r="O572" s="86">
        <v>162</v>
      </c>
      <c r="P572" s="86"/>
      <c r="Q572" s="95" t="str">
        <f>LEFT(VLOOKUP(Ruimtestaat[[#This Row],[Ruimte code]],Ruimtegroepen[#All],4,1),2)</f>
        <v xml:space="preserve">V </v>
      </c>
      <c r="R572" s="95"/>
      <c r="S572" s="87">
        <v>42</v>
      </c>
      <c r="T572" s="87" t="s">
        <v>2</v>
      </c>
      <c r="U572" s="88">
        <f>IF(S572&gt;0,IF(RIGHT(Ruimtestaat[[#This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72" s="88">
        <f>IF(U572&gt;0,VLOOKUP($K572,Ruimtegroepen[],3,FALSE)*VLOOKUP($M572,Vloersoorten[],3,FALSE)*VLOOKUP($T572,Frequenties[],3,FALSE)*VLOOKUP($A572,Locaties[],3,FALSE),0)</f>
        <v>0</v>
      </c>
      <c r="W572" s="89">
        <f>Ruimtestaat[[#This Row],[Uitvoeringen werkdagen]]*Ruimtestaat[[#This Row],[Oppervlak (netto)]]</f>
        <v>34020</v>
      </c>
      <c r="X572" s="90">
        <f>IF(V572&gt;0,Ruimtestaat[[#This Row],[Prest. (m2 /jaar) werkdagen]]/Ruimtestaat[[#This Row],[Norm (m2/uur) werkdagen]],0)</f>
        <v>0</v>
      </c>
      <c r="Y572" s="91">
        <f>Ruimtestaat[[#This Row],[uren / jaar werkdagen]]*Tariefsopbouw!$E$35</f>
        <v>0</v>
      </c>
      <c r="Z572" s="88"/>
      <c r="AA572" s="92">
        <f>IF(Ruimtestaat[[#This Row],[Frequentie weekend]]&gt;0,VALUE(LEFT(Z572,1))*S572,0)</f>
        <v>0</v>
      </c>
      <c r="AB572" s="88">
        <f>IF($AA572&gt;0,VLOOKUP($K572,Ruimtegroepen[],3,FALSE)*VLOOKUP($M572,Vloersoorten[],3,FALSE)*VLOOKUP($Z572,Frequenties[],3,FALSE)*VLOOKUP(#REF!,Locaties[],3,FALSE),0)</f>
        <v>0</v>
      </c>
      <c r="AC572" s="90">
        <f>Ruimtestaat[[#This Row],[Uitvoeringen weekend]]*Ruimtestaat[[#This Row],[Oppervlak (netto)]]</f>
        <v>0</v>
      </c>
      <c r="AD572" s="93">
        <f>IF(AC572&gt;0,Ruimtestaat[[#This Row],[Prest. (m2 /jaar) weekend]]/Ruimtestaat[[#This Row],[Norm (m2/uur) weekend]],0)</f>
        <v>0</v>
      </c>
      <c r="AE572" s="94">
        <f>Ruimtestaat[[#This Row],[uren / jaar weekend]]*Tariefsopbouw!$D$40</f>
        <v>0</v>
      </c>
      <c r="AF572" s="66">
        <f>Ruimtestaat[[#This Row],[Prest. (m2 /jaar) weekend]]+Ruimtestaat[[#This Row],[Prest. (m2 /jaar) werkdagen]]</f>
        <v>34020</v>
      </c>
      <c r="AG572" s="66">
        <f>Ruimtestaat[[#This Row],[uren / jaar weekend]]+Ruimtestaat[[#This Row],[uren / jaar werkdagen]]</f>
        <v>0</v>
      </c>
      <c r="AH572" s="67">
        <f>Ruimtestaat[[#This Row],[kosten / jaar weekend]]+Ruimtestaat[[#This Row],[kosten / jaar werkdagen]]</f>
        <v>0</v>
      </c>
    </row>
    <row r="573" spans="1:34" ht="15" customHeight="1">
      <c r="A573" s="112">
        <v>3</v>
      </c>
      <c r="B573" s="23" t="str">
        <f>VLOOKUP(Ruimtestaat[[#This Row],[Code]],Locaties[#All],2,FALSE)</f>
        <v>RSG N.O. Veluwe</v>
      </c>
      <c r="C573" s="23" t="str">
        <f>VLOOKUP(Ruimtestaat[[#This Row],[Code]],Locaties[#All],4,FALSE)</f>
        <v>Schotweg 1</v>
      </c>
      <c r="D573" s="23" t="str">
        <f>VLOOKUP(Ruimtestaat[[#This Row],[Code]],Locaties[#All],5,FALSE)</f>
        <v>8162 GM</v>
      </c>
      <c r="E573" s="23" t="str">
        <f>VLOOKUP(Ruimtestaat[[#This Row],[Code]],Locaties[#All],6,FALSE)</f>
        <v>Epe</v>
      </c>
      <c r="F573" s="23" t="s">
        <v>1111</v>
      </c>
      <c r="G573" s="60"/>
      <c r="H573" s="23" t="s">
        <v>1299</v>
      </c>
      <c r="J573" s="3" t="s">
        <v>1296</v>
      </c>
      <c r="K573" s="23">
        <v>10</v>
      </c>
      <c r="L573" s="60" t="str">
        <f>VLOOKUP(K573,Ruimtegroepen[],2,FALSE)</f>
        <v>Trappenhuizen/lift</v>
      </c>
      <c r="M573" s="23" t="s">
        <v>1300</v>
      </c>
      <c r="N573" s="23" t="s">
        <v>1309</v>
      </c>
      <c r="O573" s="86">
        <v>22</v>
      </c>
      <c r="P573" s="86"/>
      <c r="Q573" s="95" t="str">
        <f>LEFT(VLOOKUP(Ruimtestaat[[#This Row],[Ruimte code]],Ruimtegroepen[#All],4,1),2)</f>
        <v xml:space="preserve">V </v>
      </c>
      <c r="R573" s="95"/>
      <c r="S573" s="87">
        <v>42</v>
      </c>
      <c r="T573" s="87" t="s">
        <v>2</v>
      </c>
      <c r="U573" s="88">
        <f>IF(S573&gt;0,IF(RIGHT(Ruimtestaat[[#This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73" s="88">
        <f>IF(U573&gt;0,VLOOKUP($K573,Ruimtegroepen[],3,FALSE)*VLOOKUP($M573,Vloersoorten[],3,FALSE)*VLOOKUP($T573,Frequenties[],3,FALSE)*VLOOKUP($A573,Locaties[],3,FALSE),0)</f>
        <v>0</v>
      </c>
      <c r="W573" s="89">
        <f>Ruimtestaat[[#This Row],[Uitvoeringen werkdagen]]*Ruimtestaat[[#This Row],[Oppervlak (netto)]]</f>
        <v>4620</v>
      </c>
      <c r="X573" s="90">
        <f>IF(V573&gt;0,Ruimtestaat[[#This Row],[Prest. (m2 /jaar) werkdagen]]/Ruimtestaat[[#This Row],[Norm (m2/uur) werkdagen]],0)</f>
        <v>0</v>
      </c>
      <c r="Y573" s="91">
        <f>Ruimtestaat[[#This Row],[uren / jaar werkdagen]]*Tariefsopbouw!$E$35</f>
        <v>0</v>
      </c>
      <c r="Z573" s="88"/>
      <c r="AA573" s="92">
        <f>IF(Ruimtestaat[[#This Row],[Frequentie weekend]]&gt;0,VALUE(LEFT(Z573,1))*S573,0)</f>
        <v>0</v>
      </c>
      <c r="AB573" s="88">
        <f>IF($AA573&gt;0,VLOOKUP($K573,Ruimtegroepen[],3,FALSE)*VLOOKUP($M573,Vloersoorten[],3,FALSE)*VLOOKUP($Z573,Frequenties[],3,FALSE)*VLOOKUP(#REF!,Locaties[],3,FALSE),0)</f>
        <v>0</v>
      </c>
      <c r="AC573" s="90">
        <f>Ruimtestaat[[#This Row],[Uitvoeringen weekend]]*Ruimtestaat[[#This Row],[Oppervlak (netto)]]</f>
        <v>0</v>
      </c>
      <c r="AD573" s="93">
        <f>IF(AC573&gt;0,Ruimtestaat[[#This Row],[Prest. (m2 /jaar) weekend]]/Ruimtestaat[[#This Row],[Norm (m2/uur) weekend]],0)</f>
        <v>0</v>
      </c>
      <c r="AE573" s="94">
        <f>Ruimtestaat[[#This Row],[uren / jaar weekend]]*Tariefsopbouw!$D$40</f>
        <v>0</v>
      </c>
      <c r="AF573" s="66">
        <f>Ruimtestaat[[#This Row],[Prest. (m2 /jaar) weekend]]+Ruimtestaat[[#This Row],[Prest. (m2 /jaar) werkdagen]]</f>
        <v>4620</v>
      </c>
      <c r="AG573" s="66">
        <f>Ruimtestaat[[#This Row],[uren / jaar weekend]]+Ruimtestaat[[#This Row],[uren / jaar werkdagen]]</f>
        <v>0</v>
      </c>
      <c r="AH573" s="67">
        <f>Ruimtestaat[[#This Row],[kosten / jaar weekend]]+Ruimtestaat[[#This Row],[kosten / jaar werkdagen]]</f>
        <v>0</v>
      </c>
    </row>
    <row r="574" spans="1:34" ht="15" customHeight="1">
      <c r="A574" s="112">
        <v>3</v>
      </c>
      <c r="B574" s="23" t="str">
        <f>VLOOKUP(Ruimtestaat[[#This Row],[Code]],Locaties[#All],2,FALSE)</f>
        <v>RSG N.O. Veluwe</v>
      </c>
      <c r="C574" s="23" t="str">
        <f>VLOOKUP(Ruimtestaat[[#This Row],[Code]],Locaties[#All],4,FALSE)</f>
        <v>Schotweg 1</v>
      </c>
      <c r="D574" s="23" t="str">
        <f>VLOOKUP(Ruimtestaat[[#This Row],[Code]],Locaties[#All],5,FALSE)</f>
        <v>8162 GM</v>
      </c>
      <c r="E574" s="23" t="str">
        <f>VLOOKUP(Ruimtestaat[[#This Row],[Code]],Locaties[#All],6,FALSE)</f>
        <v>Epe</v>
      </c>
      <c r="F574" s="23" t="s">
        <v>1111</v>
      </c>
      <c r="G574" s="60"/>
      <c r="H574" s="23" t="s">
        <v>1299</v>
      </c>
      <c r="J574" s="3" t="s">
        <v>1297</v>
      </c>
      <c r="K574" s="23">
        <v>6</v>
      </c>
      <c r="L574" s="60" t="str">
        <f>VLOOKUP(K574,Ruimtegroepen[],2,FALSE)</f>
        <v>Gangen/hallen</v>
      </c>
      <c r="M574" s="23" t="s">
        <v>1300</v>
      </c>
      <c r="N574" s="23" t="s">
        <v>1301</v>
      </c>
      <c r="O574" s="86">
        <v>12</v>
      </c>
      <c r="P574" s="86"/>
      <c r="Q574" s="95" t="str">
        <f>LEFT(VLOOKUP(Ruimtestaat[[#This Row],[Ruimte code]],Ruimtegroepen[#All],4,1),2)</f>
        <v xml:space="preserve">V </v>
      </c>
      <c r="R574" s="95"/>
      <c r="S574" s="87">
        <v>42</v>
      </c>
      <c r="T574" s="87" t="s">
        <v>2</v>
      </c>
      <c r="U574" s="88">
        <f>IF(S574&gt;0,IF(RIGHT(Ruimtestaat[[#This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74" s="88">
        <f>IF(U574&gt;0,VLOOKUP($K574,Ruimtegroepen[],3,FALSE)*VLOOKUP($M574,Vloersoorten[],3,FALSE)*VLOOKUP($T574,Frequenties[],3,FALSE)*VLOOKUP($A574,Locaties[],3,FALSE),0)</f>
        <v>0</v>
      </c>
      <c r="W574" s="89">
        <f>Ruimtestaat[[#This Row],[Uitvoeringen werkdagen]]*Ruimtestaat[[#This Row],[Oppervlak (netto)]]</f>
        <v>2520</v>
      </c>
      <c r="X574" s="90">
        <f>IF(V574&gt;0,Ruimtestaat[[#This Row],[Prest. (m2 /jaar) werkdagen]]/Ruimtestaat[[#This Row],[Norm (m2/uur) werkdagen]],0)</f>
        <v>0</v>
      </c>
      <c r="Y574" s="91">
        <f>Ruimtestaat[[#This Row],[uren / jaar werkdagen]]*Tariefsopbouw!$E$35</f>
        <v>0</v>
      </c>
      <c r="Z574" s="88"/>
      <c r="AA574" s="92">
        <f>IF(Ruimtestaat[[#This Row],[Frequentie weekend]]&gt;0,VALUE(LEFT(Z574,1))*S574,0)</f>
        <v>0</v>
      </c>
      <c r="AB574" s="88">
        <f>IF($AA574&gt;0,VLOOKUP($K574,Ruimtegroepen[],3,FALSE)*VLOOKUP($M574,Vloersoorten[],3,FALSE)*VLOOKUP($Z574,Frequenties[],3,FALSE)*VLOOKUP(#REF!,Locaties[],3,FALSE),0)</f>
        <v>0</v>
      </c>
      <c r="AC574" s="90">
        <f>Ruimtestaat[[#This Row],[Uitvoeringen weekend]]*Ruimtestaat[[#This Row],[Oppervlak (netto)]]</f>
        <v>0</v>
      </c>
      <c r="AD574" s="93">
        <f>IF(AC574&gt;0,Ruimtestaat[[#This Row],[Prest. (m2 /jaar) weekend]]/Ruimtestaat[[#This Row],[Norm (m2/uur) weekend]],0)</f>
        <v>0</v>
      </c>
      <c r="AE574" s="94">
        <f>Ruimtestaat[[#This Row],[uren / jaar weekend]]*Tariefsopbouw!$D$40</f>
        <v>0</v>
      </c>
      <c r="AF574" s="66">
        <f>Ruimtestaat[[#This Row],[Prest. (m2 /jaar) weekend]]+Ruimtestaat[[#This Row],[Prest. (m2 /jaar) werkdagen]]</f>
        <v>2520</v>
      </c>
      <c r="AG574" s="66">
        <f>Ruimtestaat[[#This Row],[uren / jaar weekend]]+Ruimtestaat[[#This Row],[uren / jaar werkdagen]]</f>
        <v>0</v>
      </c>
      <c r="AH574" s="67">
        <f>Ruimtestaat[[#This Row],[kosten / jaar weekend]]+Ruimtestaat[[#This Row],[kosten / jaar werkdagen]]</f>
        <v>0</v>
      </c>
    </row>
    <row r="575" spans="1:34" ht="15" customHeight="1">
      <c r="A575" s="112"/>
      <c r="B575" s="23" t="e">
        <f>VLOOKUP(Ruimtestaat[[#This Row],[Code]],Locaties[#All],2,FALSE)</f>
        <v>#N/A</v>
      </c>
      <c r="C575" s="23" t="e">
        <f>VLOOKUP(Ruimtestaat[[#This Row],[Code]],Locaties[#All],4,FALSE)</f>
        <v>#N/A</v>
      </c>
      <c r="D575" s="23" t="e">
        <f>VLOOKUP(Ruimtestaat[[#This Row],[Code]],Locaties[#All],5,FALSE)</f>
        <v>#N/A</v>
      </c>
      <c r="E575" s="23" t="e">
        <f>VLOOKUP(Ruimtestaat[[#This Row],[Code]],Locaties[#All],6,FALSE)</f>
        <v>#N/A</v>
      </c>
      <c r="F575" s="23"/>
      <c r="G575" s="60"/>
      <c r="H575" s="23"/>
      <c r="J575" s="3"/>
      <c r="L575" s="60" t="e">
        <f>VLOOKUP(K575,Ruimtegroepen[],2,FALSE)</f>
        <v>#N/A</v>
      </c>
      <c r="N575" s="23"/>
      <c r="O575" s="86"/>
      <c r="P575" s="86"/>
      <c r="Q575" s="95" t="e">
        <f>LEFT(VLOOKUP(Ruimtestaat[[#This Row],[Ruimte code]],Ruimtegroepen[#All],4,1),2)</f>
        <v>#N/A</v>
      </c>
      <c r="R575" s="95"/>
      <c r="S575" s="87"/>
      <c r="T575" s="87"/>
      <c r="U575" s="88">
        <f>IF(S575&gt;0,IF(RIGHT(Ruimtestaat[[#This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575" s="88">
        <f>IF(U575&gt;0,VLOOKUP($K575,Ruimtegroepen[],3,FALSE)*VLOOKUP($M575,Vloersoorten[],3,FALSE)*VLOOKUP($T575,Frequenties[],3,FALSE)*VLOOKUP($A575,Locaties[],3,FALSE),0)</f>
        <v>0</v>
      </c>
      <c r="W575" s="89">
        <f>Ruimtestaat[[#This Row],[Uitvoeringen werkdagen]]*Ruimtestaat[[#This Row],[Oppervlak (netto)]]</f>
        <v>0</v>
      </c>
      <c r="X575" s="90">
        <f>IF(V575&gt;0,Ruimtestaat[[#This Row],[Prest. (m2 /jaar) werkdagen]]/Ruimtestaat[[#This Row],[Norm (m2/uur) werkdagen]],0)</f>
        <v>0</v>
      </c>
      <c r="Y575" s="91">
        <f>Ruimtestaat[[#This Row],[uren / jaar werkdagen]]*Tariefsopbouw!$E$35</f>
        <v>0</v>
      </c>
      <c r="Z575" s="88"/>
      <c r="AA575" s="92">
        <f>IF(Ruimtestaat[[#This Row],[Frequentie weekend]]&gt;0,VALUE(LEFT(Z575,1))*S575,0)</f>
        <v>0</v>
      </c>
      <c r="AB575" s="88">
        <f>IF($AA575&gt;0,VLOOKUP($K575,Ruimtegroepen[],3,FALSE)*VLOOKUP($M575,Vloersoorten[],3,FALSE)*VLOOKUP($Z575,Frequenties[],3,FALSE)*VLOOKUP(#REF!,Locaties[],3,FALSE),0)</f>
        <v>0</v>
      </c>
      <c r="AC575" s="90">
        <f>Ruimtestaat[[#This Row],[Uitvoeringen weekend]]*Ruimtestaat[[#This Row],[Oppervlak (netto)]]</f>
        <v>0</v>
      </c>
      <c r="AD575" s="93">
        <f>IF(AC575&gt;0,Ruimtestaat[[#This Row],[Prest. (m2 /jaar) weekend]]/Ruimtestaat[[#This Row],[Norm (m2/uur) weekend]],0)</f>
        <v>0</v>
      </c>
      <c r="AE575" s="94">
        <f>Ruimtestaat[[#This Row],[uren / jaar weekend]]*Tariefsopbouw!$D$40</f>
        <v>0</v>
      </c>
      <c r="AF575" s="66">
        <f>Ruimtestaat[[#This Row],[Prest. (m2 /jaar) weekend]]+Ruimtestaat[[#This Row],[Prest. (m2 /jaar) werkdagen]]</f>
        <v>0</v>
      </c>
      <c r="AG575" s="66">
        <f>Ruimtestaat[[#This Row],[uren / jaar weekend]]+Ruimtestaat[[#This Row],[uren / jaar werkdagen]]</f>
        <v>0</v>
      </c>
      <c r="AH575" s="67">
        <f>Ruimtestaat[[#This Row],[kosten / jaar weekend]]+Ruimtestaat[[#This Row],[kosten / jaar werkdagen]]</f>
        <v>0</v>
      </c>
    </row>
  </sheetData>
  <sortState xmlns:xlrd2="http://schemas.microsoft.com/office/spreadsheetml/2017/richdata2" ref="B7:U1456">
    <sortCondition ref="B7:B1456"/>
    <sortCondition ref="G7:G1456"/>
  </sortState>
  <mergeCells count="5">
    <mergeCell ref="A1:R1"/>
    <mergeCell ref="S1:AH1"/>
    <mergeCell ref="T3:Y3"/>
    <mergeCell ref="Z3:AE3"/>
    <mergeCell ref="AF3:AH3"/>
  </mergeCells>
  <phoneticPr fontId="7" type="noConversion"/>
  <pageMargins left="0.23622047244094491" right="0.23622047244094491" top="0.74803149606299213" bottom="0.74803149606299213" header="0.31496062992125984" footer="0.31496062992125984"/>
  <pageSetup paperSize="8" scale="34" fitToHeight="0" orientation="landscape" r:id="rId1"/>
  <headerFooter alignWithMargins="0">
    <oddFooter>&amp;L&amp;P&amp;Cparaaf Inschrijver&amp;R&amp;D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  <pageSetUpPr fitToPage="1"/>
  </sheetPr>
  <dimension ref="A1:I34"/>
  <sheetViews>
    <sheetView showGridLines="0" zoomScaleNormal="100" zoomScaleSheetLayoutView="100" workbookViewId="0">
      <selection sqref="A1:H1"/>
    </sheetView>
  </sheetViews>
  <sheetFormatPr defaultColWidth="9.140625" defaultRowHeight="15" customHeight="1"/>
  <cols>
    <col min="1" max="1" width="9.7109375" style="3" customWidth="1"/>
    <col min="2" max="2" width="51.85546875" style="3" bestFit="1" customWidth="1"/>
    <col min="3" max="3" width="14.85546875" style="23" customWidth="1"/>
    <col min="4" max="4" width="61.7109375" style="3" bestFit="1" customWidth="1"/>
    <col min="5" max="5" width="17.7109375" style="3" bestFit="1" customWidth="1"/>
    <col min="6" max="6" width="17.7109375" style="150" bestFit="1" customWidth="1"/>
    <col min="7" max="7" width="17.7109375" style="3" bestFit="1" customWidth="1"/>
    <col min="8" max="8" width="20.5703125" style="3" customWidth="1"/>
    <col min="9" max="9" width="17.7109375" style="3" bestFit="1" customWidth="1"/>
    <col min="10" max="16384" width="9.140625" style="3"/>
  </cols>
  <sheetData>
    <row r="1" spans="1:9" s="6" customFormat="1" ht="26.25" customHeight="1">
      <c r="A1" s="289" t="s">
        <v>167</v>
      </c>
      <c r="B1" s="289"/>
      <c r="C1" s="289"/>
      <c r="D1" s="289"/>
      <c r="E1" s="289"/>
      <c r="F1" s="289"/>
      <c r="G1" s="289"/>
      <c r="H1" s="289"/>
    </row>
    <row r="2" spans="1:9" s="6" customFormat="1" ht="15" customHeight="1">
      <c r="A2" s="317" t="s">
        <v>221</v>
      </c>
      <c r="B2" s="290"/>
      <c r="C2" s="290"/>
      <c r="D2" s="290"/>
      <c r="E2" s="290"/>
      <c r="F2" s="290"/>
      <c r="G2" s="290"/>
      <c r="H2" s="290"/>
    </row>
    <row r="3" spans="1:9" ht="15" customHeight="1">
      <c r="B3" s="23"/>
      <c r="C3" s="3"/>
    </row>
    <row r="4" spans="1:9" ht="15" customHeight="1">
      <c r="A4" s="3" t="s">
        <v>265</v>
      </c>
      <c r="B4" s="24"/>
      <c r="C4" s="24"/>
      <c r="D4" s="24"/>
      <c r="E4" s="24"/>
      <c r="F4" s="151"/>
      <c r="G4" s="25"/>
    </row>
    <row r="5" spans="1:9" ht="15" customHeight="1">
      <c r="A5" s="3" t="s">
        <v>256</v>
      </c>
      <c r="B5" s="24"/>
      <c r="C5" s="24"/>
      <c r="D5" s="24"/>
      <c r="E5" s="24"/>
      <c r="F5" s="151"/>
      <c r="G5" s="25"/>
    </row>
    <row r="6" spans="1:9" ht="15" customHeight="1">
      <c r="A6" s="3" t="s">
        <v>248</v>
      </c>
      <c r="B6" s="27"/>
      <c r="C6" s="28"/>
      <c r="D6" s="28"/>
      <c r="E6" s="28"/>
      <c r="F6" s="152"/>
    </row>
    <row r="7" spans="1:9" ht="15" customHeight="1">
      <c r="B7" s="27"/>
      <c r="C7" s="27"/>
      <c r="D7" s="22"/>
      <c r="E7" s="22"/>
      <c r="F7" s="153"/>
      <c r="G7" s="28"/>
    </row>
    <row r="8" spans="1:9" s="18" customFormat="1" ht="26.25" customHeight="1">
      <c r="A8" s="41" t="s">
        <v>219</v>
      </c>
      <c r="B8" s="42" t="s">
        <v>154</v>
      </c>
      <c r="C8" s="43" t="s">
        <v>153</v>
      </c>
      <c r="D8" s="41" t="s">
        <v>412</v>
      </c>
      <c r="E8" s="41" t="s">
        <v>263</v>
      </c>
      <c r="F8" s="41" t="s">
        <v>262</v>
      </c>
      <c r="G8" s="41" t="s">
        <v>261</v>
      </c>
      <c r="H8" s="41" t="s">
        <v>272</v>
      </c>
      <c r="I8" s="41" t="s">
        <v>1324</v>
      </c>
    </row>
    <row r="9" spans="1:9" ht="15" customHeight="1">
      <c r="A9" s="44">
        <v>1</v>
      </c>
      <c r="B9" s="45" t="s">
        <v>161</v>
      </c>
      <c r="C9" s="46">
        <v>0</v>
      </c>
      <c r="D9" s="49" t="s">
        <v>155</v>
      </c>
      <c r="E9" s="189" t="e">
        <f>InvulVloer[[#This Row],[Prijs]]*Tariefsopbouw!$I$37+InvulVloer[[#This Row],[Prijs]]</f>
        <v>#DIV/0!</v>
      </c>
      <c r="F9" s="190" t="e">
        <f>InvulVloer[[#This Row],[2025]]*Tariefsopbouw!$K$37+InvulVloer[[#This Row],[2025]]</f>
        <v>#DIV/0!</v>
      </c>
      <c r="G9" s="190" t="e">
        <f>InvulVloer[[#This Row],[2026]]*Tariefsopbouw!$M$37+InvulVloer[[#This Row],[2026]]</f>
        <v>#DIV/0!</v>
      </c>
      <c r="H9" s="190" t="e">
        <f>InvulVloer[[#This Row],[2027]]*Tariefsopbouw!$O$37+InvulVloer[[#This Row],[2027]]</f>
        <v>#DIV/0!</v>
      </c>
      <c r="I9" s="190" t="e">
        <f>InvulVloer[[#This Row],[2028]]*Tariefsopbouw!$Q$37+InvulVloer[[#This Row],[2028]]</f>
        <v>#DIV/0!</v>
      </c>
    </row>
    <row r="10" spans="1:9" ht="15" customHeight="1">
      <c r="A10" s="47">
        <v>2</v>
      </c>
      <c r="B10" s="48" t="s">
        <v>162</v>
      </c>
      <c r="C10" s="46">
        <v>0</v>
      </c>
      <c r="D10" s="52" t="s">
        <v>156</v>
      </c>
      <c r="E10" s="189" t="e">
        <f>InvulVloer[[#This Row],[Prijs]]*Tariefsopbouw!$I$37+InvulVloer[[#This Row],[Prijs]]</f>
        <v>#DIV/0!</v>
      </c>
      <c r="F10" s="191" t="e">
        <f>InvulVloer[[#This Row],[2025]]*Tariefsopbouw!$K$37+InvulVloer[[#This Row],[2025]]</f>
        <v>#DIV/0!</v>
      </c>
      <c r="G10" s="191" t="e">
        <f>InvulVloer[[#This Row],[2026]]*Tariefsopbouw!$M$37+InvulVloer[[#This Row],[2026]]</f>
        <v>#DIV/0!</v>
      </c>
      <c r="H10" s="191" t="e">
        <f>InvulVloer[[#This Row],[2027]]*Tariefsopbouw!$O$37+InvulVloer[[#This Row],[2027]]</f>
        <v>#DIV/0!</v>
      </c>
      <c r="I10" s="191" t="e">
        <f>InvulVloer[[#This Row],[2028]]*Tariefsopbouw!$Q$37+InvulVloer[[#This Row],[2028]]</f>
        <v>#DIV/0!</v>
      </c>
    </row>
    <row r="11" spans="1:9" ht="15" customHeight="1">
      <c r="A11" s="44">
        <v>3</v>
      </c>
      <c r="B11" s="45" t="s">
        <v>163</v>
      </c>
      <c r="C11" s="46">
        <v>0</v>
      </c>
      <c r="D11" s="49" t="s">
        <v>156</v>
      </c>
      <c r="E11" s="189" t="e">
        <f>InvulVloer[[#This Row],[Prijs]]*Tariefsopbouw!$I$37+InvulVloer[[#This Row],[Prijs]]</f>
        <v>#DIV/0!</v>
      </c>
      <c r="F11" s="192" t="e">
        <f>InvulVloer[[#This Row],[2025]]*Tariefsopbouw!$K$37+InvulVloer[[#This Row],[2025]]</f>
        <v>#DIV/0!</v>
      </c>
      <c r="G11" s="192" t="e">
        <f>InvulVloer[[#This Row],[2026]]*Tariefsopbouw!$M$37+InvulVloer[[#This Row],[2026]]</f>
        <v>#DIV/0!</v>
      </c>
      <c r="H11" s="192" t="e">
        <f>InvulVloer[[#This Row],[2027]]*Tariefsopbouw!$O$37+InvulVloer[[#This Row],[2027]]</f>
        <v>#DIV/0!</v>
      </c>
      <c r="I11" s="192" t="e">
        <f>InvulVloer[[#This Row],[2028]]*Tariefsopbouw!$Q$37+InvulVloer[[#This Row],[2028]]</f>
        <v>#DIV/0!</v>
      </c>
    </row>
    <row r="12" spans="1:9" ht="15" customHeight="1">
      <c r="A12" s="47">
        <v>4</v>
      </c>
      <c r="B12" s="48" t="s">
        <v>157</v>
      </c>
      <c r="C12" s="46">
        <v>0</v>
      </c>
      <c r="D12" s="52" t="s">
        <v>155</v>
      </c>
      <c r="E12" s="189" t="e">
        <f>InvulVloer[[#This Row],[Prijs]]*Tariefsopbouw!$I$37+InvulVloer[[#This Row],[Prijs]]</f>
        <v>#DIV/0!</v>
      </c>
      <c r="F12" s="191" t="e">
        <f>InvulVloer[[#This Row],[2025]]*Tariefsopbouw!$K$37+InvulVloer[[#This Row],[2025]]</f>
        <v>#DIV/0!</v>
      </c>
      <c r="G12" s="191" t="e">
        <f>InvulVloer[[#This Row],[2026]]*Tariefsopbouw!$M$37+InvulVloer[[#This Row],[2026]]</f>
        <v>#DIV/0!</v>
      </c>
      <c r="H12" s="191" t="e">
        <f>InvulVloer[[#This Row],[2027]]*Tariefsopbouw!$O$37+InvulVloer[[#This Row],[2027]]</f>
        <v>#DIV/0!</v>
      </c>
      <c r="I12" s="191" t="e">
        <f>InvulVloer[[#This Row],[2028]]*Tariefsopbouw!$Q$37+InvulVloer[[#This Row],[2028]]</f>
        <v>#DIV/0!</v>
      </c>
    </row>
    <row r="13" spans="1:9" ht="15" customHeight="1">
      <c r="A13" s="44">
        <v>5</v>
      </c>
      <c r="B13" s="45" t="s">
        <v>158</v>
      </c>
      <c r="C13" s="46">
        <v>0</v>
      </c>
      <c r="D13" s="49" t="s">
        <v>155</v>
      </c>
      <c r="E13" s="189" t="e">
        <f>InvulVloer[[#This Row],[Prijs]]*Tariefsopbouw!$I$37+InvulVloer[[#This Row],[Prijs]]</f>
        <v>#DIV/0!</v>
      </c>
      <c r="F13" s="192" t="e">
        <f>InvulVloer[[#This Row],[2025]]*Tariefsopbouw!$K$37+InvulVloer[[#This Row],[2025]]</f>
        <v>#DIV/0!</v>
      </c>
      <c r="G13" s="192" t="e">
        <f>InvulVloer[[#This Row],[2026]]*Tariefsopbouw!$M$37+InvulVloer[[#This Row],[2026]]</f>
        <v>#DIV/0!</v>
      </c>
      <c r="H13" s="192" t="e">
        <f>InvulVloer[[#This Row],[2027]]*Tariefsopbouw!$O$37+InvulVloer[[#This Row],[2027]]</f>
        <v>#DIV/0!</v>
      </c>
      <c r="I13" s="192" t="e">
        <f>InvulVloer[[#This Row],[2028]]*Tariefsopbouw!$Q$37+InvulVloer[[#This Row],[2028]]</f>
        <v>#DIV/0!</v>
      </c>
    </row>
    <row r="14" spans="1:9" ht="15" customHeight="1">
      <c r="A14" s="47">
        <v>6</v>
      </c>
      <c r="B14" s="48" t="s">
        <v>164</v>
      </c>
      <c r="C14" s="46">
        <v>0</v>
      </c>
      <c r="D14" s="52" t="s">
        <v>155</v>
      </c>
      <c r="E14" s="189" t="e">
        <f>InvulVloer[[#This Row],[Prijs]]*Tariefsopbouw!$I$37+InvulVloer[[#This Row],[Prijs]]</f>
        <v>#DIV/0!</v>
      </c>
      <c r="F14" s="191" t="e">
        <f>InvulVloer[[#This Row],[2025]]*Tariefsopbouw!$K$37+InvulVloer[[#This Row],[2025]]</f>
        <v>#DIV/0!</v>
      </c>
      <c r="G14" s="191" t="e">
        <f>InvulVloer[[#This Row],[2026]]*Tariefsopbouw!$M$37+InvulVloer[[#This Row],[2026]]</f>
        <v>#DIV/0!</v>
      </c>
      <c r="H14" s="191" t="e">
        <f>InvulVloer[[#This Row],[2027]]*Tariefsopbouw!$O$37+InvulVloer[[#This Row],[2027]]</f>
        <v>#DIV/0!</v>
      </c>
      <c r="I14" s="191" t="e">
        <f>InvulVloer[[#This Row],[2028]]*Tariefsopbouw!$Q$37+InvulVloer[[#This Row],[2028]]</f>
        <v>#DIV/0!</v>
      </c>
    </row>
    <row r="15" spans="1:9" ht="15" customHeight="1">
      <c r="A15" s="44">
        <v>7</v>
      </c>
      <c r="B15" s="49" t="s">
        <v>166</v>
      </c>
      <c r="C15" s="46">
        <v>0</v>
      </c>
      <c r="D15" s="49" t="s">
        <v>155</v>
      </c>
      <c r="E15" s="189" t="e">
        <f>InvulVloer[[#This Row],[Prijs]]*Tariefsopbouw!$I$37+InvulVloer[[#This Row],[Prijs]]</f>
        <v>#DIV/0!</v>
      </c>
      <c r="F15" s="192" t="e">
        <f>InvulVloer[[#This Row],[2025]]*Tariefsopbouw!$K$37+InvulVloer[[#This Row],[2025]]</f>
        <v>#DIV/0!</v>
      </c>
      <c r="G15" s="192" t="e">
        <f>InvulVloer[[#This Row],[2026]]*Tariefsopbouw!$M$37+InvulVloer[[#This Row],[2026]]</f>
        <v>#DIV/0!</v>
      </c>
      <c r="H15" s="192" t="e">
        <f>InvulVloer[[#This Row],[2027]]*Tariefsopbouw!$O$37+InvulVloer[[#This Row],[2027]]</f>
        <v>#DIV/0!</v>
      </c>
      <c r="I15" s="192" t="e">
        <f>InvulVloer[[#This Row],[2028]]*Tariefsopbouw!$Q$37+InvulVloer[[#This Row],[2028]]</f>
        <v>#DIV/0!</v>
      </c>
    </row>
    <row r="16" spans="1:9" ht="15" customHeight="1">
      <c r="A16" s="47">
        <v>8</v>
      </c>
      <c r="B16" s="50" t="s">
        <v>202</v>
      </c>
      <c r="C16" s="46">
        <v>0</v>
      </c>
      <c r="D16" s="52" t="s">
        <v>155</v>
      </c>
      <c r="E16" s="189" t="e">
        <f>InvulVloer[[#This Row],[Prijs]]*Tariefsopbouw!$I$37+InvulVloer[[#This Row],[Prijs]]</f>
        <v>#DIV/0!</v>
      </c>
      <c r="F16" s="191" t="e">
        <f>InvulVloer[[#This Row],[2025]]*Tariefsopbouw!$K$37+InvulVloer[[#This Row],[2025]]</f>
        <v>#DIV/0!</v>
      </c>
      <c r="G16" s="191" t="e">
        <f>InvulVloer[[#This Row],[2026]]*Tariefsopbouw!$M$37+InvulVloer[[#This Row],[2026]]</f>
        <v>#DIV/0!</v>
      </c>
      <c r="H16" s="191" t="e">
        <f>InvulVloer[[#This Row],[2027]]*Tariefsopbouw!$O$37+InvulVloer[[#This Row],[2027]]</f>
        <v>#DIV/0!</v>
      </c>
      <c r="I16" s="191" t="e">
        <f>InvulVloer[[#This Row],[2028]]*Tariefsopbouw!$Q$37+InvulVloer[[#This Row],[2028]]</f>
        <v>#DIV/0!</v>
      </c>
    </row>
    <row r="17" spans="1:9" ht="15" customHeight="1">
      <c r="A17" s="44">
        <v>9</v>
      </c>
      <c r="B17" s="51" t="s">
        <v>203</v>
      </c>
      <c r="C17" s="46">
        <v>0</v>
      </c>
      <c r="D17" s="49" t="s">
        <v>155</v>
      </c>
      <c r="E17" s="193" t="e">
        <f>InvulVloer[[#This Row],[Prijs]]*Tariefsopbouw!$I$37+InvulVloer[[#This Row],[Prijs]]</f>
        <v>#DIV/0!</v>
      </c>
      <c r="F17" s="194" t="e">
        <f>InvulVloer[[#This Row],[2025]]*Tariefsopbouw!$K$37+InvulVloer[[#This Row],[2025]]</f>
        <v>#DIV/0!</v>
      </c>
      <c r="G17" s="193" t="e">
        <f>InvulVloer[[#This Row],[2026]]*Tariefsopbouw!$M$37+InvulVloer[[#This Row],[2026]]</f>
        <v>#DIV/0!</v>
      </c>
      <c r="H17" s="193" t="e">
        <f>InvulVloer[[#This Row],[2027]]*Tariefsopbouw!$O$37+InvulVloer[[#This Row],[2027]]</f>
        <v>#DIV/0!</v>
      </c>
      <c r="I17" s="193" t="e">
        <f>InvulVloer[[#This Row],[2028]]*Tariefsopbouw!$Q$37+InvulVloer[[#This Row],[2028]]</f>
        <v>#DIV/0!</v>
      </c>
    </row>
    <row r="18" spans="1:9" ht="15" customHeight="1">
      <c r="B18" s="23"/>
      <c r="E18" s="30"/>
      <c r="F18" s="153"/>
      <c r="G18" s="30"/>
      <c r="H18" s="30"/>
    </row>
    <row r="19" spans="1:9" ht="15" customHeight="1">
      <c r="C19" s="24"/>
      <c r="D19" s="24"/>
    </row>
    <row r="20" spans="1:9" s="21" customFormat="1" ht="26.25" customHeight="1">
      <c r="A20" s="41" t="s">
        <v>218</v>
      </c>
      <c r="B20" s="42" t="s">
        <v>150</v>
      </c>
      <c r="C20" s="41" t="s">
        <v>219</v>
      </c>
      <c r="D20" s="53" t="s">
        <v>154</v>
      </c>
      <c r="E20" s="53" t="s">
        <v>159</v>
      </c>
      <c r="F20" s="154" t="s">
        <v>160</v>
      </c>
      <c r="G20" s="53" t="s">
        <v>165</v>
      </c>
      <c r="H20" s="54" t="s">
        <v>151</v>
      </c>
    </row>
    <row r="21" spans="1:9" ht="15" customHeight="1">
      <c r="A21" s="195">
        <v>1</v>
      </c>
      <c r="B21" s="148" t="str">
        <f>VLOOKUP(OverzichtVloer[[#This Row],[Code Locatie]],Locaties[],2,0)</f>
        <v>RSG Levant</v>
      </c>
      <c r="C21" s="195">
        <v>4</v>
      </c>
      <c r="D21" s="196" t="str">
        <f>IF(Vloeronderhoud!$C21&gt;0,VLOOKUP(Vloeronderhoud!$C21,$A$8:$B$17,2,FALSE),"")</f>
        <v>Tapijtreinigen, sproei-extractiemethode</v>
      </c>
      <c r="E21" s="159" t="s">
        <v>111</v>
      </c>
      <c r="F21" s="155">
        <f>SUMIFS('Ruimtestaat'!$O:$O,'Ruimtestaat'!M:M,Vloeronderhoud!E21,'Ruimtestaat'!A:A,Vloeronderhoud!A21)</f>
        <v>243</v>
      </c>
      <c r="G21" s="213">
        <v>1</v>
      </c>
      <c r="H21" s="197">
        <f>VLOOKUP(OverzichtVloer[[#This Row],[Code Taak]],InvulVloer[],3,3)*F21*G21</f>
        <v>0</v>
      </c>
    </row>
    <row r="22" spans="1:9" ht="15.75" customHeight="1">
      <c r="A22" s="195">
        <v>1</v>
      </c>
      <c r="B22" s="148" t="str">
        <f>VLOOKUP(OverzichtVloer[[#This Row],[Code Locatie]],Locaties[],2,0)</f>
        <v>RSG Levant</v>
      </c>
      <c r="C22" s="195">
        <v>1</v>
      </c>
      <c r="D22" s="196" t="str">
        <f>IF(Vloeronderhoud!$C22&gt;0,VLOOKUP(Vloeronderhoud!$C22,$A$8:$B$17,2,FALSE),"")</f>
        <v>Sprayen/opblokken</v>
      </c>
      <c r="E22" s="159" t="s">
        <v>112</v>
      </c>
      <c r="F22" s="155">
        <f>SUMIFS('Ruimtestaat'!$O:$O,'Ruimtestaat'!M:M,Vloeronderhoud!E22,'Ruimtestaat'!A:A,Vloeronderhoud!A22)</f>
        <v>5185</v>
      </c>
      <c r="G22" s="213">
        <v>1</v>
      </c>
      <c r="H22" s="197">
        <f>VLOOKUP(OverzichtVloer[[#This Row],[Code Taak]],InvulVloer[],3,3)*F22*G22</f>
        <v>0</v>
      </c>
    </row>
    <row r="23" spans="1:9" ht="15" customHeight="1">
      <c r="A23" s="195">
        <v>1</v>
      </c>
      <c r="B23" s="148" t="str">
        <f>VLOOKUP(OverzichtVloer[[#This Row],[Code Locatie]],Locaties[],2,0)</f>
        <v>RSG Levant</v>
      </c>
      <c r="C23" s="195">
        <v>2</v>
      </c>
      <c r="D23" s="196" t="str">
        <f>IF(Vloeronderhoud!$C23&gt;0,VLOOKUP(Vloeronderhoud!$C23,$A$8:$B$17,2,FALSE),"")</f>
        <v>Topstrippen en conserveren</v>
      </c>
      <c r="E23" s="159" t="s">
        <v>112</v>
      </c>
      <c r="F23" s="155">
        <f>SUMIFS('Ruimtestaat'!$O:$O,'Ruimtestaat'!M:M,Vloeronderhoud!E23,'Ruimtestaat'!A:A,Vloeronderhoud!A23)</f>
        <v>5185</v>
      </c>
      <c r="G23" s="213">
        <v>1</v>
      </c>
      <c r="H23" s="197">
        <f>VLOOKUP(OverzichtVloer[[#This Row],[Code Taak]],InvulVloer[],3,3)*F23*G23</f>
        <v>0</v>
      </c>
    </row>
    <row r="24" spans="1:9" ht="15" customHeight="1">
      <c r="A24" s="195">
        <v>1</v>
      </c>
      <c r="B24" s="148" t="str">
        <f>VLOOKUP(OverzichtVloer[[#This Row],[Code Locatie]],Locaties[],2,0)</f>
        <v>RSG Levant</v>
      </c>
      <c r="C24" s="195">
        <v>3</v>
      </c>
      <c r="D24" s="196" t="str">
        <f>IF(Vloeronderhoud!$C24&gt;0,VLOOKUP(Vloeronderhoud!$C24,$A$8:$B$17,2,FALSE),"")</f>
        <v>Diepstrippen, sealen en conserveren</v>
      </c>
      <c r="E24" s="159" t="s">
        <v>112</v>
      </c>
      <c r="F24" s="155">
        <f>SUMIFS('Ruimtestaat'!$O:$O,'Ruimtestaat'!M:M,Vloeronderhoud!E24,'Ruimtestaat'!A:A,Vloeronderhoud!A24)</f>
        <v>5185</v>
      </c>
      <c r="G24" s="159">
        <v>0.25</v>
      </c>
      <c r="H24" s="197">
        <f>VLOOKUP(OverzichtVloer[[#This Row],[Code Taak]],InvulVloer[],3,3)*F24*G24</f>
        <v>0</v>
      </c>
    </row>
    <row r="25" spans="1:9" ht="15" customHeight="1">
      <c r="A25" s="195">
        <v>2</v>
      </c>
      <c r="B25" s="148" t="str">
        <f>VLOOKUP(OverzichtVloer[[#This Row],[Code Locatie]],Locaties[],2,0)</f>
        <v>RSG Slingerbos</v>
      </c>
      <c r="C25" s="195">
        <v>4</v>
      </c>
      <c r="D25" s="196" t="str">
        <f>IF(Vloeronderhoud!$C25&gt;0,VLOOKUP(Vloeronderhoud!$C25,$A$8:$B$17,2,FALSE),"")</f>
        <v>Tapijtreinigen, sproei-extractiemethode</v>
      </c>
      <c r="E25" s="159" t="s">
        <v>111</v>
      </c>
      <c r="F25" s="155">
        <f>SUMIFS('Ruimtestaat'!$O:$O,'Ruimtestaat'!M:M,Vloeronderhoud!E25,'Ruimtestaat'!A:A,Vloeronderhoud!A25)</f>
        <v>156.1</v>
      </c>
      <c r="G25" s="213">
        <v>1</v>
      </c>
      <c r="H25" s="197">
        <f>VLOOKUP(OverzichtVloer[[#This Row],[Code Taak]],InvulVloer[],3,3)*F25*G25</f>
        <v>0</v>
      </c>
    </row>
    <row r="26" spans="1:9" ht="15.75" customHeight="1">
      <c r="A26" s="195">
        <v>2</v>
      </c>
      <c r="B26" s="148" t="str">
        <f>VLOOKUP(OverzichtVloer[[#This Row],[Code Locatie]],Locaties[],2,0)</f>
        <v>RSG Slingerbos</v>
      </c>
      <c r="C26" s="195">
        <v>1</v>
      </c>
      <c r="D26" s="196" t="str">
        <f>IF(Vloeronderhoud!$C26&gt;0,VLOOKUP(Vloeronderhoud!$C26,$A$8:$B$17,2,FALSE),"")</f>
        <v>Sprayen/opblokken</v>
      </c>
      <c r="E26" s="159" t="s">
        <v>112</v>
      </c>
      <c r="F26" s="155">
        <f>SUMIFS('Ruimtestaat'!$O:$O,'Ruimtestaat'!M:M,Vloeronderhoud!E26,'Ruimtestaat'!A:A,Vloeronderhoud!A26)</f>
        <v>8280.899999999996</v>
      </c>
      <c r="G26" s="213">
        <v>1</v>
      </c>
      <c r="H26" s="197">
        <f>VLOOKUP(OverzichtVloer[[#This Row],[Code Taak]],InvulVloer[],3,3)*F26*G26</f>
        <v>0</v>
      </c>
    </row>
    <row r="27" spans="1:9" ht="15" customHeight="1">
      <c r="A27" s="195">
        <v>2</v>
      </c>
      <c r="B27" s="148" t="str">
        <f>VLOOKUP(OverzichtVloer[[#This Row],[Code Locatie]],Locaties[],2,0)</f>
        <v>RSG Slingerbos</v>
      </c>
      <c r="C27" s="195">
        <v>2</v>
      </c>
      <c r="D27" s="196" t="str">
        <f>IF(Vloeronderhoud!$C27&gt;0,VLOOKUP(Vloeronderhoud!$C27,$A$8:$B$17,2,FALSE),"")</f>
        <v>Topstrippen en conserveren</v>
      </c>
      <c r="E27" s="159" t="s">
        <v>112</v>
      </c>
      <c r="F27" s="155">
        <f>SUMIFS('Ruimtestaat'!$O:$O,'Ruimtestaat'!M:M,Vloeronderhoud!E27,'Ruimtestaat'!A:A,Vloeronderhoud!A27)</f>
        <v>8280.899999999996</v>
      </c>
      <c r="G27" s="213">
        <v>1</v>
      </c>
      <c r="H27" s="197">
        <f>VLOOKUP(OverzichtVloer[[#This Row],[Code Taak]],InvulVloer[],3,3)*F27*G27</f>
        <v>0</v>
      </c>
    </row>
    <row r="28" spans="1:9" ht="15" customHeight="1">
      <c r="A28" s="195">
        <v>2</v>
      </c>
      <c r="B28" s="148" t="str">
        <f>VLOOKUP(OverzichtVloer[[#This Row],[Code Locatie]],Locaties[],2,0)</f>
        <v>RSG Slingerbos</v>
      </c>
      <c r="C28" s="195">
        <v>3</v>
      </c>
      <c r="D28" s="196" t="str">
        <f>IF(Vloeronderhoud!$C28&gt;0,VLOOKUP(Vloeronderhoud!$C28,$A$8:$B$17,2,FALSE),"")</f>
        <v>Diepstrippen, sealen en conserveren</v>
      </c>
      <c r="E28" s="159" t="s">
        <v>112</v>
      </c>
      <c r="F28" s="155">
        <f>SUMIFS('Ruimtestaat'!$O:$O,'Ruimtestaat'!M:M,Vloeronderhoud!E28,'Ruimtestaat'!A:A,Vloeronderhoud!A28)</f>
        <v>8280.899999999996</v>
      </c>
      <c r="G28" s="159">
        <v>0.25</v>
      </c>
      <c r="H28" s="197">
        <f>VLOOKUP(OverzichtVloer[[#This Row],[Code Taak]],InvulVloer[],3,3)*F28*G28</f>
        <v>0</v>
      </c>
    </row>
    <row r="29" spans="1:9" ht="15" customHeight="1">
      <c r="A29" s="195">
        <v>3</v>
      </c>
      <c r="B29" s="148" t="str">
        <f>VLOOKUP(OverzichtVloer[[#This Row],[Code Locatie]],Locaties[],2,0)</f>
        <v>RSG N.O. Veluwe</v>
      </c>
      <c r="C29" s="195">
        <v>4</v>
      </c>
      <c r="D29" s="196" t="str">
        <f>IF(Vloeronderhoud!$C29&gt;0,VLOOKUP(Vloeronderhoud!$C29,$A$8:$B$17,2,FALSE),"")</f>
        <v>Tapijtreinigen, sproei-extractiemethode</v>
      </c>
      <c r="E29" s="159" t="s">
        <v>111</v>
      </c>
      <c r="F29" s="155">
        <f>SUMIFS('Ruimtestaat'!$O:$O,'Ruimtestaat'!M:M,Vloeronderhoud!E29,'Ruimtestaat'!A:A,Vloeronderhoud!A29)</f>
        <v>1085</v>
      </c>
      <c r="G29" s="213">
        <v>1</v>
      </c>
      <c r="H29" s="197">
        <f>VLOOKUP(OverzichtVloer[[#This Row],[Code Taak]],InvulVloer[],3,3)*F29*G29</f>
        <v>0</v>
      </c>
    </row>
    <row r="30" spans="1:9" ht="15.75" customHeight="1">
      <c r="A30" s="195">
        <v>3</v>
      </c>
      <c r="B30" s="148" t="str">
        <f>VLOOKUP(OverzichtVloer[[#This Row],[Code Locatie]],Locaties[],2,0)</f>
        <v>RSG N.O. Veluwe</v>
      </c>
      <c r="C30" s="195">
        <v>1</v>
      </c>
      <c r="D30" s="196" t="str">
        <f>IF(Vloeronderhoud!$C30&gt;0,VLOOKUP(Vloeronderhoud!$C30,$A$8:$B$17,2,FALSE),"")</f>
        <v>Sprayen/opblokken</v>
      </c>
      <c r="E30" s="159" t="s">
        <v>112</v>
      </c>
      <c r="F30" s="155">
        <f>SUMIFS('Ruimtestaat'!$O:$O,'Ruimtestaat'!M:M,Vloeronderhoud!E30,'Ruimtestaat'!A:A,Vloeronderhoud!A30)</f>
        <v>5756</v>
      </c>
      <c r="G30" s="213">
        <v>1</v>
      </c>
      <c r="H30" s="197">
        <f>VLOOKUP(OverzichtVloer[[#This Row],[Code Taak]],InvulVloer[],3,3)*F30*G30</f>
        <v>0</v>
      </c>
    </row>
    <row r="31" spans="1:9" ht="15" customHeight="1">
      <c r="A31" s="195">
        <v>3</v>
      </c>
      <c r="B31" s="148" t="str">
        <f>VLOOKUP(OverzichtVloer[[#This Row],[Code Locatie]],Locaties[],2,0)</f>
        <v>RSG N.O. Veluwe</v>
      </c>
      <c r="C31" s="195">
        <v>2</v>
      </c>
      <c r="D31" s="196" t="str">
        <f>IF(Vloeronderhoud!$C31&gt;0,VLOOKUP(Vloeronderhoud!$C31,$A$8:$B$17,2,FALSE),"")</f>
        <v>Topstrippen en conserveren</v>
      </c>
      <c r="E31" s="159" t="s">
        <v>112</v>
      </c>
      <c r="F31" s="155">
        <f>SUMIFS('Ruimtestaat'!$O:$O,'Ruimtestaat'!M:M,Vloeronderhoud!E31,'Ruimtestaat'!A:A,Vloeronderhoud!A31)</f>
        <v>5756</v>
      </c>
      <c r="G31" s="213">
        <v>1</v>
      </c>
      <c r="H31" s="197">
        <f>VLOOKUP(OverzichtVloer[[#This Row],[Code Taak]],InvulVloer[],3,3)*F31*G31</f>
        <v>0</v>
      </c>
    </row>
    <row r="32" spans="1:9" ht="15" customHeight="1">
      <c r="A32" s="195">
        <v>3</v>
      </c>
      <c r="B32" s="148" t="str">
        <f>VLOOKUP(OverzichtVloer[[#This Row],[Code Locatie]],Locaties[],2,0)</f>
        <v>RSG N.O. Veluwe</v>
      </c>
      <c r="C32" s="195">
        <v>3</v>
      </c>
      <c r="D32" s="196" t="str">
        <f>IF(Vloeronderhoud!$C32&gt;0,VLOOKUP(Vloeronderhoud!$C32,$A$8:$B$17,2,FALSE),"")</f>
        <v>Diepstrippen, sealen en conserveren</v>
      </c>
      <c r="E32" s="159" t="s">
        <v>112</v>
      </c>
      <c r="F32" s="155">
        <f>SUMIFS('Ruimtestaat'!$O:$O,'Ruimtestaat'!M:M,Vloeronderhoud!E32,'Ruimtestaat'!A:A,Vloeronderhoud!A32)</f>
        <v>5756</v>
      </c>
      <c r="G32" s="159">
        <v>0.25</v>
      </c>
      <c r="H32" s="197">
        <f>VLOOKUP(OverzichtVloer[[#This Row],[Code Taak]],InvulVloer[],3,3)*F32*G32</f>
        <v>0</v>
      </c>
    </row>
    <row r="33" spans="1:8" ht="15" customHeight="1">
      <c r="A33" s="166"/>
      <c r="B33" s="167" t="s">
        <v>33</v>
      </c>
      <c r="C33" s="166"/>
      <c r="D33" s="168"/>
      <c r="E33" s="166"/>
      <c r="F33" s="169"/>
      <c r="G33" s="166"/>
      <c r="H33" s="170">
        <f>SUBTOTAL(109,OverzichtVloer[Kosten/jaar excl. BTW])</f>
        <v>0</v>
      </c>
    </row>
    <row r="34" spans="1:8" ht="15" customHeight="1">
      <c r="A34" s="26"/>
      <c r="C34" s="24"/>
      <c r="D34" s="24"/>
      <c r="E34" s="24"/>
      <c r="F34" s="153"/>
      <c r="G34" s="33"/>
      <c r="H34" s="25"/>
    </row>
  </sheetData>
  <mergeCells count="2">
    <mergeCell ref="A1:H1"/>
    <mergeCell ref="A2:H2"/>
  </mergeCells>
  <pageMargins left="0.70866141732283472" right="0.70866141732283472" top="0.35433070866141736" bottom="0.47244094488188981" header="0.31496062992125984" footer="0.31496062992125984"/>
  <pageSetup paperSize="9" scale="61" fitToHeight="0" orientation="landscape" r:id="rId1"/>
  <headerFooter alignWithMargins="0">
    <oddFooter>&amp;L&amp;F&amp;C&amp;D&amp;R&amp;A</oddFooter>
  </headerFooter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D610-5BBF-4E6C-AB32-FE2F2C9AEFBC}">
  <sheetPr>
    <tabColor theme="0" tint="-0.14999847407452621"/>
  </sheetPr>
  <dimension ref="A1:I102"/>
  <sheetViews>
    <sheetView workbookViewId="0">
      <selection activeCell="E5" sqref="E5"/>
    </sheetView>
  </sheetViews>
  <sheetFormatPr defaultColWidth="9.140625" defaultRowHeight="11.25"/>
  <cols>
    <col min="1" max="1" width="11.5703125" style="23" customWidth="1"/>
    <col min="2" max="2" width="42.7109375" style="3" bestFit="1" customWidth="1"/>
    <col min="3" max="3" width="12.5703125" style="3" customWidth="1"/>
    <col min="4" max="4" width="42.7109375" style="23" bestFit="1" customWidth="1"/>
    <col min="5" max="5" width="19" style="3" customWidth="1"/>
    <col min="6" max="6" width="17.7109375" style="3" bestFit="1" customWidth="1"/>
    <col min="7" max="7" width="18.42578125" style="3" customWidth="1"/>
    <col min="8" max="8" width="17.5703125" style="3" customWidth="1"/>
    <col min="9" max="9" width="110.140625" style="3" bestFit="1" customWidth="1"/>
    <col min="10" max="16384" width="9.140625" style="3"/>
  </cols>
  <sheetData>
    <row r="1" spans="1:9" s="6" customFormat="1" ht="26.25" customHeight="1">
      <c r="A1" s="289" t="s">
        <v>413</v>
      </c>
      <c r="B1" s="289"/>
      <c r="C1" s="289"/>
      <c r="D1" s="289"/>
      <c r="E1" s="289"/>
      <c r="F1" s="289"/>
      <c r="G1" s="289"/>
      <c r="H1" s="289"/>
    </row>
    <row r="2" spans="1:9" s="6" customFormat="1" ht="15" customHeight="1">
      <c r="A2" s="305" t="s">
        <v>221</v>
      </c>
      <c r="B2" s="319"/>
      <c r="C2" s="319"/>
      <c r="D2" s="319"/>
      <c r="E2" s="319"/>
      <c r="F2" s="319"/>
      <c r="G2" s="319"/>
      <c r="H2" s="320"/>
    </row>
    <row r="3" spans="1:9" ht="15" customHeight="1">
      <c r="B3" s="23"/>
      <c r="D3" s="215"/>
      <c r="E3" s="216"/>
    </row>
    <row r="4" spans="1:9" ht="15" customHeight="1">
      <c r="A4" s="3" t="s">
        <v>180</v>
      </c>
      <c r="B4" s="23"/>
      <c r="D4" s="215"/>
      <c r="E4" s="215"/>
    </row>
    <row r="5" spans="1:9" ht="15" customHeight="1">
      <c r="A5" s="3" t="s">
        <v>256</v>
      </c>
      <c r="B5" s="23"/>
      <c r="D5" s="3"/>
    </row>
    <row r="6" spans="1:9" ht="15" customHeight="1">
      <c r="A6" s="3" t="s">
        <v>201</v>
      </c>
      <c r="B6" s="27"/>
      <c r="C6" s="27"/>
      <c r="D6" s="22"/>
      <c r="E6" s="22"/>
      <c r="F6" s="28"/>
      <c r="G6" s="28"/>
    </row>
    <row r="7" spans="1:9" ht="15" customHeight="1">
      <c r="A7" s="3"/>
      <c r="B7" s="27"/>
      <c r="C7" s="27"/>
      <c r="D7" s="22"/>
      <c r="E7" s="318" t="s">
        <v>266</v>
      </c>
      <c r="F7" s="318"/>
      <c r="G7" s="318"/>
      <c r="H7" s="318"/>
      <c r="I7" s="318"/>
    </row>
    <row r="8" spans="1:9" s="18" customFormat="1" ht="26.25" customHeight="1">
      <c r="A8" s="41" t="s">
        <v>414</v>
      </c>
      <c r="B8" s="42" t="s">
        <v>415</v>
      </c>
      <c r="C8" s="43" t="s">
        <v>178</v>
      </c>
      <c r="D8" s="41" t="s">
        <v>152</v>
      </c>
      <c r="E8" s="41" t="s">
        <v>263</v>
      </c>
      <c r="F8" s="41" t="s">
        <v>262</v>
      </c>
      <c r="G8" s="41" t="s">
        <v>261</v>
      </c>
      <c r="H8" s="41" t="s">
        <v>272</v>
      </c>
      <c r="I8" s="273" t="s">
        <v>1324</v>
      </c>
    </row>
    <row r="9" spans="1:9" ht="15" customHeight="1">
      <c r="A9" s="195">
        <v>1</v>
      </c>
      <c r="B9" s="217" t="s">
        <v>416</v>
      </c>
      <c r="C9" s="46">
        <v>0</v>
      </c>
      <c r="D9" s="148" t="s">
        <v>417</v>
      </c>
      <c r="E9" s="189" t="e">
        <f>(InvulGlas[[#This Row],[Prijs excl. BTW]]*Tariefsopbouw!$I$37)+InvulGlas[[#This Row],[Prijs excl. BTW]]</f>
        <v>#DIV/0!</v>
      </c>
      <c r="F9" s="189" t="e">
        <f>(InvulGlas[[#This Row],[2025]]*Tariefsopbouw!$K$37)+InvulGlas[[#This Row],[2025]]</f>
        <v>#DIV/0!</v>
      </c>
      <c r="G9" s="189" t="e">
        <f>(InvulGlas[[#This Row],[2026]]*Tariefsopbouw!$M$37)+InvulGlas[[#This Row],[2026]]</f>
        <v>#DIV/0!</v>
      </c>
      <c r="H9" s="189" t="e">
        <f>(InvulGlas[[#This Row],[2027]]*Tariefsopbouw!$O$37)+InvulGlas[[#This Row],[2027]]</f>
        <v>#DIV/0!</v>
      </c>
      <c r="I9" s="189" t="e">
        <f>(InvulGlas[[#This Row],[2028]]*Tariefsopbouw!$Q$37)+InvulGlas[[#This Row],[2028]]</f>
        <v>#DIV/0!</v>
      </c>
    </row>
    <row r="10" spans="1:9" ht="15" customHeight="1">
      <c r="A10" s="195">
        <v>2</v>
      </c>
      <c r="B10" s="217" t="s">
        <v>418</v>
      </c>
      <c r="C10" s="46">
        <v>0</v>
      </c>
      <c r="D10" s="148" t="s">
        <v>417</v>
      </c>
      <c r="E10" s="189" t="e">
        <f>(InvulGlas[[#This Row],[Prijs excl. BTW]]*Tariefsopbouw!$I$37)+InvulGlas[[#This Row],[Prijs excl. BTW]]</f>
        <v>#DIV/0!</v>
      </c>
      <c r="F10" s="189" t="e">
        <f>(InvulGlas[[#This Row],[2025]]*Tariefsopbouw!$K$37)+InvulGlas[[#This Row],[2025]]</f>
        <v>#DIV/0!</v>
      </c>
      <c r="G10" s="189" t="e">
        <f>(InvulGlas[[#This Row],[2026]]*Tariefsopbouw!$M$37)+InvulGlas[[#This Row],[2026]]</f>
        <v>#DIV/0!</v>
      </c>
      <c r="H10" s="189" t="e">
        <f>(InvulGlas[[#This Row],[2027]]*Tariefsopbouw!$O$37)+InvulGlas[[#This Row],[2027]]</f>
        <v>#DIV/0!</v>
      </c>
      <c r="I10" s="189" t="e">
        <f>(InvulGlas[[#This Row],[2028]]*Tariefsopbouw!$Q$37)+InvulGlas[[#This Row],[2028]]</f>
        <v>#DIV/0!</v>
      </c>
    </row>
    <row r="11" spans="1:9" ht="15" customHeight="1">
      <c r="A11" s="195">
        <v>3</v>
      </c>
      <c r="B11" s="217" t="s">
        <v>419</v>
      </c>
      <c r="C11" s="46">
        <v>0</v>
      </c>
      <c r="D11" s="148" t="s">
        <v>417</v>
      </c>
      <c r="E11" s="189" t="e">
        <f>(InvulGlas[[#This Row],[Prijs excl. BTW]]*Tariefsopbouw!$I$37)+InvulGlas[[#This Row],[Prijs excl. BTW]]</f>
        <v>#DIV/0!</v>
      </c>
      <c r="F11" s="189" t="e">
        <f>(InvulGlas[[#This Row],[2025]]*Tariefsopbouw!$K$37)+InvulGlas[[#This Row],[2025]]</f>
        <v>#DIV/0!</v>
      </c>
      <c r="G11" s="189" t="e">
        <f>(InvulGlas[[#This Row],[2026]]*Tariefsopbouw!$M$37)+InvulGlas[[#This Row],[2026]]</f>
        <v>#DIV/0!</v>
      </c>
      <c r="H11" s="189" t="e">
        <f>(InvulGlas[[#This Row],[2027]]*Tariefsopbouw!$O$37)+InvulGlas[[#This Row],[2027]]</f>
        <v>#DIV/0!</v>
      </c>
      <c r="I11" s="189" t="e">
        <f>(InvulGlas[[#This Row],[2028]]*Tariefsopbouw!$Q$37)+InvulGlas[[#This Row],[2028]]</f>
        <v>#DIV/0!</v>
      </c>
    </row>
    <row r="12" spans="1:9" ht="15" customHeight="1">
      <c r="A12" s="195">
        <v>4</v>
      </c>
      <c r="B12" s="217" t="s">
        <v>420</v>
      </c>
      <c r="C12" s="46">
        <v>0</v>
      </c>
      <c r="D12" s="148" t="s">
        <v>417</v>
      </c>
      <c r="E12" s="189" t="e">
        <f>(InvulGlas[[#This Row],[Prijs excl. BTW]]*Tariefsopbouw!$I$37)+InvulGlas[[#This Row],[Prijs excl. BTW]]</f>
        <v>#DIV/0!</v>
      </c>
      <c r="F12" s="189" t="e">
        <f>(InvulGlas[[#This Row],[2025]]*Tariefsopbouw!$K$37)+InvulGlas[[#This Row],[2025]]</f>
        <v>#DIV/0!</v>
      </c>
      <c r="G12" s="189" t="e">
        <f>(InvulGlas[[#This Row],[2026]]*Tariefsopbouw!$M$37)+InvulGlas[[#This Row],[2026]]</f>
        <v>#DIV/0!</v>
      </c>
      <c r="H12" s="189" t="e">
        <f>(InvulGlas[[#This Row],[2027]]*Tariefsopbouw!$O$37)+InvulGlas[[#This Row],[2027]]</f>
        <v>#DIV/0!</v>
      </c>
      <c r="I12" s="189" t="e">
        <f>(InvulGlas[[#This Row],[2028]]*Tariefsopbouw!$Q$37)+InvulGlas[[#This Row],[2028]]</f>
        <v>#DIV/0!</v>
      </c>
    </row>
    <row r="13" spans="1:9" ht="15" customHeight="1">
      <c r="A13" s="195">
        <v>5</v>
      </c>
      <c r="B13" s="217" t="s">
        <v>421</v>
      </c>
      <c r="C13" s="46">
        <v>0</v>
      </c>
      <c r="D13" s="148" t="s">
        <v>417</v>
      </c>
      <c r="E13" s="189" t="e">
        <f>(InvulGlas[[#This Row],[Prijs excl. BTW]]*Tariefsopbouw!$I$37)+InvulGlas[[#This Row],[Prijs excl. BTW]]</f>
        <v>#DIV/0!</v>
      </c>
      <c r="F13" s="189" t="e">
        <f>(InvulGlas[[#This Row],[2025]]*Tariefsopbouw!$K$37)+InvulGlas[[#This Row],[2025]]</f>
        <v>#DIV/0!</v>
      </c>
      <c r="G13" s="189" t="e">
        <f>(InvulGlas[[#This Row],[2026]]*Tariefsopbouw!$M$37)+InvulGlas[[#This Row],[2026]]</f>
        <v>#DIV/0!</v>
      </c>
      <c r="H13" s="189" t="e">
        <f>(InvulGlas[[#This Row],[2027]]*Tariefsopbouw!$O$37)+InvulGlas[[#This Row],[2027]]</f>
        <v>#DIV/0!</v>
      </c>
      <c r="I13" s="189" t="e">
        <f>(InvulGlas[[#This Row],[2028]]*Tariefsopbouw!$Q$37)+InvulGlas[[#This Row],[2028]]</f>
        <v>#DIV/0!</v>
      </c>
    </row>
    <row r="14" spans="1:9" ht="15" customHeight="1">
      <c r="A14" s="195">
        <v>6</v>
      </c>
      <c r="B14" s="217" t="s">
        <v>422</v>
      </c>
      <c r="C14" s="46">
        <v>0</v>
      </c>
      <c r="D14" s="148" t="s">
        <v>417</v>
      </c>
      <c r="E14" s="189" t="e">
        <f>(InvulGlas[[#This Row],[Prijs excl. BTW]]*Tariefsopbouw!$I$37)+InvulGlas[[#This Row],[Prijs excl. BTW]]</f>
        <v>#DIV/0!</v>
      </c>
      <c r="F14" s="189" t="e">
        <f>(InvulGlas[[#This Row],[2025]]*Tariefsopbouw!$K$37)+InvulGlas[[#This Row],[2025]]</f>
        <v>#DIV/0!</v>
      </c>
      <c r="G14" s="189" t="e">
        <f>(InvulGlas[[#This Row],[2026]]*Tariefsopbouw!$M$37)+InvulGlas[[#This Row],[2026]]</f>
        <v>#DIV/0!</v>
      </c>
      <c r="H14" s="189" t="e">
        <f>(InvulGlas[[#This Row],[2027]]*Tariefsopbouw!$O$37)+InvulGlas[[#This Row],[2027]]</f>
        <v>#DIV/0!</v>
      </c>
      <c r="I14" s="189" t="e">
        <f>(InvulGlas[[#This Row],[2028]]*Tariefsopbouw!$Q$37)+InvulGlas[[#This Row],[2028]]</f>
        <v>#DIV/0!</v>
      </c>
    </row>
    <row r="15" spans="1:9" ht="15" customHeight="1">
      <c r="A15" s="195">
        <v>7</v>
      </c>
      <c r="B15" s="217" t="s">
        <v>1311</v>
      </c>
      <c r="C15" s="46">
        <v>0</v>
      </c>
      <c r="D15" s="148" t="s">
        <v>417</v>
      </c>
      <c r="E15" s="189" t="e">
        <f>(InvulGlas[[#This Row],[Prijs excl. BTW]]*Tariefsopbouw!$I$37)+InvulGlas[[#This Row],[Prijs excl. BTW]]</f>
        <v>#DIV/0!</v>
      </c>
      <c r="F15" s="189" t="e">
        <f>(InvulGlas[[#This Row],[2025]]*Tariefsopbouw!$K$37)+InvulGlas[[#This Row],[2025]]</f>
        <v>#DIV/0!</v>
      </c>
      <c r="G15" s="189" t="e">
        <f>(InvulGlas[[#This Row],[2026]]*Tariefsopbouw!$M$37)+InvulGlas[[#This Row],[2026]]</f>
        <v>#DIV/0!</v>
      </c>
      <c r="H15" s="189" t="e">
        <f>(InvulGlas[[#This Row],[2027]]*Tariefsopbouw!$O$37)+InvulGlas[[#This Row],[2027]]</f>
        <v>#DIV/0!</v>
      </c>
      <c r="I15" s="189" t="e">
        <f>(InvulGlas[[#This Row],[2028]]*Tariefsopbouw!$Q$37)+InvulGlas[[#This Row],[2028]]</f>
        <v>#DIV/0!</v>
      </c>
    </row>
    <row r="16" spans="1:9" ht="15" customHeight="1">
      <c r="A16" s="195">
        <v>8</v>
      </c>
      <c r="B16" s="217" t="s">
        <v>1310</v>
      </c>
      <c r="C16" s="46">
        <v>0</v>
      </c>
      <c r="D16" s="148" t="s">
        <v>417</v>
      </c>
      <c r="E16" s="189" t="e">
        <f>(InvulGlas[[#This Row],[Prijs excl. BTW]]*Tariefsopbouw!$I$37)+InvulGlas[[#This Row],[Prijs excl. BTW]]</f>
        <v>#DIV/0!</v>
      </c>
      <c r="F16" s="189" t="e">
        <f>(InvulGlas[[#This Row],[2025]]*Tariefsopbouw!$K$37)+InvulGlas[[#This Row],[2025]]</f>
        <v>#DIV/0!</v>
      </c>
      <c r="G16" s="189" t="e">
        <f>(InvulGlas[[#This Row],[2026]]*Tariefsopbouw!$M$37)+InvulGlas[[#This Row],[2026]]</f>
        <v>#DIV/0!</v>
      </c>
      <c r="H16" s="189" t="e">
        <f>(InvulGlas[[#This Row],[2027]]*Tariefsopbouw!$O$37)+InvulGlas[[#This Row],[2027]]</f>
        <v>#DIV/0!</v>
      </c>
      <c r="I16" s="189" t="e">
        <f>(InvulGlas[[#This Row],[2028]]*Tariefsopbouw!$Q$37)+InvulGlas[[#This Row],[2028]]</f>
        <v>#DIV/0!</v>
      </c>
    </row>
    <row r="17" spans="1:9" ht="15" customHeight="1">
      <c r="A17" s="195">
        <v>9</v>
      </c>
      <c r="B17" s="217" t="s">
        <v>423</v>
      </c>
      <c r="C17" s="46">
        <v>0</v>
      </c>
      <c r="D17" s="148" t="s">
        <v>417</v>
      </c>
      <c r="E17" s="189" t="e">
        <f>(InvulGlas[[#This Row],[Prijs excl. BTW]]*Tariefsopbouw!$I$37)+InvulGlas[[#This Row],[Prijs excl. BTW]]</f>
        <v>#DIV/0!</v>
      </c>
      <c r="F17" s="189" t="e">
        <f>(InvulGlas[[#This Row],[2025]]*Tariefsopbouw!$K$37)+InvulGlas[[#This Row],[2025]]</f>
        <v>#DIV/0!</v>
      </c>
      <c r="G17" s="189" t="e">
        <f>(InvulGlas[[#This Row],[2026]]*Tariefsopbouw!$M$37)+InvulGlas[[#This Row],[2026]]</f>
        <v>#DIV/0!</v>
      </c>
      <c r="H17" s="189" t="e">
        <f>(InvulGlas[[#This Row],[2027]]*Tariefsopbouw!$O$37)+InvulGlas[[#This Row],[2027]]</f>
        <v>#DIV/0!</v>
      </c>
      <c r="I17" s="189" t="e">
        <f>(InvulGlas[[#This Row],[2028]]*Tariefsopbouw!$Q$37)+InvulGlas[[#This Row],[2028]]</f>
        <v>#DIV/0!</v>
      </c>
    </row>
    <row r="18" spans="1:9" ht="15" customHeight="1">
      <c r="A18" s="269" t="s">
        <v>1335</v>
      </c>
      <c r="B18" s="217" t="s">
        <v>1336</v>
      </c>
      <c r="C18" s="46">
        <v>0</v>
      </c>
      <c r="D18" s="148" t="s">
        <v>48</v>
      </c>
      <c r="E18" s="189" t="e">
        <f>(InvulGlas[[#This Row],[Prijs excl. BTW]]*Tariefsopbouw!$I$37)+InvulGlas[[#This Row],[Prijs excl. BTW]]</f>
        <v>#DIV/0!</v>
      </c>
      <c r="F18" s="189" t="e">
        <f>(InvulGlas[[#This Row],[2025]]*Tariefsopbouw!$K$37)+InvulGlas[[#This Row],[2025]]</f>
        <v>#DIV/0!</v>
      </c>
      <c r="G18" s="189" t="e">
        <f>(InvulGlas[[#This Row],[2026]]*Tariefsopbouw!$M$37)+InvulGlas[[#This Row],[2026]]</f>
        <v>#DIV/0!</v>
      </c>
      <c r="H18" s="189" t="e">
        <f>(InvulGlas[[#This Row],[2027]]*Tariefsopbouw!$O$37)+InvulGlas[[#This Row],[2027]]</f>
        <v>#DIV/0!</v>
      </c>
      <c r="I18" s="189" t="e">
        <f>(InvulGlas[[#This Row],[2028]]*Tariefsopbouw!$Q$37)+InvulGlas[[#This Row],[2028]]</f>
        <v>#DIV/0!</v>
      </c>
    </row>
    <row r="19" spans="1:9" ht="15" customHeight="1">
      <c r="A19" s="195" t="s">
        <v>424</v>
      </c>
      <c r="B19" s="217" t="s">
        <v>425</v>
      </c>
      <c r="C19" s="46">
        <v>0</v>
      </c>
      <c r="D19" s="148" t="s">
        <v>48</v>
      </c>
      <c r="E19" s="189" t="e">
        <f>(InvulGlas[[#This Row],[Prijs excl. BTW]]*Tariefsopbouw!$I$37)+InvulGlas[[#This Row],[Prijs excl. BTW]]</f>
        <v>#DIV/0!</v>
      </c>
      <c r="F19" s="189" t="e">
        <f>(InvulGlas[[#This Row],[2025]]*Tariefsopbouw!$K$37)+InvulGlas[[#This Row],[2025]]</f>
        <v>#DIV/0!</v>
      </c>
      <c r="G19" s="189" t="e">
        <f>(InvulGlas[[#This Row],[2026]]*Tariefsopbouw!$M$37)+InvulGlas[[#This Row],[2026]]</f>
        <v>#DIV/0!</v>
      </c>
      <c r="H19" s="189" t="e">
        <f>(InvulGlas[[#This Row],[2027]]*Tariefsopbouw!$O$37)+InvulGlas[[#This Row],[2027]]</f>
        <v>#DIV/0!</v>
      </c>
      <c r="I19" s="189" t="e">
        <f>(InvulGlas[[#This Row],[2028]]*Tariefsopbouw!$Q$37)+InvulGlas[[#This Row],[2028]]</f>
        <v>#DIV/0!</v>
      </c>
    </row>
    <row r="20" spans="1:9" ht="15" customHeight="1">
      <c r="A20" s="195" t="s">
        <v>426</v>
      </c>
      <c r="B20" s="217" t="s">
        <v>427</v>
      </c>
      <c r="C20" s="46">
        <v>0</v>
      </c>
      <c r="D20" s="148" t="s">
        <v>48</v>
      </c>
      <c r="E20" s="189" t="e">
        <f>(InvulGlas[[#This Row],[Prijs excl. BTW]]*Tariefsopbouw!$I$37)+InvulGlas[[#This Row],[Prijs excl. BTW]]</f>
        <v>#DIV/0!</v>
      </c>
      <c r="F20" s="189" t="e">
        <f>(InvulGlas[[#This Row],[2025]]*Tariefsopbouw!$K$37)+InvulGlas[[#This Row],[2025]]</f>
        <v>#DIV/0!</v>
      </c>
      <c r="G20" s="189" t="e">
        <f>(InvulGlas[[#This Row],[2026]]*Tariefsopbouw!$M$37)+InvulGlas[[#This Row],[2026]]</f>
        <v>#DIV/0!</v>
      </c>
      <c r="H20" s="189" t="e">
        <f>(InvulGlas[[#This Row],[2027]]*Tariefsopbouw!$O$37)+InvulGlas[[#This Row],[2027]]</f>
        <v>#DIV/0!</v>
      </c>
      <c r="I20" s="189" t="e">
        <f>(InvulGlas[[#This Row],[2028]]*Tariefsopbouw!$Q$37)+InvulGlas[[#This Row],[2028]]</f>
        <v>#DIV/0!</v>
      </c>
    </row>
    <row r="21" spans="1:9" ht="15" customHeight="1">
      <c r="A21" s="195" t="s">
        <v>428</v>
      </c>
      <c r="B21" s="217" t="s">
        <v>429</v>
      </c>
      <c r="C21" s="46">
        <v>0</v>
      </c>
      <c r="D21" s="148" t="s">
        <v>48</v>
      </c>
      <c r="E21" s="189" t="e">
        <f>(InvulGlas[[#This Row],[Prijs excl. BTW]]*Tariefsopbouw!$I$37)+InvulGlas[[#This Row],[Prijs excl. BTW]]</f>
        <v>#DIV/0!</v>
      </c>
      <c r="F21" s="189" t="e">
        <f>(InvulGlas[[#This Row],[2025]]*Tariefsopbouw!$K$37)+InvulGlas[[#This Row],[2025]]</f>
        <v>#DIV/0!</v>
      </c>
      <c r="G21" s="189" t="e">
        <f>(InvulGlas[[#This Row],[2026]]*Tariefsopbouw!$M$37)+InvulGlas[[#This Row],[2026]]</f>
        <v>#DIV/0!</v>
      </c>
      <c r="H21" s="189" t="e">
        <f>(InvulGlas[[#This Row],[2027]]*Tariefsopbouw!$O$37)+InvulGlas[[#This Row],[2027]]</f>
        <v>#DIV/0!</v>
      </c>
      <c r="I21" s="189" t="e">
        <f>(InvulGlas[[#This Row],[2028]]*Tariefsopbouw!$Q$37)+InvulGlas[[#This Row],[2028]]</f>
        <v>#DIV/0!</v>
      </c>
    </row>
    <row r="22" spans="1:9" ht="15" customHeight="1">
      <c r="A22" s="195" t="s">
        <v>430</v>
      </c>
      <c r="B22" s="217" t="s">
        <v>431</v>
      </c>
      <c r="C22" s="46">
        <v>0</v>
      </c>
      <c r="D22" s="148" t="s">
        <v>48</v>
      </c>
      <c r="E22" s="218" t="e">
        <f>(InvulGlas[[#This Row],[Prijs excl. BTW]]*Tariefsopbouw!$I$37)+InvulGlas[[#This Row],[Prijs excl. BTW]]</f>
        <v>#DIV/0!</v>
      </c>
      <c r="F22" s="218" t="e">
        <f>(InvulGlas[[#This Row],[2025]]*Tariefsopbouw!$K$37)+InvulGlas[[#This Row],[2025]]</f>
        <v>#DIV/0!</v>
      </c>
      <c r="G22" s="218" t="e">
        <f>(InvulGlas[[#This Row],[2026]]*Tariefsopbouw!$M$37)+InvulGlas[[#This Row],[2026]]</f>
        <v>#DIV/0!</v>
      </c>
      <c r="H22" s="189" t="e">
        <f>(InvulGlas[[#This Row],[2027]]*Tariefsopbouw!$O$37)+InvulGlas[[#This Row],[2027]]</f>
        <v>#DIV/0!</v>
      </c>
      <c r="I22" s="218" t="e">
        <f>(InvulGlas[[#This Row],[2028]]*Tariefsopbouw!$Q$37)+InvulGlas[[#This Row],[2028]]</f>
        <v>#DIV/0!</v>
      </c>
    </row>
    <row r="23" spans="1:9" ht="15" customHeight="1">
      <c r="C23" s="24"/>
      <c r="D23" s="24"/>
    </row>
    <row r="24" spans="1:9" s="223" customFormat="1" ht="26.25" customHeight="1">
      <c r="A24" s="219" t="s">
        <v>218</v>
      </c>
      <c r="B24" s="219" t="s">
        <v>150</v>
      </c>
      <c r="C24" s="219" t="s">
        <v>414</v>
      </c>
      <c r="D24" s="220" t="s">
        <v>415</v>
      </c>
      <c r="E24" s="220" t="s">
        <v>432</v>
      </c>
      <c r="F24" s="220" t="s">
        <v>433</v>
      </c>
      <c r="G24" s="221" t="s">
        <v>151</v>
      </c>
      <c r="H24" s="222" t="s">
        <v>434</v>
      </c>
      <c r="I24" s="274" t="s">
        <v>139</v>
      </c>
    </row>
    <row r="25" spans="1:9" ht="15" customHeight="1">
      <c r="A25" s="195">
        <v>1</v>
      </c>
      <c r="B25" s="60" t="str">
        <f>VLOOKUP(OverzichtGlas[[#This Row],[Code Locatie]],Samenvattingschoonmaak[[#All],[Code Locatie]:[Locatie]],2,FALSE)</f>
        <v>RSG Levant</v>
      </c>
      <c r="C25" s="195">
        <v>1</v>
      </c>
      <c r="D25" s="196" t="str">
        <f>IF(Glasbewassing!$C25&gt;0,VLOOKUP(Glasbewassing!$C25,$A$8:$B$22,2,FALSE),"Hier vult u de inzet van eventuele hoogwerkers in")</f>
        <v>Gevelglas binnenzijde</v>
      </c>
      <c r="E25" s="23">
        <v>1200</v>
      </c>
      <c r="F25" s="159">
        <v>2</v>
      </c>
      <c r="G25" s="197">
        <f>IF(C25&gt;0,VLOOKUP(OverzichtGlas[[#This Row],[Code taak]],InvulGlas[],3,0)*E25*F25,0)</f>
        <v>0</v>
      </c>
      <c r="H25" s="197">
        <f>OverzichtGlas[[#This Row],[Kosten/jaar excl. BTW]]*1.21</f>
        <v>0</v>
      </c>
      <c r="I25" s="195" t="s">
        <v>1340</v>
      </c>
    </row>
    <row r="26" spans="1:9" ht="15" customHeight="1">
      <c r="A26" s="195">
        <v>1</v>
      </c>
      <c r="B26" s="60" t="str">
        <f>VLOOKUP(OverzichtGlas[[#This Row],[Code Locatie]],Samenvattingschoonmaak[[#All],[Code Locatie]:[Locatie]],2,FALSE)</f>
        <v>RSG Levant</v>
      </c>
      <c r="C26" s="195">
        <v>2</v>
      </c>
      <c r="D26" s="196" t="str">
        <f>IF(Glasbewassing!$C26&gt;0,VLOOKUP(Glasbewassing!$C26,$A$8:$B$22,2,FALSE),"Hier vult u de inzet van eventuele hoogwerkers in")</f>
        <v>Gevelglas buitenzijde</v>
      </c>
      <c r="E26" s="23">
        <v>1200</v>
      </c>
      <c r="F26" s="159">
        <v>2</v>
      </c>
      <c r="G26" s="197">
        <f>IF(C26&gt;0,VLOOKUP(OverzichtGlas[[#This Row],[Code taak]],InvulGlas[],3,0)*E26*F26,0)</f>
        <v>0</v>
      </c>
      <c r="H26" s="197">
        <f>OverzichtGlas[[#This Row],[Kosten/jaar excl. BTW]]*1.21</f>
        <v>0</v>
      </c>
      <c r="I26" s="195" t="s">
        <v>1340</v>
      </c>
    </row>
    <row r="27" spans="1:9" ht="15" customHeight="1">
      <c r="A27" s="195">
        <v>1</v>
      </c>
      <c r="B27" s="60" t="str">
        <f>VLOOKUP(OverzichtGlas[[#This Row],[Code Locatie]],Samenvattingschoonmaak[[#All],[Code Locatie]:[Locatie]],2,FALSE)</f>
        <v>RSG Levant</v>
      </c>
      <c r="C27" s="195">
        <v>3</v>
      </c>
      <c r="D27" s="196" t="str">
        <f>IF(Glasbewassing!$C27&gt;0,VLOOKUP(Glasbewassing!$C27,$A$8:$B$22,2,FALSE),"Hier vult u de inzet van eventuele hoogwerkers in")</f>
        <v>Separatieglas (enkel gemeten, dubbel te wassen)</v>
      </c>
      <c r="E27" s="23">
        <v>650</v>
      </c>
      <c r="F27" s="159">
        <v>2</v>
      </c>
      <c r="G27" s="197">
        <f>IF(C27&gt;0,VLOOKUP(OverzichtGlas[[#This Row],[Code taak]],InvulGlas[],3,0)*E27*F27,0)</f>
        <v>0</v>
      </c>
      <c r="H27" s="197">
        <f>OverzichtGlas[[#This Row],[Kosten/jaar excl. BTW]]*1.21</f>
        <v>0</v>
      </c>
      <c r="I27" s="195" t="s">
        <v>1340</v>
      </c>
    </row>
    <row r="28" spans="1:9" ht="15" customHeight="1">
      <c r="A28" s="195">
        <v>1</v>
      </c>
      <c r="B28" s="60" t="str">
        <f>VLOOKUP(OverzichtGlas[[#This Row],[Code Locatie]],Samenvattingschoonmaak[[#All],[Code Locatie]:[Locatie]],2,FALSE)</f>
        <v>RSG Levant</v>
      </c>
      <c r="C28" s="195" t="s">
        <v>1335</v>
      </c>
      <c r="D28" s="196" t="str">
        <f>IF(Glasbewassing!$C28&gt;0,VLOOKUP(Glasbewassing!$C28,$A$8:$B$22,2,FALSE),"Hier vult u de inzet van eventuele hoogwerkers in")</f>
        <v>Tuckerpool</v>
      </c>
      <c r="E28" s="224"/>
      <c r="F28" s="159">
        <v>1</v>
      </c>
      <c r="G28" s="197">
        <f>IF(C28&gt;0,VLOOKUP(OverzichtGlas[[#This Row],[Code taak]],InvulGlas[],3,0)*E28*F28,0)</f>
        <v>0</v>
      </c>
      <c r="H28" s="197">
        <f>OverzichtGlas[[#This Row],[Kosten/jaar excl. BTW]]*1.21</f>
        <v>0</v>
      </c>
      <c r="I28" s="195"/>
    </row>
    <row r="29" spans="1:9" ht="15" customHeight="1">
      <c r="A29" s="195">
        <v>1</v>
      </c>
      <c r="B29" s="60" t="str">
        <f>VLOOKUP(OverzichtGlas[[#This Row],[Code Locatie]],Samenvattingschoonmaak[[#All],[Code Locatie]:[Locatie]],2,FALSE)</f>
        <v>RSG Levant</v>
      </c>
      <c r="C29" s="224"/>
      <c r="D29" s="196" t="str">
        <f>IF(Glasbewassing!$C29&gt;0,VLOOKUP(Glasbewassing!$C29,$A$8:$B$22,2,FALSE),"Hier vult u de inzet van eventuele hoogwerkers in")</f>
        <v>Hier vult u de inzet van eventuele hoogwerkers in</v>
      </c>
      <c r="E29" s="224"/>
      <c r="F29" s="159">
        <v>1</v>
      </c>
      <c r="G29" s="197">
        <f>IF(C29&gt;0,VLOOKUP(OverzichtGlas[[#This Row],[Code taak]],InvulGlas[],3,0)*E29*F29,0)</f>
        <v>0</v>
      </c>
      <c r="H29" s="197">
        <f>OverzichtGlas[[#This Row],[Kosten/jaar excl. BTW]]*1.21</f>
        <v>0</v>
      </c>
      <c r="I29" s="195"/>
    </row>
    <row r="30" spans="1:9" ht="15" customHeight="1">
      <c r="A30" s="195">
        <v>2</v>
      </c>
      <c r="B30" s="60" t="str">
        <f>VLOOKUP(OverzichtGlas[[#This Row],[Code Locatie]],Samenvattingschoonmaak[[#All],[Code Locatie]:[Locatie]],2,FALSE)</f>
        <v>RSG Slingerbos</v>
      </c>
      <c r="C30" s="195">
        <v>1</v>
      </c>
      <c r="D30" s="196" t="str">
        <f>IF(Glasbewassing!$C30&gt;0,VLOOKUP(Glasbewassing!$C30,$A$8:$B$22,2,FALSE),"Hier vult u de inzet van eventuele hoogwerkers in")</f>
        <v>Gevelglas binnenzijde</v>
      </c>
      <c r="E30" s="23">
        <v>2000</v>
      </c>
      <c r="F30" s="159">
        <v>2</v>
      </c>
      <c r="G30" s="197">
        <f>IF(C30&gt;0,VLOOKUP(OverzichtGlas[[#This Row],[Code taak]],InvulGlas[],3,0)*E30*F30,0)</f>
        <v>0</v>
      </c>
      <c r="H30" s="197">
        <f>OverzichtGlas[[#This Row],[Kosten/jaar excl. BTW]]*1.21</f>
        <v>0</v>
      </c>
      <c r="I30" s="195" t="s">
        <v>1340</v>
      </c>
    </row>
    <row r="31" spans="1:9" ht="15" customHeight="1">
      <c r="A31" s="195">
        <v>2</v>
      </c>
      <c r="B31" s="60" t="str">
        <f>VLOOKUP(OverzichtGlas[[#This Row],[Code Locatie]],Samenvattingschoonmaak[[#All],[Code Locatie]:[Locatie]],2,FALSE)</f>
        <v>RSG Slingerbos</v>
      </c>
      <c r="C31" s="195">
        <v>2</v>
      </c>
      <c r="D31" s="196" t="str">
        <f>IF(Glasbewassing!$C31&gt;0,VLOOKUP(Glasbewassing!$C31,$A$8:$B$22,2,FALSE),"Hier vult u de inzet van eventuele hoogwerkers in")</f>
        <v>Gevelglas buitenzijde</v>
      </c>
      <c r="E31" s="23">
        <v>2000</v>
      </c>
      <c r="F31" s="159">
        <v>2</v>
      </c>
      <c r="G31" s="197">
        <f>IF(C31&gt;0,VLOOKUP(OverzichtGlas[[#This Row],[Code taak]],InvulGlas[],3,0)*E31*F31,0)</f>
        <v>0</v>
      </c>
      <c r="H31" s="197">
        <f>OverzichtGlas[[#This Row],[Kosten/jaar excl. BTW]]*1.21</f>
        <v>0</v>
      </c>
      <c r="I31" s="195" t="s">
        <v>1340</v>
      </c>
    </row>
    <row r="32" spans="1:9" ht="15" customHeight="1">
      <c r="A32" s="195">
        <v>2</v>
      </c>
      <c r="B32" s="60" t="str">
        <f>VLOOKUP(OverzichtGlas[[#This Row],[Code Locatie]],Samenvattingschoonmaak[[#All],[Code Locatie]:[Locatie]],2,FALSE)</f>
        <v>RSG Slingerbos</v>
      </c>
      <c r="C32" s="195">
        <v>3</v>
      </c>
      <c r="D32" s="196" t="str">
        <f>IF(Glasbewassing!$C32&gt;0,VLOOKUP(Glasbewassing!$C32,$A$8:$B$22,2,FALSE),"Hier vult u de inzet van eventuele hoogwerkers in")</f>
        <v>Separatieglas (enkel gemeten, dubbel te wassen)</v>
      </c>
      <c r="E32" s="23">
        <v>1000</v>
      </c>
      <c r="F32" s="159">
        <v>2</v>
      </c>
      <c r="G32" s="197">
        <f>IF(C32&gt;0,VLOOKUP(OverzichtGlas[[#This Row],[Code taak]],InvulGlas[],3,0)*E32*F32,0)</f>
        <v>0</v>
      </c>
      <c r="H32" s="197">
        <f>OverzichtGlas[[#This Row],[Kosten/jaar excl. BTW]]*1.21</f>
        <v>0</v>
      </c>
      <c r="I32" s="195" t="s">
        <v>1340</v>
      </c>
    </row>
    <row r="33" spans="1:9" ht="15" customHeight="1">
      <c r="A33" s="195">
        <v>2</v>
      </c>
      <c r="B33" s="60" t="str">
        <f>VLOOKUP(OverzichtGlas[[#This Row],[Code Locatie]],Samenvattingschoonmaak[[#All],[Code Locatie]:[Locatie]],2,FALSE)</f>
        <v>RSG Slingerbos</v>
      </c>
      <c r="C33" s="195" t="s">
        <v>1335</v>
      </c>
      <c r="D33" s="196" t="str">
        <f>IF(Glasbewassing!$C33&gt;0,VLOOKUP(Glasbewassing!$C33,$A$8:$B$22,2,FALSE),"Hier vult u de inzet van eventuele hoogwerkers in")</f>
        <v>Tuckerpool</v>
      </c>
      <c r="E33" s="224"/>
      <c r="F33" s="159">
        <v>1</v>
      </c>
      <c r="G33" s="197">
        <f>IF(C33&gt;0,VLOOKUP(OverzichtGlas[[#This Row],[Code taak]],InvulGlas[],3,0)*E33*F33,0)</f>
        <v>0</v>
      </c>
      <c r="H33" s="197">
        <f>OverzichtGlas[[#This Row],[Kosten/jaar excl. BTW]]*1.21</f>
        <v>0</v>
      </c>
      <c r="I33" s="195"/>
    </row>
    <row r="34" spans="1:9" ht="15" customHeight="1">
      <c r="A34" s="195">
        <v>2</v>
      </c>
      <c r="B34" s="60" t="str">
        <f>VLOOKUP(OverzichtGlas[[#This Row],[Code Locatie]],Samenvattingschoonmaak[[#All],[Code Locatie]:[Locatie]],2,FALSE)</f>
        <v>RSG Slingerbos</v>
      </c>
      <c r="C34" s="224"/>
      <c r="D34" s="196" t="str">
        <f>IF(Glasbewassing!$C34&gt;0,VLOOKUP(Glasbewassing!$C34,$A$8:$B$22,2,FALSE),"Hier vult u de inzet van eventuele hoogwerkers in")</f>
        <v>Hier vult u de inzet van eventuele hoogwerkers in</v>
      </c>
      <c r="E34" s="224"/>
      <c r="F34" s="159">
        <v>1</v>
      </c>
      <c r="G34" s="197">
        <f>IF(C34&gt;0,VLOOKUP(OverzichtGlas[[#This Row],[Code taak]],InvulGlas[],3,0)*E34*F34,0)</f>
        <v>0</v>
      </c>
      <c r="H34" s="197">
        <f>OverzichtGlas[[#This Row],[Kosten/jaar excl. BTW]]*1.21</f>
        <v>0</v>
      </c>
      <c r="I34" s="195"/>
    </row>
    <row r="35" spans="1:9" ht="15" customHeight="1">
      <c r="A35" s="195">
        <v>3</v>
      </c>
      <c r="B35" s="60" t="str">
        <f>VLOOKUP(OverzichtGlas[[#This Row],[Code Locatie]],Samenvattingschoonmaak[[#All],[Code Locatie]:[Locatie]],2,FALSE)</f>
        <v>RSG N.O. Veluwe</v>
      </c>
      <c r="C35" s="195">
        <v>1</v>
      </c>
      <c r="D35" s="196" t="str">
        <f>IF(Glasbewassing!$C35&gt;0,VLOOKUP(Glasbewassing!$C35,$A$8:$B$22,2,FALSE),"Hier vult u de inzet van eventuele hoogwerkers in")</f>
        <v>Gevelglas binnenzijde</v>
      </c>
      <c r="E35" s="23">
        <v>1027</v>
      </c>
      <c r="F35" s="159">
        <v>2</v>
      </c>
      <c r="G35" s="197">
        <f>IF(C35&gt;0,VLOOKUP(OverzichtGlas[[#This Row],[Code taak]],InvulGlas[],3,0)*E35*F35,0)</f>
        <v>0</v>
      </c>
      <c r="H35" s="197">
        <f>OverzichtGlas[[#This Row],[Kosten/jaar excl. BTW]]*1.21</f>
        <v>0</v>
      </c>
      <c r="I35" s="195"/>
    </row>
    <row r="36" spans="1:9" ht="15" customHeight="1">
      <c r="A36" s="195">
        <v>3</v>
      </c>
      <c r="B36" s="60" t="str">
        <f>VLOOKUP(OverzichtGlas[[#This Row],[Code Locatie]],Samenvattingschoonmaak[[#All],[Code Locatie]:[Locatie]],2,FALSE)</f>
        <v>RSG N.O. Veluwe</v>
      </c>
      <c r="C36" s="195">
        <v>2</v>
      </c>
      <c r="D36" s="196" t="str">
        <f>IF(Glasbewassing!$C36&gt;0,VLOOKUP(Glasbewassing!$C36,$A$8:$B$22,2,FALSE),"Hier vult u de inzet van eventuele hoogwerkers in")</f>
        <v>Gevelglas buitenzijde</v>
      </c>
      <c r="E36" s="23">
        <v>1027</v>
      </c>
      <c r="F36" s="159">
        <v>2</v>
      </c>
      <c r="G36" s="197">
        <f>IF(C36&gt;0,VLOOKUP(OverzichtGlas[[#This Row],[Code taak]],InvulGlas[],3,0)*E36*F36,0)</f>
        <v>0</v>
      </c>
      <c r="H36" s="197">
        <f>OverzichtGlas[[#This Row],[Kosten/jaar excl. BTW]]*1.21</f>
        <v>0</v>
      </c>
      <c r="I36" s="195"/>
    </row>
    <row r="37" spans="1:9" ht="15" customHeight="1">
      <c r="A37" s="195">
        <v>3</v>
      </c>
      <c r="B37" s="60" t="str">
        <f>VLOOKUP(OverzichtGlas[[#This Row],[Code Locatie]],Samenvattingschoonmaak[[#All],[Code Locatie]:[Locatie]],2,FALSE)</f>
        <v>RSG N.O. Veluwe</v>
      </c>
      <c r="C37" s="195">
        <v>3</v>
      </c>
      <c r="D37" s="196" t="str">
        <f>IF(Glasbewassing!$C37&gt;0,VLOOKUP(Glasbewassing!$C37,$A$8:$B$22,2,FALSE),"Hier vult u de inzet van eventuele hoogwerkers in")</f>
        <v>Separatieglas (enkel gemeten, dubbel te wassen)</v>
      </c>
      <c r="E37" s="23">
        <v>580</v>
      </c>
      <c r="F37" s="159">
        <v>2</v>
      </c>
      <c r="G37" s="197">
        <f>IF(C37&gt;0,VLOOKUP(OverzichtGlas[[#This Row],[Code taak]],InvulGlas[],3,0)*E37*F37,0)</f>
        <v>0</v>
      </c>
      <c r="H37" s="197">
        <f>OverzichtGlas[[#This Row],[Kosten/jaar excl. BTW]]*1.21</f>
        <v>0</v>
      </c>
      <c r="I37" s="195"/>
    </row>
    <row r="38" spans="1:9" ht="15" customHeight="1">
      <c r="A38" s="195">
        <v>3</v>
      </c>
      <c r="B38" s="60" t="str">
        <f>VLOOKUP(OverzichtGlas[[#This Row],[Code Locatie]],Samenvattingschoonmaak[[#All],[Code Locatie]:[Locatie]],2,FALSE)</f>
        <v>RSG N.O. Veluwe</v>
      </c>
      <c r="C38" s="195">
        <v>7</v>
      </c>
      <c r="D38" s="196" t="str">
        <f>IF(Glasbewassing!$C38&gt;0,VLOOKUP(Glasbewassing!$C38,$A$8:$B$22,2,FALSE),"Hier vult u de inzet van eventuele hoogwerkers in")</f>
        <v>separatieglas branddeuren dubbelzijdig</v>
      </c>
      <c r="E38" s="23">
        <v>232</v>
      </c>
      <c r="F38" s="159">
        <v>4</v>
      </c>
      <c r="G38" s="197">
        <f>IF(C38&gt;0,VLOOKUP(OverzichtGlas[[#This Row],[Code taak]],InvulGlas[],3,0)*E38*F38,0)</f>
        <v>0</v>
      </c>
      <c r="H38" s="197">
        <f>OverzichtGlas[[#This Row],[Kosten/jaar excl. BTW]]*1.21</f>
        <v>0</v>
      </c>
      <c r="I38" s="195"/>
    </row>
    <row r="39" spans="1:9" ht="15" customHeight="1">
      <c r="A39" s="195">
        <v>3</v>
      </c>
      <c r="B39" s="60" t="str">
        <f>VLOOKUP(OverzichtGlas[[#This Row],[Code Locatie]],Samenvattingschoonmaak[[#All],[Code Locatie]:[Locatie]],2,FALSE)</f>
        <v>RSG N.O. Veluwe</v>
      </c>
      <c r="C39" s="195">
        <v>8</v>
      </c>
      <c r="D39" s="196" t="str">
        <f>IF(Glasbewassing!$C39&gt;0,VLOOKUP(Glasbewassing!$C39,$A$8:$B$22,2,FALSE),"Hier vult u de inzet van eventuele hoogwerkers in")</f>
        <v>gevelglas patio dubbelzijdig</v>
      </c>
      <c r="E39" s="23">
        <v>322</v>
      </c>
      <c r="F39" s="159">
        <v>2</v>
      </c>
      <c r="G39" s="197">
        <f>IF(C39&gt;0,VLOOKUP(OverzichtGlas[[#This Row],[Code taak]],InvulGlas[],3,0)*E39*F39,0)</f>
        <v>0</v>
      </c>
      <c r="H39" s="197">
        <f>OverzichtGlas[[#This Row],[Kosten/jaar excl. BTW]]*1.21</f>
        <v>0</v>
      </c>
      <c r="I39" s="195"/>
    </row>
    <row r="40" spans="1:9" ht="15.75" customHeight="1">
      <c r="A40" s="195">
        <v>3</v>
      </c>
      <c r="B40" s="60" t="str">
        <f>VLOOKUP(OverzichtGlas[[#This Row],[Code Locatie]],Samenvattingschoonmaak[[#All],[Code Locatie]:[Locatie]],2,FALSE)</f>
        <v>RSG N.O. Veluwe</v>
      </c>
      <c r="C40" s="195" t="s">
        <v>1335</v>
      </c>
      <c r="D40" s="196" t="str">
        <f>IF(Glasbewassing!$C40&gt;0,VLOOKUP(Glasbewassing!$C40,$A$8:$B$22,2,FALSE),"Hier vult u de inzet van eventuele hoogwerkers in")</f>
        <v>Tuckerpool</v>
      </c>
      <c r="E40" s="224"/>
      <c r="F40" s="159">
        <v>1</v>
      </c>
      <c r="G40" s="197">
        <f>IF(C40&gt;0,VLOOKUP(OverzichtGlas[[#This Row],[Code taak]],InvulGlas[],3,0)*E40*F40,0)</f>
        <v>0</v>
      </c>
      <c r="H40" s="197">
        <f>OverzichtGlas[[#This Row],[Kosten/jaar excl. BTW]]*1.21</f>
        <v>0</v>
      </c>
      <c r="I40" s="195"/>
    </row>
    <row r="41" spans="1:9" ht="15" customHeight="1">
      <c r="A41" s="195">
        <v>3</v>
      </c>
      <c r="B41" s="60" t="str">
        <f>VLOOKUP(OverzichtGlas[[#This Row],[Code Locatie]],Samenvattingschoonmaak[[#All],[Code Locatie]:[Locatie]],2,FALSE)</f>
        <v>RSG N.O. Veluwe</v>
      </c>
      <c r="C41" s="224"/>
      <c r="D41" s="196" t="str">
        <f>IF(Glasbewassing!$C41&gt;0,VLOOKUP(Glasbewassing!$C41,$A$8:$B$22,2,FALSE),"Hier vult u de inzet van eventuele hoogwerkers in")</f>
        <v>Hier vult u de inzet van eventuele hoogwerkers in</v>
      </c>
      <c r="E41" s="224"/>
      <c r="F41" s="159">
        <v>1</v>
      </c>
      <c r="G41" s="197">
        <f>IF(C41&gt;0,VLOOKUP(OverzichtGlas[[#This Row],[Code taak]],InvulGlas[],3,0)*E41*F41,0)</f>
        <v>0</v>
      </c>
      <c r="H41" s="197">
        <f>OverzichtGlas[[#This Row],[Kosten/jaar excl. BTW]]*1.21</f>
        <v>0</v>
      </c>
      <c r="I41" s="195"/>
    </row>
    <row r="42" spans="1:9" ht="15" customHeight="1">
      <c r="A42" s="225" t="s">
        <v>33</v>
      </c>
      <c r="B42" s="226"/>
      <c r="C42" s="225"/>
      <c r="D42" s="227"/>
      <c r="E42" s="225"/>
      <c r="F42" s="225"/>
      <c r="G42" s="228">
        <f>SUBTOTAL(109,OverzichtGlas[Kosten/jaar excl. BTW])</f>
        <v>0</v>
      </c>
      <c r="H42" s="228">
        <f>SUBTOTAL(109,OverzichtGlas[Kosten/jaar incl. BTW])</f>
        <v>0</v>
      </c>
      <c r="I42" s="225"/>
    </row>
    <row r="43" spans="1:9" ht="15" customHeight="1">
      <c r="C43" s="23"/>
      <c r="D43" s="3"/>
    </row>
    <row r="44" spans="1:9" ht="15" customHeight="1">
      <c r="C44" s="23"/>
      <c r="D44" s="3"/>
    </row>
    <row r="45" spans="1:9" ht="15" customHeight="1">
      <c r="C45" s="23"/>
      <c r="D45" s="3"/>
    </row>
    <row r="46" spans="1:9" ht="15" customHeight="1">
      <c r="C46" s="23"/>
      <c r="D46" s="3"/>
    </row>
    <row r="47" spans="1:9" ht="15" customHeight="1">
      <c r="C47" s="23"/>
      <c r="D47" s="3"/>
    </row>
    <row r="48" spans="1:9" ht="15" customHeight="1">
      <c r="C48" s="23"/>
      <c r="D48" s="3"/>
    </row>
    <row r="49" spans="3:4" ht="15" customHeight="1">
      <c r="C49" s="23"/>
      <c r="D49" s="3"/>
    </row>
    <row r="50" spans="3:4" ht="15" customHeight="1">
      <c r="C50" s="23"/>
      <c r="D50" s="3"/>
    </row>
    <row r="51" spans="3:4" ht="15" customHeight="1">
      <c r="C51" s="23"/>
      <c r="D51" s="3"/>
    </row>
    <row r="52" spans="3:4" ht="15" customHeight="1">
      <c r="C52" s="23"/>
      <c r="D52" s="3"/>
    </row>
    <row r="53" spans="3:4" ht="15" customHeight="1">
      <c r="C53" s="23"/>
      <c r="D53" s="3"/>
    </row>
    <row r="54" spans="3:4" ht="15" customHeight="1">
      <c r="C54" s="23"/>
      <c r="D54" s="3"/>
    </row>
    <row r="55" spans="3:4" ht="15" customHeight="1">
      <c r="C55" s="23"/>
      <c r="D55" s="3"/>
    </row>
    <row r="56" spans="3:4" ht="15" customHeight="1">
      <c r="C56" s="23"/>
      <c r="D56" s="3"/>
    </row>
    <row r="57" spans="3:4" ht="15" customHeight="1">
      <c r="C57" s="23"/>
      <c r="D57" s="3"/>
    </row>
    <row r="58" spans="3:4" ht="15" customHeight="1">
      <c r="C58" s="23"/>
      <c r="D58" s="3"/>
    </row>
    <row r="59" spans="3:4" ht="15" customHeight="1">
      <c r="C59" s="23"/>
      <c r="D59" s="3"/>
    </row>
    <row r="60" spans="3:4" ht="15" customHeight="1">
      <c r="C60" s="23"/>
      <c r="D60" s="3"/>
    </row>
    <row r="61" spans="3:4" ht="15" customHeight="1">
      <c r="C61" s="23"/>
      <c r="D61" s="3"/>
    </row>
    <row r="62" spans="3:4" ht="15" customHeight="1">
      <c r="C62" s="23"/>
      <c r="D62" s="3"/>
    </row>
    <row r="63" spans="3:4" ht="15" customHeight="1">
      <c r="C63" s="23"/>
      <c r="D63" s="3"/>
    </row>
    <row r="64" spans="3:4" ht="15" customHeight="1">
      <c r="C64" s="23"/>
      <c r="D64" s="3"/>
    </row>
    <row r="65" spans="3:4" ht="15" customHeight="1">
      <c r="C65" s="23"/>
      <c r="D65" s="3"/>
    </row>
    <row r="66" spans="3:4" ht="15" customHeight="1">
      <c r="C66" s="23"/>
      <c r="D66" s="3"/>
    </row>
    <row r="67" spans="3:4" ht="15" customHeight="1">
      <c r="C67" s="23"/>
      <c r="D67" s="3"/>
    </row>
    <row r="68" spans="3:4" ht="15" customHeight="1">
      <c r="C68" s="23"/>
      <c r="D68" s="3"/>
    </row>
    <row r="69" spans="3:4" ht="15" customHeight="1">
      <c r="C69" s="23"/>
      <c r="D69" s="3"/>
    </row>
    <row r="70" spans="3:4" ht="15" customHeight="1">
      <c r="C70" s="23"/>
      <c r="D70" s="3"/>
    </row>
    <row r="71" spans="3:4" ht="15" customHeight="1">
      <c r="C71" s="23"/>
      <c r="D71" s="3"/>
    </row>
    <row r="72" spans="3:4" ht="15" customHeight="1">
      <c r="C72" s="23"/>
      <c r="D72" s="3"/>
    </row>
    <row r="73" spans="3:4" ht="15" customHeight="1">
      <c r="C73" s="23"/>
      <c r="D73" s="3"/>
    </row>
    <row r="74" spans="3:4" ht="15" customHeight="1">
      <c r="C74" s="23"/>
      <c r="D74" s="3"/>
    </row>
    <row r="75" spans="3:4" ht="15" customHeight="1">
      <c r="C75" s="23"/>
      <c r="D75" s="3"/>
    </row>
    <row r="76" spans="3:4" ht="15" customHeight="1">
      <c r="C76" s="23"/>
      <c r="D76" s="3"/>
    </row>
    <row r="77" spans="3:4" ht="15" customHeight="1">
      <c r="C77" s="23"/>
      <c r="D77" s="3"/>
    </row>
    <row r="78" spans="3:4" ht="15" customHeight="1">
      <c r="C78" s="23"/>
      <c r="D78" s="3"/>
    </row>
    <row r="79" spans="3:4" ht="15" customHeight="1">
      <c r="C79" s="23"/>
      <c r="D79" s="3"/>
    </row>
    <row r="80" spans="3:4" ht="15" customHeight="1">
      <c r="C80" s="23"/>
      <c r="D80" s="3"/>
    </row>
    <row r="81" spans="3:4" ht="15" customHeight="1">
      <c r="C81" s="23"/>
      <c r="D81" s="3"/>
    </row>
    <row r="82" spans="3:4" ht="15" customHeight="1">
      <c r="C82" s="23"/>
      <c r="D82" s="3"/>
    </row>
    <row r="83" spans="3:4" ht="15" customHeight="1">
      <c r="C83" s="23"/>
      <c r="D83" s="3"/>
    </row>
    <row r="84" spans="3:4" ht="15" customHeight="1">
      <c r="C84" s="23"/>
      <c r="D84" s="3"/>
    </row>
    <row r="85" spans="3:4" ht="15" customHeight="1">
      <c r="C85" s="23"/>
      <c r="D85" s="3"/>
    </row>
    <row r="86" spans="3:4" ht="15" customHeight="1">
      <c r="C86" s="23"/>
      <c r="D86" s="3"/>
    </row>
    <row r="87" spans="3:4" ht="15" customHeight="1">
      <c r="C87" s="23"/>
      <c r="D87" s="3"/>
    </row>
    <row r="88" spans="3:4" ht="15" customHeight="1">
      <c r="C88" s="23"/>
      <c r="D88" s="3"/>
    </row>
    <row r="89" spans="3:4" ht="15" customHeight="1">
      <c r="C89" s="23"/>
      <c r="D89" s="3"/>
    </row>
    <row r="90" spans="3:4" ht="15" customHeight="1">
      <c r="C90" s="23"/>
      <c r="D90" s="3"/>
    </row>
    <row r="91" spans="3:4" ht="15" customHeight="1">
      <c r="C91" s="23"/>
      <c r="D91" s="3"/>
    </row>
    <row r="92" spans="3:4" ht="15" customHeight="1">
      <c r="C92" s="23"/>
      <c r="D92" s="3"/>
    </row>
    <row r="93" spans="3:4" ht="15" customHeight="1">
      <c r="C93" s="23"/>
      <c r="D93" s="3"/>
    </row>
    <row r="94" spans="3:4" ht="15" customHeight="1">
      <c r="C94" s="23"/>
      <c r="D94" s="3"/>
    </row>
    <row r="95" spans="3:4" ht="15" customHeight="1">
      <c r="C95" s="23"/>
      <c r="D95" s="3"/>
    </row>
    <row r="96" spans="3:4" ht="15" customHeight="1">
      <c r="C96" s="23"/>
      <c r="D96" s="3"/>
    </row>
    <row r="97" spans="3:4" ht="15" customHeight="1">
      <c r="C97" s="23"/>
      <c r="D97" s="3"/>
    </row>
    <row r="98" spans="3:4" ht="15" customHeight="1">
      <c r="C98" s="23"/>
      <c r="D98" s="3"/>
    </row>
    <row r="99" spans="3:4" ht="15" customHeight="1">
      <c r="C99" s="23"/>
      <c r="D99" s="3"/>
    </row>
    <row r="100" spans="3:4" ht="15" customHeight="1">
      <c r="C100" s="23"/>
      <c r="D100" s="3"/>
    </row>
    <row r="101" spans="3:4" ht="15" customHeight="1">
      <c r="C101" s="23"/>
      <c r="D101" s="3"/>
    </row>
    <row r="102" spans="3:4" ht="15" customHeight="1">
      <c r="C102" s="23"/>
      <c r="D102" s="3"/>
    </row>
  </sheetData>
  <mergeCells count="3">
    <mergeCell ref="E7:I7"/>
    <mergeCell ref="A1:H1"/>
    <mergeCell ref="A2:H2"/>
  </mergeCells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07127-6dfe-4777-9fc9-8a2ccfc388c3">
      <Terms xmlns="http://schemas.microsoft.com/office/infopath/2007/PartnerControls"/>
    </lcf76f155ced4ddcb4097134ff3c332f>
    <TaxCatchAll xmlns="46c995e6-7f53-48aa-a5ad-a9d38912b46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6" ma:contentTypeDescription="Een nieuw document maken." ma:contentTypeScope="" ma:versionID="c6d9403666d96ba40324e184694503c2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62d1ebe47228ed999d61fc3cbe4d7595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33D99E-ECD5-4C42-B5BA-B8D8A9305B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F42007-A804-4F44-AC9D-FC8087898404}">
  <ds:schemaRefs>
    <ds:schemaRef ds:uri="http://purl.org/dc/elements/1.1/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46c995e6-7f53-48aa-a5ad-a9d38912b46a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E69FB87-FD53-41AE-A514-10ABE87F82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9</vt:i4>
      </vt:variant>
    </vt:vector>
  </HeadingPairs>
  <TitlesOfParts>
    <vt:vector size="21" baseType="lpstr">
      <vt:lpstr>Overnamegegevens</vt:lpstr>
      <vt:lpstr>Opleverstaat dagelijks</vt:lpstr>
      <vt:lpstr>Werkprogramma periodiek</vt:lpstr>
      <vt:lpstr>Werkprogramma dieptereinigen</vt:lpstr>
      <vt:lpstr>Tariefsopbouw</vt:lpstr>
      <vt:lpstr>Prestatiefactoren</vt:lpstr>
      <vt:lpstr>Ruimtestaat</vt:lpstr>
      <vt:lpstr>Vloeronderhoud</vt:lpstr>
      <vt:lpstr>Glasbewassing</vt:lpstr>
      <vt:lpstr>Extra werkzaamheden</vt:lpstr>
      <vt:lpstr>Regie en afroep</vt:lpstr>
      <vt:lpstr>Totalisatie</vt:lpstr>
      <vt:lpstr>'Extra werkzaamheden'!Afdrukbereik</vt:lpstr>
      <vt:lpstr>Prestatiefactoren!Afdrukbereik</vt:lpstr>
      <vt:lpstr>'Regie en afroep'!Afdrukbereik</vt:lpstr>
      <vt:lpstr>'Ruimtestaat'!Afdrukbereik</vt:lpstr>
      <vt:lpstr>Tariefsopbouw!Afdrukbereik</vt:lpstr>
      <vt:lpstr>Totalisatie!Afdrukbereik</vt:lpstr>
      <vt:lpstr>Vloeronderhoud!Afdrukbereik</vt:lpstr>
      <vt:lpstr>'Werkprogramma dieptereinigen'!Afdrukbereik</vt:lpstr>
      <vt:lpstr>'Ruimtestaat'!Afdruktitels</vt:lpstr>
    </vt:vector>
  </TitlesOfParts>
  <Company>Facet Facilitaire Diensten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calculatiesysteem</dc:title>
  <dc:creator/>
  <cp:lastModifiedBy>Thijs van Duiven | Inkada Inkoop &amp; Advies</cp:lastModifiedBy>
  <cp:lastPrinted>2023-06-13T09:39:35Z</cp:lastPrinted>
  <dcterms:created xsi:type="dcterms:W3CDTF">1999-03-23T11:24:21Z</dcterms:created>
  <dcterms:modified xsi:type="dcterms:W3CDTF">2023-07-14T09:21:18Z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  <property fmtid="{D5CDD505-2E9C-101B-9397-08002B2CF9AE}" pid="3" name="MediaServiceImageTags">
    <vt:lpwstr/>
  </property>
</Properties>
</file>