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embrandt College/Schoonmaak 2023/Bestek/"/>
    </mc:Choice>
  </mc:AlternateContent>
  <xr:revisionPtr revIDLastSave="342" documentId="8_{3D944083-F465-4B9D-8A59-2FEF54C981CA}" xr6:coauthVersionLast="47" xr6:coauthVersionMax="47" xr10:uidLastSave="{E636FC92-AD7F-468F-8357-EC0DB4B37088}"/>
  <bookViews>
    <workbookView xWindow="-120" yWindow="-120" windowWidth="29040" windowHeight="15840" tabRatio="786" firstSheet="3" activeTab="3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gie en afroep" sheetId="24" r:id="rId11"/>
    <sheet name="Totalisatie" sheetId="19" r:id="rId12"/>
  </sheets>
  <externalReferences>
    <externalReference r:id="rId13"/>
    <externalReference r:id="rId14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'Ruimtestaat'!$B$4:$T$134</definedName>
    <definedName name="_xlnm._FilterDatabase" localSheetId="11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0">'Regie en afroep'!#REF!</definedName>
    <definedName name="_Toc256089721" localSheetId="10">'Regie en afroep'!#REF!</definedName>
    <definedName name="AccessDatabase" hidden="1">"C:\data\excel\BASISWP.mdb"</definedName>
    <definedName name="_xlnm.Print_Area" localSheetId="9">'Extra werkzaamheden'!$A$1:$H$14</definedName>
    <definedName name="_xlnm.Print_Area" localSheetId="1">'Opleverstaat dagelijks'!#REF!</definedName>
    <definedName name="_xlnm.Print_Area" localSheetId="5">Prestatiefactoren!$A$1:$F$50</definedName>
    <definedName name="_xlnm.Print_Area" localSheetId="10">'Regie en afroep'!$A$1:$D$41</definedName>
    <definedName name="_xlnm.Print_Area" localSheetId="6">'Ruimtestaat'!$A$1:$AH$134</definedName>
    <definedName name="_xlnm.Print_Area" localSheetId="4">Tariefsopbouw!$A$1:$Q$42</definedName>
    <definedName name="_xlnm.Print_Area" localSheetId="11">Totalisatie!$A$1:$H$22</definedName>
    <definedName name="_xlnm.Print_Area" localSheetId="7">Vloeronderhoud!$A$1:$H$25</definedName>
    <definedName name="_xlnm.Print_Area" localSheetId="3">'Werkprogramma dieptereinigen'!$A$1:$A$14</definedName>
    <definedName name="_xlnm.Print_Titles" localSheetId="6">'Ruimtestaat'!$A:$I,'Ruimtestaat'!$2:$4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0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29" l="1"/>
  <c r="D24" i="29"/>
  <c r="D25" i="29"/>
  <c r="D26" i="29"/>
  <c r="D27" i="29"/>
  <c r="D28" i="29"/>
  <c r="D22" i="29"/>
  <c r="G28" i="29"/>
  <c r="H28" i="29" s="1"/>
  <c r="G27" i="29"/>
  <c r="H27" i="29" s="1"/>
  <c r="G26" i="29"/>
  <c r="H26" i="29" s="1"/>
  <c r="G30" i="29" l="1"/>
  <c r="H30" i="29" s="1"/>
  <c r="G29" i="29"/>
  <c r="H29" i="29" s="1"/>
  <c r="G25" i="29"/>
  <c r="H25" i="29" s="1"/>
  <c r="G24" i="29"/>
  <c r="H24" i="29" s="1"/>
  <c r="G23" i="29"/>
  <c r="H23" i="29" s="1"/>
  <c r="G22" i="29"/>
  <c r="G31" i="29" l="1"/>
  <c r="H22" i="29"/>
  <c r="H31" i="29" s="1"/>
  <c r="I32" i="2" l="1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E9" i="26" s="1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F9" i="26" s="1"/>
  <c r="G9" i="26" s="1"/>
  <c r="K33" i="2"/>
  <c r="K35" i="2" s="1"/>
  <c r="K37" i="2" s="1"/>
  <c r="M29" i="2"/>
  <c r="I39" i="2"/>
  <c r="E39" i="2"/>
  <c r="E40" i="2"/>
  <c r="Q24" i="2"/>
  <c r="Q26" i="2" s="1"/>
  <c r="O26" i="2"/>
  <c r="I40" i="2" l="1"/>
  <c r="K39" i="2"/>
  <c r="I41" i="2"/>
  <c r="E9" i="29"/>
  <c r="F9" i="29" s="1"/>
  <c r="E10" i="29"/>
  <c r="F10" i="29" s="1"/>
  <c r="E16" i="29"/>
  <c r="F16" i="29" s="1"/>
  <c r="E11" i="29"/>
  <c r="F11" i="29" s="1"/>
  <c r="E17" i="29"/>
  <c r="F17" i="29" s="1"/>
  <c r="E12" i="29"/>
  <c r="F12" i="29" s="1"/>
  <c r="E18" i="29"/>
  <c r="F18" i="29" s="1"/>
  <c r="E19" i="29"/>
  <c r="F19" i="29" s="1"/>
  <c r="E13" i="29"/>
  <c r="F13" i="29" s="1"/>
  <c r="E14" i="29"/>
  <c r="F14" i="29" s="1"/>
  <c r="E15" i="29"/>
  <c r="F15" i="29" s="1"/>
  <c r="E15" i="24"/>
  <c r="F15" i="24" s="1"/>
  <c r="E23" i="24"/>
  <c r="F23" i="24" s="1"/>
  <c r="E31" i="24"/>
  <c r="F31" i="24" s="1"/>
  <c r="E39" i="24"/>
  <c r="F39" i="24" s="1"/>
  <c r="E10" i="25"/>
  <c r="F10" i="25" s="1"/>
  <c r="E9" i="25"/>
  <c r="F9" i="25" s="1"/>
  <c r="E16" i="24"/>
  <c r="F16" i="24" s="1"/>
  <c r="E24" i="24"/>
  <c r="F24" i="24" s="1"/>
  <c r="E32" i="24"/>
  <c r="F32" i="24" s="1"/>
  <c r="E40" i="24"/>
  <c r="F40" i="24" s="1"/>
  <c r="E11" i="25"/>
  <c r="F11" i="25" s="1"/>
  <c r="E9" i="24"/>
  <c r="F9" i="24" s="1"/>
  <c r="E17" i="24"/>
  <c r="F17" i="24" s="1"/>
  <c r="E25" i="24"/>
  <c r="F25" i="24" s="1"/>
  <c r="E33" i="24"/>
  <c r="F33" i="24" s="1"/>
  <c r="E12" i="25"/>
  <c r="F12" i="25" s="1"/>
  <c r="E10" i="24"/>
  <c r="F10" i="24" s="1"/>
  <c r="E18" i="24"/>
  <c r="F18" i="24" s="1"/>
  <c r="E26" i="24"/>
  <c r="F26" i="24" s="1"/>
  <c r="E34" i="24"/>
  <c r="F34" i="24" s="1"/>
  <c r="E13" i="25"/>
  <c r="F13" i="25" s="1"/>
  <c r="E22" i="24"/>
  <c r="F22" i="24" s="1"/>
  <c r="E11" i="24"/>
  <c r="F11" i="24" s="1"/>
  <c r="E19" i="24"/>
  <c r="F19" i="24" s="1"/>
  <c r="E27" i="24"/>
  <c r="F27" i="24" s="1"/>
  <c r="E35" i="24"/>
  <c r="F35" i="24" s="1"/>
  <c r="E14" i="25"/>
  <c r="F14" i="25" s="1"/>
  <c r="E15" i="25"/>
  <c r="F15" i="25" s="1"/>
  <c r="E30" i="24"/>
  <c r="F30" i="24" s="1"/>
  <c r="E12" i="24"/>
  <c r="F12" i="24" s="1"/>
  <c r="E20" i="24"/>
  <c r="F20" i="24" s="1"/>
  <c r="E28" i="24"/>
  <c r="F28" i="24" s="1"/>
  <c r="E36" i="24"/>
  <c r="F36" i="24" s="1"/>
  <c r="E38" i="24"/>
  <c r="F38" i="24" s="1"/>
  <c r="E17" i="25"/>
  <c r="F17" i="25" s="1"/>
  <c r="E13" i="24"/>
  <c r="F13" i="24" s="1"/>
  <c r="E21" i="24"/>
  <c r="F21" i="24" s="1"/>
  <c r="G21" i="24" s="1"/>
  <c r="E29" i="24"/>
  <c r="F29" i="24" s="1"/>
  <c r="E37" i="24"/>
  <c r="F37" i="24" s="1"/>
  <c r="E16" i="25"/>
  <c r="F16" i="25" s="1"/>
  <c r="E14" i="24"/>
  <c r="F14" i="24" s="1"/>
  <c r="K41" i="2"/>
  <c r="O29" i="2"/>
  <c r="M33" i="2"/>
  <c r="M35" i="2" s="1"/>
  <c r="M37" i="2" s="1"/>
  <c r="H9" i="26" s="1"/>
  <c r="K40" i="2"/>
  <c r="I38" i="2"/>
  <c r="K38" i="2" s="1"/>
  <c r="E38" i="2"/>
  <c r="G30" i="24" l="1"/>
  <c r="G17" i="24"/>
  <c r="G31" i="24"/>
  <c r="G24" i="24"/>
  <c r="G18" i="29"/>
  <c r="G13" i="24"/>
  <c r="G39" i="24"/>
  <c r="G35" i="24"/>
  <c r="G18" i="24"/>
  <c r="G40" i="24"/>
  <c r="G23" i="24"/>
  <c r="G12" i="29"/>
  <c r="G13" i="29"/>
  <c r="G34" i="24"/>
  <c r="G14" i="24"/>
  <c r="G36" i="24"/>
  <c r="G27" i="24"/>
  <c r="G10" i="24"/>
  <c r="G32" i="24"/>
  <c r="G15" i="24"/>
  <c r="M41" i="2"/>
  <c r="G12" i="25"/>
  <c r="G14" i="25"/>
  <c r="G13" i="25"/>
  <c r="G15" i="25"/>
  <c r="G16" i="25"/>
  <c r="G11" i="25"/>
  <c r="G9" i="25"/>
  <c r="G17" i="25"/>
  <c r="G10" i="25"/>
  <c r="G19" i="29"/>
  <c r="G28" i="24"/>
  <c r="G19" i="24"/>
  <c r="G17" i="29"/>
  <c r="G9" i="24"/>
  <c r="G26" i="24"/>
  <c r="G37" i="24"/>
  <c r="G11" i="24"/>
  <c r="G33" i="24"/>
  <c r="G16" i="24"/>
  <c r="G15" i="29"/>
  <c r="G11" i="29"/>
  <c r="G10" i="29"/>
  <c r="G9" i="29"/>
  <c r="G38" i="24"/>
  <c r="G20" i="24"/>
  <c r="G29" i="24"/>
  <c r="G12" i="24"/>
  <c r="G22" i="24"/>
  <c r="G25" i="24"/>
  <c r="G14" i="29"/>
  <c r="G16" i="29"/>
  <c r="Q29" i="2"/>
  <c r="Q33" i="2" s="1"/>
  <c r="Q35" i="2" s="1"/>
  <c r="O33" i="2"/>
  <c r="O35" i="2" s="1"/>
  <c r="O37" i="2" s="1"/>
  <c r="I9" i="26" s="1"/>
  <c r="M39" i="2"/>
  <c r="M38" i="2"/>
  <c r="M40" i="2"/>
  <c r="H33" i="24" l="1"/>
  <c r="O39" i="2"/>
  <c r="H29" i="24"/>
  <c r="H10" i="24"/>
  <c r="H16" i="29"/>
  <c r="H9" i="29"/>
  <c r="H26" i="24"/>
  <c r="H14" i="24"/>
  <c r="H39" i="24"/>
  <c r="H40" i="24"/>
  <c r="H10" i="29"/>
  <c r="H34" i="24"/>
  <c r="H13" i="24"/>
  <c r="H9" i="24"/>
  <c r="H25" i="24"/>
  <c r="H11" i="29"/>
  <c r="H17" i="24"/>
  <c r="H14" i="29"/>
  <c r="H22" i="24"/>
  <c r="H15" i="29"/>
  <c r="H17" i="29"/>
  <c r="H15" i="24"/>
  <c r="H12" i="29"/>
  <c r="H19" i="24"/>
  <c r="O38" i="2"/>
  <c r="H13" i="29"/>
  <c r="H21" i="24"/>
  <c r="H18" i="29"/>
  <c r="H12" i="24"/>
  <c r="H16" i="24"/>
  <c r="H32" i="24"/>
  <c r="H23" i="24"/>
  <c r="H31" i="24"/>
  <c r="H24" i="24"/>
  <c r="H20" i="24"/>
  <c r="H11" i="24"/>
  <c r="H28" i="24"/>
  <c r="H27" i="24"/>
  <c r="H18" i="24"/>
  <c r="O41" i="2"/>
  <c r="H13" i="25"/>
  <c r="H15" i="25"/>
  <c r="H14" i="25"/>
  <c r="H16" i="25"/>
  <c r="H12" i="25"/>
  <c r="H9" i="25"/>
  <c r="H17" i="25"/>
  <c r="H10" i="25"/>
  <c r="H11" i="25"/>
  <c r="H38" i="24"/>
  <c r="H37" i="24"/>
  <c r="H19" i="29"/>
  <c r="H36" i="24"/>
  <c r="H35" i="24"/>
  <c r="H30" i="24"/>
  <c r="O40" i="2"/>
  <c r="Q37" i="2"/>
  <c r="I20" i="24" l="1"/>
  <c r="I11" i="24"/>
  <c r="I11" i="29"/>
  <c r="I19" i="24"/>
  <c r="I30" i="24"/>
  <c r="I29" i="24"/>
  <c r="I35" i="24"/>
  <c r="I12" i="24"/>
  <c r="I25" i="24"/>
  <c r="I10" i="24"/>
  <c r="I13" i="24"/>
  <c r="I15" i="24"/>
  <c r="I21" i="24"/>
  <c r="I14" i="24"/>
  <c r="I14" i="29"/>
  <c r="I15" i="29"/>
  <c r="I19" i="29"/>
  <c r="I26" i="24"/>
  <c r="I22" i="24"/>
  <c r="I31" i="24"/>
  <c r="I10" i="29"/>
  <c r="I36" i="24"/>
  <c r="I33" i="24"/>
  <c r="I9" i="29"/>
  <c r="I37" i="24"/>
  <c r="I18" i="24"/>
  <c r="I39" i="24"/>
  <c r="I23" i="24"/>
  <c r="I18" i="29"/>
  <c r="I17" i="24"/>
  <c r="I13" i="29"/>
  <c r="I38" i="24"/>
  <c r="I27" i="24"/>
  <c r="I16" i="29"/>
  <c r="I32" i="24"/>
  <c r="I12" i="29"/>
  <c r="Q41" i="2"/>
  <c r="I14" i="25"/>
  <c r="I16" i="25"/>
  <c r="I15" i="25"/>
  <c r="I9" i="25"/>
  <c r="I17" i="25"/>
  <c r="I10" i="25"/>
  <c r="I11" i="25"/>
  <c r="I12" i="25"/>
  <c r="I13" i="25"/>
  <c r="I28" i="24"/>
  <c r="I24" i="24"/>
  <c r="I17" i="29"/>
  <c r="I9" i="24"/>
  <c r="I40" i="24"/>
  <c r="I16" i="24"/>
  <c r="I34" i="24"/>
  <c r="J9" i="26"/>
  <c r="Q38" i="2"/>
  <c r="Q39" i="2"/>
  <c r="Q40" i="2"/>
  <c r="F23" i="25" l="1"/>
  <c r="H23" i="25" s="1"/>
  <c r="D23" i="25"/>
  <c r="B23" i="25"/>
  <c r="AA133" i="13" l="1"/>
  <c r="AB133" i="13" s="1"/>
  <c r="U133" i="13"/>
  <c r="V133" i="13" s="1"/>
  <c r="Q133" i="13"/>
  <c r="L133" i="13"/>
  <c r="E133" i="13"/>
  <c r="D133" i="13"/>
  <c r="C133" i="13"/>
  <c r="B133" i="13"/>
  <c r="AA132" i="13"/>
  <c r="AB132" i="13" s="1"/>
  <c r="U132" i="13"/>
  <c r="V132" i="13" s="1"/>
  <c r="Q132" i="13"/>
  <c r="L132" i="13"/>
  <c r="E132" i="13"/>
  <c r="D132" i="13"/>
  <c r="C132" i="13"/>
  <c r="B132" i="13"/>
  <c r="AA131" i="13"/>
  <c r="AB131" i="13" s="1"/>
  <c r="U131" i="13"/>
  <c r="W131" i="13" s="1"/>
  <c r="Q131" i="13"/>
  <c r="L131" i="13"/>
  <c r="E131" i="13"/>
  <c r="D131" i="13"/>
  <c r="C131" i="13"/>
  <c r="B131" i="13"/>
  <c r="AA130" i="13"/>
  <c r="AC130" i="13" s="1"/>
  <c r="U130" i="13"/>
  <c r="V130" i="13" s="1"/>
  <c r="Q130" i="13"/>
  <c r="L130" i="13"/>
  <c r="E130" i="13"/>
  <c r="D130" i="13"/>
  <c r="C130" i="13"/>
  <c r="B130" i="13"/>
  <c r="AA129" i="13"/>
  <c r="AC129" i="13" s="1"/>
  <c r="U129" i="13"/>
  <c r="W129" i="13" s="1"/>
  <c r="Q129" i="13"/>
  <c r="L129" i="13"/>
  <c r="E129" i="13"/>
  <c r="D129" i="13"/>
  <c r="C129" i="13"/>
  <c r="B129" i="13"/>
  <c r="AA128" i="13"/>
  <c r="AC128" i="13" s="1"/>
  <c r="AD128" i="13" s="1"/>
  <c r="AE128" i="13" s="1"/>
  <c r="U128" i="13"/>
  <c r="W128" i="13" s="1"/>
  <c r="Q128" i="13"/>
  <c r="L128" i="13"/>
  <c r="E128" i="13"/>
  <c r="D128" i="13"/>
  <c r="C128" i="13"/>
  <c r="B128" i="13"/>
  <c r="AA127" i="13"/>
  <c r="AC127" i="13" s="1"/>
  <c r="U127" i="13"/>
  <c r="W127" i="13" s="1"/>
  <c r="Q127" i="13"/>
  <c r="L127" i="13"/>
  <c r="E127" i="13"/>
  <c r="D127" i="13"/>
  <c r="C127" i="13"/>
  <c r="B127" i="13"/>
  <c r="AA126" i="13"/>
  <c r="AB126" i="13" s="1"/>
  <c r="U126" i="13"/>
  <c r="W126" i="13" s="1"/>
  <c r="Q126" i="13"/>
  <c r="L126" i="13"/>
  <c r="E126" i="13"/>
  <c r="D126" i="13"/>
  <c r="C126" i="13"/>
  <c r="B126" i="13"/>
  <c r="AA125" i="13"/>
  <c r="AB125" i="13" s="1"/>
  <c r="U125" i="13"/>
  <c r="V125" i="13" s="1"/>
  <c r="Q125" i="13"/>
  <c r="L125" i="13"/>
  <c r="E125" i="13"/>
  <c r="D125" i="13"/>
  <c r="C125" i="13"/>
  <c r="B125" i="13"/>
  <c r="L124" i="13"/>
  <c r="AC133" i="13" l="1"/>
  <c r="AD133" i="13" s="1"/>
  <c r="AE133" i="13" s="1"/>
  <c r="AC132" i="13"/>
  <c r="AD132" i="13" s="1"/>
  <c r="AE132" i="13" s="1"/>
  <c r="W130" i="13"/>
  <c r="X130" i="13" s="1"/>
  <c r="Y130" i="13" s="1"/>
  <c r="W125" i="13"/>
  <c r="X125" i="13" s="1"/>
  <c r="Y125" i="13" s="1"/>
  <c r="AC126" i="13"/>
  <c r="AD126" i="13" s="1"/>
  <c r="AE126" i="13" s="1"/>
  <c r="W133" i="13"/>
  <c r="X133" i="13" s="1"/>
  <c r="Y133" i="13" s="1"/>
  <c r="V127" i="13"/>
  <c r="X127" i="13" s="1"/>
  <c r="Y127" i="13" s="1"/>
  <c r="AC125" i="13"/>
  <c r="AB128" i="13"/>
  <c r="AC131" i="13"/>
  <c r="AF131" i="13" s="1"/>
  <c r="V131" i="13"/>
  <c r="X131" i="13" s="1"/>
  <c r="Y131" i="13" s="1"/>
  <c r="W132" i="13"/>
  <c r="X132" i="13" s="1"/>
  <c r="Y132" i="13" s="1"/>
  <c r="AF128" i="13"/>
  <c r="AF127" i="13"/>
  <c r="AD127" i="13"/>
  <c r="AE127" i="13" s="1"/>
  <c r="AD129" i="13"/>
  <c r="AE129" i="13" s="1"/>
  <c r="AF129" i="13"/>
  <c r="AD130" i="13"/>
  <c r="AE130" i="13" s="1"/>
  <c r="V126" i="13"/>
  <c r="X126" i="13" s="1"/>
  <c r="Y126" i="13" s="1"/>
  <c r="AB127" i="13"/>
  <c r="V128" i="13"/>
  <c r="X128" i="13" s="1"/>
  <c r="Y128" i="13" s="1"/>
  <c r="AB129" i="13"/>
  <c r="V129" i="13"/>
  <c r="X129" i="13" s="1"/>
  <c r="Y129" i="13" s="1"/>
  <c r="AB130" i="13"/>
  <c r="AA20" i="13"/>
  <c r="AC20" i="13" s="1"/>
  <c r="U20" i="13"/>
  <c r="W20" i="13" s="1"/>
  <c r="Q20" i="13"/>
  <c r="L20" i="13"/>
  <c r="E20" i="13"/>
  <c r="D20" i="13"/>
  <c r="C20" i="13"/>
  <c r="B20" i="13"/>
  <c r="AA5" i="13"/>
  <c r="AB5" i="13" s="1"/>
  <c r="U5" i="13"/>
  <c r="W5" i="13" s="1"/>
  <c r="Q5" i="13"/>
  <c r="L5" i="13"/>
  <c r="E5" i="13"/>
  <c r="D5" i="13"/>
  <c r="C5" i="13"/>
  <c r="B5" i="13"/>
  <c r="AF133" i="13" l="1"/>
  <c r="AG132" i="13"/>
  <c r="AF130" i="13"/>
  <c r="AF132" i="13"/>
  <c r="AF125" i="13"/>
  <c r="AD125" i="13"/>
  <c r="AF126" i="13"/>
  <c r="AD131" i="13"/>
  <c r="AE131" i="13" s="1"/>
  <c r="AG133" i="13"/>
  <c r="AG130" i="13"/>
  <c r="AG129" i="13"/>
  <c r="AG128" i="13"/>
  <c r="AG127" i="13"/>
  <c r="AG126" i="13"/>
  <c r="AD20" i="13"/>
  <c r="AE20" i="13" s="1"/>
  <c r="AF20" i="13"/>
  <c r="V20" i="13"/>
  <c r="X20" i="13" s="1"/>
  <c r="Y20" i="13" s="1"/>
  <c r="AB20" i="13"/>
  <c r="V5" i="13"/>
  <c r="X5" i="13" s="1"/>
  <c r="Y5" i="13" s="1"/>
  <c r="AC5" i="13"/>
  <c r="AG125" i="13" l="1"/>
  <c r="AE125" i="13"/>
  <c r="AG131" i="13"/>
  <c r="AG20" i="13"/>
  <c r="AD5" i="13"/>
  <c r="AE5" i="13" s="1"/>
  <c r="AF5" i="13"/>
  <c r="L9" i="13"/>
  <c r="AG5" i="13" l="1"/>
  <c r="AA105" i="13" l="1"/>
  <c r="AC105" i="13" s="1"/>
  <c r="U105" i="13"/>
  <c r="W105" i="13" s="1"/>
  <c r="Q105" i="13"/>
  <c r="L105" i="13"/>
  <c r="E105" i="13"/>
  <c r="D105" i="13"/>
  <c r="C105" i="13"/>
  <c r="B105" i="13"/>
  <c r="AA116" i="13"/>
  <c r="AC116" i="13" s="1"/>
  <c r="U116" i="13"/>
  <c r="W116" i="13" s="1"/>
  <c r="Q116" i="13"/>
  <c r="L116" i="13"/>
  <c r="E116" i="13"/>
  <c r="D116" i="13"/>
  <c r="C116" i="13"/>
  <c r="B116" i="13"/>
  <c r="AA99" i="13"/>
  <c r="AC99" i="13" s="1"/>
  <c r="U99" i="13"/>
  <c r="W99" i="13" s="1"/>
  <c r="Q99" i="13"/>
  <c r="L99" i="13"/>
  <c r="E99" i="13"/>
  <c r="D99" i="13"/>
  <c r="C99" i="13"/>
  <c r="B99" i="13"/>
  <c r="AA98" i="13"/>
  <c r="AC98" i="13" s="1"/>
  <c r="U98" i="13"/>
  <c r="W98" i="13" s="1"/>
  <c r="Q98" i="13"/>
  <c r="L98" i="13"/>
  <c r="E98" i="13"/>
  <c r="D98" i="13"/>
  <c r="C98" i="13"/>
  <c r="B98" i="13"/>
  <c r="AA124" i="13"/>
  <c r="AB124" i="13" s="1"/>
  <c r="U124" i="13"/>
  <c r="Q124" i="13"/>
  <c r="E124" i="13"/>
  <c r="D124" i="13"/>
  <c r="C124" i="13"/>
  <c r="B124" i="13"/>
  <c r="AA123" i="13"/>
  <c r="AB123" i="13" s="1"/>
  <c r="U123" i="13"/>
  <c r="W123" i="13" s="1"/>
  <c r="Q123" i="13"/>
  <c r="L123" i="13"/>
  <c r="E123" i="13"/>
  <c r="D123" i="13"/>
  <c r="C123" i="13"/>
  <c r="B123" i="13"/>
  <c r="AA122" i="13"/>
  <c r="AC122" i="13" s="1"/>
  <c r="AD122" i="13" s="1"/>
  <c r="AE122" i="13" s="1"/>
  <c r="U122" i="13"/>
  <c r="W122" i="13" s="1"/>
  <c r="Q122" i="13"/>
  <c r="L122" i="13"/>
  <c r="E122" i="13"/>
  <c r="D122" i="13"/>
  <c r="C122" i="13"/>
  <c r="B122" i="13"/>
  <c r="AA121" i="13"/>
  <c r="U121" i="13"/>
  <c r="W121" i="13" s="1"/>
  <c r="Q121" i="13"/>
  <c r="L121" i="13"/>
  <c r="E121" i="13"/>
  <c r="D121" i="13"/>
  <c r="C121" i="13"/>
  <c r="B121" i="13"/>
  <c r="AA120" i="13"/>
  <c r="AB120" i="13" s="1"/>
  <c r="U120" i="13"/>
  <c r="Q120" i="13"/>
  <c r="L120" i="13"/>
  <c r="E120" i="13"/>
  <c r="D120" i="13"/>
  <c r="C120" i="13"/>
  <c r="B120" i="13"/>
  <c r="AA119" i="13"/>
  <c r="AC119" i="13" s="1"/>
  <c r="U119" i="13"/>
  <c r="W119" i="13" s="1"/>
  <c r="Q119" i="13"/>
  <c r="L119" i="13"/>
  <c r="E119" i="13"/>
  <c r="D119" i="13"/>
  <c r="C119" i="13"/>
  <c r="B119" i="13"/>
  <c r="AA118" i="13"/>
  <c r="AC118" i="13" s="1"/>
  <c r="AD118" i="13" s="1"/>
  <c r="AE118" i="13" s="1"/>
  <c r="U118" i="13"/>
  <c r="V118" i="13" s="1"/>
  <c r="Q118" i="13"/>
  <c r="L118" i="13"/>
  <c r="E118" i="13"/>
  <c r="D118" i="13"/>
  <c r="C118" i="13"/>
  <c r="B118" i="13"/>
  <c r="AA117" i="13"/>
  <c r="AC117" i="13" s="1"/>
  <c r="U117" i="13"/>
  <c r="V117" i="13" s="1"/>
  <c r="Q117" i="13"/>
  <c r="L117" i="13"/>
  <c r="E117" i="13"/>
  <c r="D117" i="13"/>
  <c r="C117" i="13"/>
  <c r="B117" i="13"/>
  <c r="AA115" i="13"/>
  <c r="AC115" i="13" s="1"/>
  <c r="U115" i="13"/>
  <c r="W115" i="13" s="1"/>
  <c r="Q115" i="13"/>
  <c r="L115" i="13"/>
  <c r="E115" i="13"/>
  <c r="D115" i="13"/>
  <c r="C115" i="13"/>
  <c r="B115" i="13"/>
  <c r="AA114" i="13"/>
  <c r="AB114" i="13" s="1"/>
  <c r="U114" i="13"/>
  <c r="W114" i="13" s="1"/>
  <c r="Q114" i="13"/>
  <c r="L114" i="13"/>
  <c r="E114" i="13"/>
  <c r="D114" i="13"/>
  <c r="C114" i="13"/>
  <c r="B114" i="13"/>
  <c r="AA113" i="13"/>
  <c r="AC113" i="13" s="1"/>
  <c r="AD113" i="13" s="1"/>
  <c r="AE113" i="13" s="1"/>
  <c r="U113" i="13"/>
  <c r="V113" i="13" s="1"/>
  <c r="Q113" i="13"/>
  <c r="L113" i="13"/>
  <c r="E113" i="13"/>
  <c r="D113" i="13"/>
  <c r="C113" i="13"/>
  <c r="B113" i="13"/>
  <c r="AA112" i="13"/>
  <c r="AC112" i="13" s="1"/>
  <c r="U112" i="13"/>
  <c r="W112" i="13" s="1"/>
  <c r="Q112" i="13"/>
  <c r="L112" i="13"/>
  <c r="E112" i="13"/>
  <c r="D112" i="13"/>
  <c r="C112" i="13"/>
  <c r="B112" i="13"/>
  <c r="AA111" i="13"/>
  <c r="AC111" i="13" s="1"/>
  <c r="U111" i="13"/>
  <c r="W111" i="13" s="1"/>
  <c r="Q111" i="13"/>
  <c r="L111" i="13"/>
  <c r="E111" i="13"/>
  <c r="D111" i="13"/>
  <c r="C111" i="13"/>
  <c r="B111" i="13"/>
  <c r="AA110" i="13"/>
  <c r="AB110" i="13" s="1"/>
  <c r="U110" i="13"/>
  <c r="W110" i="13" s="1"/>
  <c r="Q110" i="13"/>
  <c r="L110" i="13"/>
  <c r="E110" i="13"/>
  <c r="D110" i="13"/>
  <c r="C110" i="13"/>
  <c r="B110" i="13"/>
  <c r="AA109" i="13"/>
  <c r="AC109" i="13" s="1"/>
  <c r="AD109" i="13" s="1"/>
  <c r="AE109" i="13" s="1"/>
  <c r="U109" i="13"/>
  <c r="V109" i="13" s="1"/>
  <c r="Q109" i="13"/>
  <c r="L109" i="13"/>
  <c r="E109" i="13"/>
  <c r="D109" i="13"/>
  <c r="C109" i="13"/>
  <c r="B109" i="13"/>
  <c r="AA108" i="13"/>
  <c r="AC108" i="13" s="1"/>
  <c r="U108" i="13"/>
  <c r="W108" i="13" s="1"/>
  <c r="Q108" i="13"/>
  <c r="L108" i="13"/>
  <c r="E108" i="13"/>
  <c r="D108" i="13"/>
  <c r="C108" i="13"/>
  <c r="B108" i="13"/>
  <c r="AA107" i="13"/>
  <c r="AC107" i="13" s="1"/>
  <c r="U107" i="13"/>
  <c r="W107" i="13" s="1"/>
  <c r="Q107" i="13"/>
  <c r="L107" i="13"/>
  <c r="E107" i="13"/>
  <c r="D107" i="13"/>
  <c r="C107" i="13"/>
  <c r="B107" i="13"/>
  <c r="AA106" i="13"/>
  <c r="AB106" i="13" s="1"/>
  <c r="U106" i="13"/>
  <c r="W106" i="13" s="1"/>
  <c r="Q106" i="13"/>
  <c r="L106" i="13"/>
  <c r="E106" i="13"/>
  <c r="D106" i="13"/>
  <c r="C106" i="13"/>
  <c r="B106" i="13"/>
  <c r="AA60" i="13"/>
  <c r="AC60" i="13" s="1"/>
  <c r="U60" i="13"/>
  <c r="W60" i="13" s="1"/>
  <c r="Q60" i="13"/>
  <c r="L60" i="13"/>
  <c r="E60" i="13"/>
  <c r="D60" i="13"/>
  <c r="C60" i="13"/>
  <c r="B60" i="13"/>
  <c r="AA59" i="13"/>
  <c r="AB59" i="13" s="1"/>
  <c r="U59" i="13"/>
  <c r="W59" i="13" s="1"/>
  <c r="Q59" i="13"/>
  <c r="L59" i="13"/>
  <c r="E59" i="13"/>
  <c r="D59" i="13"/>
  <c r="C59" i="13"/>
  <c r="B59" i="13"/>
  <c r="AA58" i="13"/>
  <c r="AB58" i="13" s="1"/>
  <c r="U58" i="13"/>
  <c r="V58" i="13" s="1"/>
  <c r="Q58" i="13"/>
  <c r="L58" i="13"/>
  <c r="E58" i="13"/>
  <c r="D58" i="13"/>
  <c r="C58" i="13"/>
  <c r="B58" i="13"/>
  <c r="AA57" i="13"/>
  <c r="AC57" i="13" s="1"/>
  <c r="U57" i="13"/>
  <c r="W57" i="13" s="1"/>
  <c r="Q57" i="13"/>
  <c r="L57" i="13"/>
  <c r="E57" i="13"/>
  <c r="D57" i="13"/>
  <c r="C57" i="13"/>
  <c r="B57" i="13"/>
  <c r="AA61" i="13"/>
  <c r="AC61" i="13" s="1"/>
  <c r="U61" i="13"/>
  <c r="W61" i="13" s="1"/>
  <c r="Q61" i="13"/>
  <c r="L61" i="13"/>
  <c r="E61" i="13"/>
  <c r="D61" i="13"/>
  <c r="C61" i="13"/>
  <c r="B61" i="13"/>
  <c r="V123" i="13" l="1"/>
  <c r="X123" i="13" s="1"/>
  <c r="Y123" i="13" s="1"/>
  <c r="AB109" i="13"/>
  <c r="V105" i="13"/>
  <c r="X105" i="13" s="1"/>
  <c r="Y105" i="13" s="1"/>
  <c r="AD105" i="13"/>
  <c r="AE105" i="13" s="1"/>
  <c r="AF105" i="13"/>
  <c r="AB105" i="13"/>
  <c r="V98" i="13"/>
  <c r="X98" i="13" s="1"/>
  <c r="Y98" i="13" s="1"/>
  <c r="V99" i="13"/>
  <c r="X99" i="13" s="1"/>
  <c r="Y99" i="13" s="1"/>
  <c r="V116" i="13"/>
  <c r="X116" i="13" s="1"/>
  <c r="Y116" i="13" s="1"/>
  <c r="AD116" i="13"/>
  <c r="AE116" i="13" s="1"/>
  <c r="AF116" i="13"/>
  <c r="AB116" i="13"/>
  <c r="W113" i="13"/>
  <c r="X113" i="13" s="1"/>
  <c r="Y113" i="13" s="1"/>
  <c r="AC123" i="13"/>
  <c r="AF123" i="13" s="1"/>
  <c r="AC106" i="13"/>
  <c r="AF106" i="13" s="1"/>
  <c r="V108" i="13"/>
  <c r="X108" i="13" s="1"/>
  <c r="Y108" i="13" s="1"/>
  <c r="W117" i="13"/>
  <c r="AF117" i="13" s="1"/>
  <c r="AF122" i="13"/>
  <c r="AD99" i="13"/>
  <c r="AE99" i="13" s="1"/>
  <c r="AF99" i="13"/>
  <c r="AB99" i="13"/>
  <c r="AB118" i="13"/>
  <c r="AC114" i="13"/>
  <c r="AF114" i="13" s="1"/>
  <c r="V122" i="13"/>
  <c r="X122" i="13" s="1"/>
  <c r="Y122" i="13" s="1"/>
  <c r="AD98" i="13"/>
  <c r="AE98" i="13" s="1"/>
  <c r="AF98" i="13"/>
  <c r="AB98" i="13"/>
  <c r="W109" i="13"/>
  <c r="AF109" i="13" s="1"/>
  <c r="AC110" i="13"/>
  <c r="AD110" i="13" s="1"/>
  <c r="AE110" i="13" s="1"/>
  <c r="V112" i="13"/>
  <c r="X112" i="13" s="1"/>
  <c r="Y112" i="13" s="1"/>
  <c r="AB113" i="13"/>
  <c r="W118" i="13"/>
  <c r="AF118" i="13" s="1"/>
  <c r="AC120" i="13"/>
  <c r="AD120" i="13" s="1"/>
  <c r="AE120" i="13" s="1"/>
  <c r="AC124" i="13"/>
  <c r="AD124" i="13" s="1"/>
  <c r="AE124" i="13" s="1"/>
  <c r="V121" i="13"/>
  <c r="X121" i="13" s="1"/>
  <c r="Y121" i="13" s="1"/>
  <c r="AB122" i="13"/>
  <c r="AF115" i="13"/>
  <c r="AD115" i="13"/>
  <c r="AE115" i="13" s="1"/>
  <c r="AD119" i="13"/>
  <c r="AE119" i="13" s="1"/>
  <c r="AF119" i="13"/>
  <c r="AD107" i="13"/>
  <c r="AE107" i="13" s="1"/>
  <c r="AF107" i="13"/>
  <c r="AD112" i="13"/>
  <c r="AE112" i="13" s="1"/>
  <c r="AF112" i="13"/>
  <c r="AD108" i="13"/>
  <c r="AE108" i="13" s="1"/>
  <c r="AF108" i="13"/>
  <c r="AD111" i="13"/>
  <c r="AE111" i="13" s="1"/>
  <c r="AF111" i="13"/>
  <c r="AD117" i="13"/>
  <c r="AE117" i="13" s="1"/>
  <c r="V107" i="13"/>
  <c r="X107" i="13" s="1"/>
  <c r="Y107" i="13" s="1"/>
  <c r="AB108" i="13"/>
  <c r="AB112" i="13"/>
  <c r="V115" i="13"/>
  <c r="X115" i="13" s="1"/>
  <c r="Y115" i="13" s="1"/>
  <c r="AB117" i="13"/>
  <c r="W120" i="13"/>
  <c r="V120" i="13"/>
  <c r="X120" i="13" s="1"/>
  <c r="Y120" i="13" s="1"/>
  <c r="W124" i="13"/>
  <c r="V124" i="13"/>
  <c r="V110" i="13"/>
  <c r="X110" i="13" s="1"/>
  <c r="Y110" i="13" s="1"/>
  <c r="V114" i="13"/>
  <c r="X114" i="13" s="1"/>
  <c r="Y114" i="13" s="1"/>
  <c r="AB115" i="13"/>
  <c r="V119" i="13"/>
  <c r="X119" i="13" s="1"/>
  <c r="Y119" i="13" s="1"/>
  <c r="AB119" i="13"/>
  <c r="V111" i="13"/>
  <c r="X111" i="13" s="1"/>
  <c r="Y111" i="13" s="1"/>
  <c r="V106" i="13"/>
  <c r="X106" i="13" s="1"/>
  <c r="Y106" i="13" s="1"/>
  <c r="AB107" i="13"/>
  <c r="AB111" i="13"/>
  <c r="AC121" i="13"/>
  <c r="AB121" i="13"/>
  <c r="V57" i="13"/>
  <c r="X57" i="13" s="1"/>
  <c r="Y57" i="13" s="1"/>
  <c r="V60" i="13"/>
  <c r="X60" i="13" s="1"/>
  <c r="Y60" i="13" s="1"/>
  <c r="AC58" i="13"/>
  <c r="AD58" i="13" s="1"/>
  <c r="AE58" i="13" s="1"/>
  <c r="AB57" i="13"/>
  <c r="W58" i="13"/>
  <c r="X58" i="13" s="1"/>
  <c r="Y58" i="13" s="1"/>
  <c r="AC59" i="13"/>
  <c r="AD59" i="13" s="1"/>
  <c r="AE59" i="13" s="1"/>
  <c r="AD57" i="13"/>
  <c r="AE57" i="13" s="1"/>
  <c r="AF57" i="13"/>
  <c r="AD60" i="13"/>
  <c r="AE60" i="13" s="1"/>
  <c r="AF60" i="13"/>
  <c r="V59" i="13"/>
  <c r="X59" i="13" s="1"/>
  <c r="Y59" i="13" s="1"/>
  <c r="AB60" i="13"/>
  <c r="V61" i="13"/>
  <c r="X61" i="13" s="1"/>
  <c r="Y61" i="13" s="1"/>
  <c r="AD61" i="13"/>
  <c r="AE61" i="13" s="1"/>
  <c r="AF61" i="13"/>
  <c r="AB61" i="13"/>
  <c r="AA47" i="13"/>
  <c r="AB47" i="13" s="1"/>
  <c r="U47" i="13"/>
  <c r="W47" i="13" s="1"/>
  <c r="Q47" i="13"/>
  <c r="L47" i="13"/>
  <c r="E47" i="13"/>
  <c r="D47" i="13"/>
  <c r="C47" i="13"/>
  <c r="B47" i="13"/>
  <c r="AA46" i="13"/>
  <c r="AC46" i="13" s="1"/>
  <c r="U46" i="13"/>
  <c r="W46" i="13" s="1"/>
  <c r="Q46" i="13"/>
  <c r="L46" i="13"/>
  <c r="E46" i="13"/>
  <c r="D46" i="13"/>
  <c r="C46" i="13"/>
  <c r="B46" i="13"/>
  <c r="E29" i="13"/>
  <c r="D29" i="13"/>
  <c r="C29" i="13"/>
  <c r="B29" i="13"/>
  <c r="L29" i="13"/>
  <c r="Q29" i="13"/>
  <c r="U29" i="13"/>
  <c r="V29" i="13" s="1"/>
  <c r="U28" i="13"/>
  <c r="AA29" i="13"/>
  <c r="AC29" i="13" s="1"/>
  <c r="AD29" i="13" s="1"/>
  <c r="AE29" i="13" s="1"/>
  <c r="X124" i="13" l="1"/>
  <c r="Y124" i="13" s="1"/>
  <c r="X117" i="13"/>
  <c r="X118" i="13"/>
  <c r="Y118" i="13" s="1"/>
  <c r="AF113" i="13"/>
  <c r="AG113" i="13"/>
  <c r="X109" i="13"/>
  <c r="Y109" i="13" s="1"/>
  <c r="AF124" i="13"/>
  <c r="AD123" i="13"/>
  <c r="AE123" i="13" s="1"/>
  <c r="AF110" i="13"/>
  <c r="AD106" i="13"/>
  <c r="AE106" i="13" s="1"/>
  <c r="AG105" i="13"/>
  <c r="AF120" i="13"/>
  <c r="AG122" i="13"/>
  <c r="AG116" i="13"/>
  <c r="AG120" i="13"/>
  <c r="AG99" i="13"/>
  <c r="AF59" i="13"/>
  <c r="AD114" i="13"/>
  <c r="AG98" i="13"/>
  <c r="AG110" i="13"/>
  <c r="AG108" i="13"/>
  <c r="AG107" i="13"/>
  <c r="AG119" i="13"/>
  <c r="AG111" i="13"/>
  <c r="AG115" i="13"/>
  <c r="AD121" i="13"/>
  <c r="AE121" i="13" s="1"/>
  <c r="AF121" i="13"/>
  <c r="AG112" i="13"/>
  <c r="AF58" i="13"/>
  <c r="AG59" i="13"/>
  <c r="AG58" i="13"/>
  <c r="AG60" i="13"/>
  <c r="AG57" i="13"/>
  <c r="AG61" i="13"/>
  <c r="V47" i="13"/>
  <c r="X47" i="13" s="1"/>
  <c r="Y47" i="13" s="1"/>
  <c r="AC47" i="13"/>
  <c r="AB29" i="13"/>
  <c r="AF46" i="13"/>
  <c r="AD46" i="13"/>
  <c r="AE46" i="13" s="1"/>
  <c r="V46" i="13"/>
  <c r="X46" i="13" s="1"/>
  <c r="Y46" i="13" s="1"/>
  <c r="AB46" i="13"/>
  <c r="W29" i="13"/>
  <c r="AF29" i="13" s="1"/>
  <c r="D13" i="26"/>
  <c r="AG114" i="13" l="1"/>
  <c r="AE114" i="13"/>
  <c r="AG117" i="13"/>
  <c r="Y117" i="13"/>
  <c r="AG124" i="13"/>
  <c r="AG118" i="13"/>
  <c r="X29" i="13"/>
  <c r="Y29" i="13" s="1"/>
  <c r="AG123" i="13"/>
  <c r="AG109" i="13"/>
  <c r="AG106" i="13"/>
  <c r="AG121" i="13"/>
  <c r="AD47" i="13"/>
  <c r="AE47" i="13" s="1"/>
  <c r="AF47" i="13"/>
  <c r="AG46" i="13"/>
  <c r="U38" i="13"/>
  <c r="V38" i="13" s="1"/>
  <c r="AA38" i="13"/>
  <c r="U39" i="13"/>
  <c r="AA39" i="13"/>
  <c r="U40" i="13"/>
  <c r="AA40" i="13"/>
  <c r="U41" i="13"/>
  <c r="AA41" i="13"/>
  <c r="AC41" i="13" s="1"/>
  <c r="U42" i="13"/>
  <c r="V42" i="13" s="1"/>
  <c r="AA42" i="13"/>
  <c r="U43" i="13"/>
  <c r="W43" i="13" s="1"/>
  <c r="AA43" i="13"/>
  <c r="AC43" i="13" s="1"/>
  <c r="U44" i="13"/>
  <c r="AA44" i="13"/>
  <c r="U45" i="13"/>
  <c r="AA45" i="13"/>
  <c r="U48" i="13"/>
  <c r="W48" i="13" s="1"/>
  <c r="AA48" i="13"/>
  <c r="U49" i="13"/>
  <c r="AA49" i="13"/>
  <c r="U50" i="13"/>
  <c r="AA50" i="13"/>
  <c r="U51" i="13"/>
  <c r="AA51" i="13"/>
  <c r="AC51" i="13" s="1"/>
  <c r="U52" i="13"/>
  <c r="W52" i="13" s="1"/>
  <c r="AA52" i="13"/>
  <c r="AC52" i="13" s="1"/>
  <c r="AD52" i="13" s="1"/>
  <c r="AE52" i="13" s="1"/>
  <c r="U53" i="13"/>
  <c r="W53" i="13" s="1"/>
  <c r="AA53" i="13"/>
  <c r="U54" i="13"/>
  <c r="AA54" i="13"/>
  <c r="U55" i="13"/>
  <c r="V55" i="13" s="1"/>
  <c r="AA55" i="13"/>
  <c r="U56" i="13"/>
  <c r="AA56" i="13"/>
  <c r="AC56" i="13" s="1"/>
  <c r="U62" i="13"/>
  <c r="AA62" i="13"/>
  <c r="U63" i="13"/>
  <c r="AA63" i="13"/>
  <c r="U64" i="13"/>
  <c r="V64" i="13" s="1"/>
  <c r="AA64" i="13"/>
  <c r="AC64" i="13" s="1"/>
  <c r="U65" i="13"/>
  <c r="V65" i="13" s="1"/>
  <c r="AA65" i="13"/>
  <c r="AC65" i="13" s="1"/>
  <c r="AD65" i="13" s="1"/>
  <c r="AE65" i="13" s="1"/>
  <c r="U66" i="13"/>
  <c r="W66" i="13" s="1"/>
  <c r="AA66" i="13"/>
  <c r="U67" i="13"/>
  <c r="AA67" i="13"/>
  <c r="AC67" i="13" s="1"/>
  <c r="AD67" i="13" s="1"/>
  <c r="AE67" i="13" s="1"/>
  <c r="U68" i="13"/>
  <c r="V68" i="13" s="1"/>
  <c r="AA68" i="13"/>
  <c r="AB68" i="13" s="1"/>
  <c r="U69" i="13"/>
  <c r="V69" i="13" s="1"/>
  <c r="AA69" i="13"/>
  <c r="U70" i="13"/>
  <c r="AA70" i="13"/>
  <c r="U71" i="13"/>
  <c r="AA71" i="13"/>
  <c r="AB71" i="13" s="1"/>
  <c r="U72" i="13"/>
  <c r="AA72" i="13"/>
  <c r="AC72" i="13" s="1"/>
  <c r="U73" i="13"/>
  <c r="W73" i="13" s="1"/>
  <c r="AA73" i="13"/>
  <c r="U74" i="13"/>
  <c r="AA74" i="13"/>
  <c r="U75" i="13"/>
  <c r="AA75" i="13"/>
  <c r="AB75" i="13" s="1"/>
  <c r="U76" i="13"/>
  <c r="W76" i="13" s="1"/>
  <c r="AA76" i="13"/>
  <c r="U77" i="13"/>
  <c r="AA77" i="13"/>
  <c r="U78" i="13"/>
  <c r="AA78" i="13"/>
  <c r="AB78" i="13" s="1"/>
  <c r="U79" i="13"/>
  <c r="V79" i="13" s="1"/>
  <c r="AA79" i="13"/>
  <c r="AC79" i="13" s="1"/>
  <c r="AD79" i="13" s="1"/>
  <c r="AE79" i="13" s="1"/>
  <c r="U80" i="13"/>
  <c r="V80" i="13" s="1"/>
  <c r="AA80" i="13"/>
  <c r="AC80" i="13" s="1"/>
  <c r="U81" i="13"/>
  <c r="W81" i="13" s="1"/>
  <c r="AA81" i="13"/>
  <c r="U82" i="13"/>
  <c r="AA82" i="13"/>
  <c r="U83" i="13"/>
  <c r="V83" i="13" s="1"/>
  <c r="AA83" i="13"/>
  <c r="AB83" i="13" s="1"/>
  <c r="U84" i="13"/>
  <c r="AA84" i="13"/>
  <c r="AC84" i="13" s="1"/>
  <c r="U85" i="13"/>
  <c r="V85" i="13" s="1"/>
  <c r="AA85" i="13"/>
  <c r="U86" i="13"/>
  <c r="AA86" i="13"/>
  <c r="U87" i="13"/>
  <c r="AA87" i="13"/>
  <c r="AC87" i="13" s="1"/>
  <c r="AD87" i="13" s="1"/>
  <c r="AE87" i="13" s="1"/>
  <c r="U88" i="13"/>
  <c r="AA88" i="13"/>
  <c r="AC88" i="13" s="1"/>
  <c r="AD88" i="13" s="1"/>
  <c r="AE88" i="13" s="1"/>
  <c r="U89" i="13"/>
  <c r="AA89" i="13"/>
  <c r="AB89" i="13" s="1"/>
  <c r="U90" i="13"/>
  <c r="V90" i="13" s="1"/>
  <c r="AA90" i="13"/>
  <c r="U91" i="13"/>
  <c r="AA91" i="13"/>
  <c r="U92" i="13"/>
  <c r="AA92" i="13"/>
  <c r="AB92" i="13" s="1"/>
  <c r="U93" i="13"/>
  <c r="AA93" i="13"/>
  <c r="U94" i="13"/>
  <c r="AA94" i="13"/>
  <c r="U95" i="13"/>
  <c r="AA95" i="13"/>
  <c r="U96" i="13"/>
  <c r="AA96" i="13"/>
  <c r="U97" i="13"/>
  <c r="W97" i="13" s="1"/>
  <c r="AA97" i="13"/>
  <c r="AC97" i="13" s="1"/>
  <c r="U100" i="13"/>
  <c r="W100" i="13" s="1"/>
  <c r="AA100" i="13"/>
  <c r="AC100" i="13" s="1"/>
  <c r="AD100" i="13" s="1"/>
  <c r="AE100" i="13" s="1"/>
  <c r="U101" i="13"/>
  <c r="W101" i="13" s="1"/>
  <c r="AA101" i="13"/>
  <c r="AB101" i="13" s="1"/>
  <c r="U102" i="13"/>
  <c r="V102" i="13" s="1"/>
  <c r="AA102" i="13"/>
  <c r="AC102" i="13" s="1"/>
  <c r="U103" i="13"/>
  <c r="W103" i="13" s="1"/>
  <c r="AA103" i="13"/>
  <c r="U104" i="13"/>
  <c r="W104" i="13" s="1"/>
  <c r="AA104" i="13"/>
  <c r="AC104" i="13" s="1"/>
  <c r="AD104" i="13" s="1"/>
  <c r="AE104" i="13" s="1"/>
  <c r="U134" i="13"/>
  <c r="AA134" i="13"/>
  <c r="U7" i="13"/>
  <c r="V7" i="13" s="1"/>
  <c r="AA7" i="13"/>
  <c r="AB7" i="13" s="1"/>
  <c r="U8" i="13"/>
  <c r="AA8" i="13"/>
  <c r="AC8" i="13" s="1"/>
  <c r="AD8" i="13" s="1"/>
  <c r="AE8" i="13" s="1"/>
  <c r="U9" i="13"/>
  <c r="W9" i="13" s="1"/>
  <c r="AA9" i="13"/>
  <c r="U10" i="13"/>
  <c r="AA10" i="13"/>
  <c r="AB10" i="13" s="1"/>
  <c r="U11" i="13"/>
  <c r="V11" i="13" s="1"/>
  <c r="AA11" i="13"/>
  <c r="AB11" i="13" s="1"/>
  <c r="U12" i="13"/>
  <c r="W12" i="13" s="1"/>
  <c r="AA12" i="13"/>
  <c r="AC12" i="13" s="1"/>
  <c r="AD12" i="13" s="1"/>
  <c r="AE12" i="13" s="1"/>
  <c r="U13" i="13"/>
  <c r="W13" i="13" s="1"/>
  <c r="AA13" i="13"/>
  <c r="U14" i="13"/>
  <c r="AA14" i="13"/>
  <c r="AB14" i="13" s="1"/>
  <c r="U15" i="13"/>
  <c r="V15" i="13" s="1"/>
  <c r="AA15" i="13"/>
  <c r="AC15" i="13" s="1"/>
  <c r="AD15" i="13" s="1"/>
  <c r="AE15" i="13" s="1"/>
  <c r="U16" i="13"/>
  <c r="V16" i="13" s="1"/>
  <c r="AA16" i="13"/>
  <c r="U17" i="13"/>
  <c r="AA17" i="13"/>
  <c r="U18" i="13"/>
  <c r="AA18" i="13"/>
  <c r="AB18" i="13" s="1"/>
  <c r="U19" i="13"/>
  <c r="V19" i="13" s="1"/>
  <c r="AA19" i="13"/>
  <c r="AB19" i="13" s="1"/>
  <c r="U21" i="13"/>
  <c r="AA21" i="13"/>
  <c r="U22" i="13"/>
  <c r="W22" i="13" s="1"/>
  <c r="AA22" i="13"/>
  <c r="U23" i="13"/>
  <c r="AA23" i="13"/>
  <c r="AB23" i="13" s="1"/>
  <c r="U24" i="13"/>
  <c r="V24" i="13" s="1"/>
  <c r="AA24" i="13"/>
  <c r="AC24" i="13" s="1"/>
  <c r="AD24" i="13" s="1"/>
  <c r="AE24" i="13" s="1"/>
  <c r="U25" i="13"/>
  <c r="V25" i="13" s="1"/>
  <c r="AA25" i="13"/>
  <c r="AC25" i="13" s="1"/>
  <c r="AD25" i="13" s="1"/>
  <c r="AE25" i="13" s="1"/>
  <c r="U26" i="13"/>
  <c r="W26" i="13" s="1"/>
  <c r="AA26" i="13"/>
  <c r="U27" i="13"/>
  <c r="AA27" i="13"/>
  <c r="AB27" i="13" s="1"/>
  <c r="AA28" i="13"/>
  <c r="AC28" i="13" s="1"/>
  <c r="AD28" i="13" s="1"/>
  <c r="AE28" i="13" s="1"/>
  <c r="U30" i="13"/>
  <c r="V30" i="13" s="1"/>
  <c r="AA30" i="13"/>
  <c r="AC30" i="13" s="1"/>
  <c r="AD30" i="13" s="1"/>
  <c r="AE30" i="13" s="1"/>
  <c r="U31" i="13"/>
  <c r="W31" i="13" s="1"/>
  <c r="AA31" i="13"/>
  <c r="U32" i="13"/>
  <c r="AA32" i="13"/>
  <c r="AB32" i="13" s="1"/>
  <c r="U33" i="13"/>
  <c r="V33" i="13" s="1"/>
  <c r="AA33" i="13"/>
  <c r="AB33" i="13" s="1"/>
  <c r="U34" i="13"/>
  <c r="V34" i="13" s="1"/>
  <c r="AA34" i="13"/>
  <c r="AC34" i="13" s="1"/>
  <c r="AD34" i="13" s="1"/>
  <c r="AE34" i="13" s="1"/>
  <c r="U35" i="13"/>
  <c r="V35" i="13" s="1"/>
  <c r="AA35" i="13"/>
  <c r="AC35" i="13" s="1"/>
  <c r="AD35" i="13" s="1"/>
  <c r="AE35" i="13" s="1"/>
  <c r="U36" i="13"/>
  <c r="W36" i="13" s="1"/>
  <c r="AA36" i="13"/>
  <c r="AB36" i="13" s="1"/>
  <c r="U37" i="13"/>
  <c r="V37" i="13" s="1"/>
  <c r="AA37" i="13"/>
  <c r="AC37" i="13" s="1"/>
  <c r="AD37" i="13" s="1"/>
  <c r="AE37" i="13" s="1"/>
  <c r="AB15" i="13" l="1"/>
  <c r="AG29" i="13"/>
  <c r="AG47" i="13"/>
  <c r="AB64" i="13"/>
  <c r="AC33" i="13"/>
  <c r="AD33" i="13" s="1"/>
  <c r="AE33" i="13" s="1"/>
  <c r="AB35" i="13"/>
  <c r="W34" i="13"/>
  <c r="AF34" i="13" s="1"/>
  <c r="W16" i="13"/>
  <c r="X16" i="13" s="1"/>
  <c r="Y16" i="13" s="1"/>
  <c r="AB97" i="13"/>
  <c r="AB67" i="13"/>
  <c r="AC23" i="13"/>
  <c r="AD23" i="13" s="1"/>
  <c r="AE23" i="13" s="1"/>
  <c r="W19" i="13"/>
  <c r="X19" i="13" s="1"/>
  <c r="Y19" i="13" s="1"/>
  <c r="AC78" i="13"/>
  <c r="AD78" i="13" s="1"/>
  <c r="AE78" i="13" s="1"/>
  <c r="AC7" i="13"/>
  <c r="AD7" i="13" s="1"/>
  <c r="AE7" i="13" s="1"/>
  <c r="AB24" i="13"/>
  <c r="AC83" i="13"/>
  <c r="AD83" i="13" s="1"/>
  <c r="AE83" i="13" s="1"/>
  <c r="V73" i="13"/>
  <c r="X73" i="13" s="1"/>
  <c r="Y73" i="13" s="1"/>
  <c r="AC71" i="13"/>
  <c r="AD71" i="13" s="1"/>
  <c r="AE71" i="13" s="1"/>
  <c r="AB25" i="13"/>
  <c r="V97" i="13"/>
  <c r="X97" i="13" s="1"/>
  <c r="Y97" i="13" s="1"/>
  <c r="V76" i="13"/>
  <c r="X76" i="13" s="1"/>
  <c r="Y76" i="13" s="1"/>
  <c r="V43" i="13"/>
  <c r="X43" i="13" s="1"/>
  <c r="Y43" i="13" s="1"/>
  <c r="AB43" i="13"/>
  <c r="AC32" i="13"/>
  <c r="AD32" i="13" s="1"/>
  <c r="AE32" i="13" s="1"/>
  <c r="V26" i="13"/>
  <c r="X26" i="13" s="1"/>
  <c r="Y26" i="13" s="1"/>
  <c r="W25" i="13"/>
  <c r="AF25" i="13" s="1"/>
  <c r="W24" i="13"/>
  <c r="AF24" i="13" s="1"/>
  <c r="AB8" i="13"/>
  <c r="V104" i="13"/>
  <c r="X104" i="13" s="1"/>
  <c r="V103" i="13"/>
  <c r="X103" i="13" s="1"/>
  <c r="Y103" i="13" s="1"/>
  <c r="V100" i="13"/>
  <c r="X100" i="13" s="1"/>
  <c r="Y100" i="13" s="1"/>
  <c r="W90" i="13"/>
  <c r="X90" i="13" s="1"/>
  <c r="Y90" i="13" s="1"/>
  <c r="AB87" i="13"/>
  <c r="AB79" i="13"/>
  <c r="AB72" i="13"/>
  <c r="W68" i="13"/>
  <c r="X68" i="13" s="1"/>
  <c r="Y68" i="13" s="1"/>
  <c r="W55" i="13"/>
  <c r="X55" i="13" s="1"/>
  <c r="Y55" i="13" s="1"/>
  <c r="V48" i="13"/>
  <c r="X48" i="13" s="1"/>
  <c r="Y48" i="13" s="1"/>
  <c r="W42" i="13"/>
  <c r="AF52" i="13"/>
  <c r="AF100" i="13"/>
  <c r="AB51" i="13"/>
  <c r="AC11" i="13"/>
  <c r="AD11" i="13" s="1"/>
  <c r="AE11" i="13" s="1"/>
  <c r="AF104" i="13"/>
  <c r="AC92" i="13"/>
  <c r="AD92" i="13" s="1"/>
  <c r="AE92" i="13" s="1"/>
  <c r="W80" i="13"/>
  <c r="AF80" i="13" s="1"/>
  <c r="W69" i="13"/>
  <c r="X69" i="13" s="1"/>
  <c r="Y69" i="13" s="1"/>
  <c r="AC68" i="13"/>
  <c r="W65" i="13"/>
  <c r="AF65" i="13" s="1"/>
  <c r="AB37" i="13"/>
  <c r="AC18" i="13"/>
  <c r="AD18" i="13" s="1"/>
  <c r="AE18" i="13" s="1"/>
  <c r="AC14" i="13"/>
  <c r="AD14" i="13" s="1"/>
  <c r="AE14" i="13" s="1"/>
  <c r="W7" i="13"/>
  <c r="AB104" i="13"/>
  <c r="AC89" i="13"/>
  <c r="AD89" i="13" s="1"/>
  <c r="AE89" i="13" s="1"/>
  <c r="AB88" i="13"/>
  <c r="AB41" i="13"/>
  <c r="W17" i="13"/>
  <c r="V17" i="13"/>
  <c r="V93" i="13"/>
  <c r="W93" i="13"/>
  <c r="V28" i="13"/>
  <c r="W28" i="13"/>
  <c r="AF28" i="13" s="1"/>
  <c r="W88" i="13"/>
  <c r="AF88" i="13" s="1"/>
  <c r="V88" i="13"/>
  <c r="AC76" i="13"/>
  <c r="AB76" i="13"/>
  <c r="AC48" i="13"/>
  <c r="AB48" i="13"/>
  <c r="W44" i="13"/>
  <c r="V44" i="13"/>
  <c r="AB38" i="13"/>
  <c r="AC38" i="13"/>
  <c r="W35" i="13"/>
  <c r="AF35" i="13" s="1"/>
  <c r="W33" i="13"/>
  <c r="X33" i="13" s="1"/>
  <c r="Y33" i="13" s="1"/>
  <c r="W30" i="13"/>
  <c r="AF30" i="13" s="1"/>
  <c r="AB28" i="13"/>
  <c r="AC19" i="13"/>
  <c r="V12" i="13"/>
  <c r="X12" i="13" s="1"/>
  <c r="Y12" i="13" s="1"/>
  <c r="AD97" i="13"/>
  <c r="AE97" i="13" s="1"/>
  <c r="AF97" i="13"/>
  <c r="W91" i="13"/>
  <c r="V91" i="13"/>
  <c r="AB82" i="13"/>
  <c r="AC82" i="13"/>
  <c r="AD82" i="13" s="1"/>
  <c r="AE82" i="13" s="1"/>
  <c r="W79" i="13"/>
  <c r="AF79" i="13" s="1"/>
  <c r="W74" i="13"/>
  <c r="V74" i="13"/>
  <c r="AB55" i="13"/>
  <c r="AC55" i="13"/>
  <c r="AD55" i="13" s="1"/>
  <c r="AE55" i="13" s="1"/>
  <c r="AD51" i="13"/>
  <c r="AE51" i="13" s="1"/>
  <c r="AC96" i="13"/>
  <c r="AD96" i="13" s="1"/>
  <c r="AE96" i="13" s="1"/>
  <c r="AB96" i="13"/>
  <c r="AD84" i="13"/>
  <c r="AE84" i="13" s="1"/>
  <c r="AB50" i="13"/>
  <c r="AC50" i="13"/>
  <c r="AD50" i="13" s="1"/>
  <c r="AE50" i="13" s="1"/>
  <c r="V94" i="13"/>
  <c r="W94" i="13"/>
  <c r="W37" i="13"/>
  <c r="X37" i="13" s="1"/>
  <c r="Y37" i="13" s="1"/>
  <c r="AB34" i="13"/>
  <c r="V21" i="13"/>
  <c r="AC16" i="13"/>
  <c r="AB16" i="13"/>
  <c r="W11" i="13"/>
  <c r="X11" i="13" s="1"/>
  <c r="Y11" i="13" s="1"/>
  <c r="V8" i="13"/>
  <c r="W8" i="13"/>
  <c r="AF8" i="13" s="1"/>
  <c r="AB90" i="13"/>
  <c r="AC90" i="13"/>
  <c r="AD90" i="13" s="1"/>
  <c r="AE90" i="13" s="1"/>
  <c r="AB84" i="13"/>
  <c r="AB63" i="13"/>
  <c r="AC63" i="13"/>
  <c r="AD63" i="13" s="1"/>
  <c r="AE63" i="13" s="1"/>
  <c r="AB56" i="13"/>
  <c r="W15" i="13"/>
  <c r="X15" i="13" s="1"/>
  <c r="Y15" i="13" s="1"/>
  <c r="AC10" i="13"/>
  <c r="AD10" i="13" s="1"/>
  <c r="AE10" i="13" s="1"/>
  <c r="V9" i="13"/>
  <c r="X9" i="13" s="1"/>
  <c r="Y9" i="13" s="1"/>
  <c r="AB102" i="13"/>
  <c r="V84" i="13"/>
  <c r="W84" i="13"/>
  <c r="AF84" i="13" s="1"/>
  <c r="W83" i="13"/>
  <c r="X83" i="13" s="1"/>
  <c r="Y83" i="13" s="1"/>
  <c r="W77" i="13"/>
  <c r="V77" i="13"/>
  <c r="V72" i="13"/>
  <c r="W72" i="13"/>
  <c r="AF72" i="13" s="1"/>
  <c r="W64" i="13"/>
  <c r="AF64" i="13" s="1"/>
  <c r="V56" i="13"/>
  <c r="W56" i="13"/>
  <c r="AF56" i="13" s="1"/>
  <c r="V52" i="13"/>
  <c r="X52" i="13" s="1"/>
  <c r="V51" i="13"/>
  <c r="W51" i="13"/>
  <c r="AF51" i="13" s="1"/>
  <c r="AB45" i="13"/>
  <c r="AC45" i="13"/>
  <c r="AD45" i="13" s="1"/>
  <c r="AE45" i="13" s="1"/>
  <c r="AB42" i="13"/>
  <c r="AC42" i="13"/>
  <c r="AD42" i="13" s="1"/>
  <c r="AE42" i="13" s="1"/>
  <c r="AB93" i="13"/>
  <c r="AC93" i="13"/>
  <c r="AB86" i="13"/>
  <c r="AC86" i="13"/>
  <c r="AD86" i="13" s="1"/>
  <c r="AE86" i="13" s="1"/>
  <c r="V75" i="13"/>
  <c r="AC73" i="13"/>
  <c r="AB73" i="13"/>
  <c r="AD64" i="13"/>
  <c r="AB54" i="13"/>
  <c r="AC54" i="13"/>
  <c r="AD54" i="13" s="1"/>
  <c r="AE54" i="13" s="1"/>
  <c r="W49" i="13"/>
  <c r="V49" i="13"/>
  <c r="V39" i="13"/>
  <c r="W39" i="13"/>
  <c r="X42" i="13"/>
  <c r="Y42" i="13" s="1"/>
  <c r="W38" i="13"/>
  <c r="X38" i="13" s="1"/>
  <c r="Y38" i="13" s="1"/>
  <c r="W92" i="13"/>
  <c r="V92" i="13"/>
  <c r="AB103" i="13"/>
  <c r="AC103" i="13"/>
  <c r="W70" i="13"/>
  <c r="V70" i="13"/>
  <c r="W134" i="13"/>
  <c r="V134" i="13"/>
  <c r="AC101" i="13"/>
  <c r="W95" i="13"/>
  <c r="V95" i="13"/>
  <c r="W40" i="13"/>
  <c r="V40" i="13"/>
  <c r="W89" i="13"/>
  <c r="V89" i="13"/>
  <c r="W96" i="13"/>
  <c r="V96" i="13"/>
  <c r="V78" i="13"/>
  <c r="W78" i="13"/>
  <c r="AB134" i="13"/>
  <c r="AC134" i="13"/>
  <c r="AD102" i="13"/>
  <c r="AE102" i="13" s="1"/>
  <c r="AB85" i="13"/>
  <c r="AD72" i="13"/>
  <c r="AE72" i="13" s="1"/>
  <c r="V101" i="13"/>
  <c r="X101" i="13" s="1"/>
  <c r="Y101" i="13" s="1"/>
  <c r="AC94" i="13"/>
  <c r="AB94" i="13"/>
  <c r="AC91" i="13"/>
  <c r="AB91" i="13"/>
  <c r="V81" i="13"/>
  <c r="X81" i="13" s="1"/>
  <c r="Y81" i="13" s="1"/>
  <c r="AC95" i="13"/>
  <c r="AB95" i="13"/>
  <c r="AB53" i="13"/>
  <c r="AC53" i="13"/>
  <c r="W102" i="13"/>
  <c r="X102" i="13" s="1"/>
  <c r="Y102" i="13" s="1"/>
  <c r="AB100" i="13"/>
  <c r="V87" i="13"/>
  <c r="W87" i="13"/>
  <c r="AF87" i="13" s="1"/>
  <c r="V86" i="13"/>
  <c r="W86" i="13"/>
  <c r="AB80" i="13"/>
  <c r="V71" i="13"/>
  <c r="W71" i="13"/>
  <c r="AD80" i="13"/>
  <c r="AE80" i="13" s="1"/>
  <c r="AB77" i="13"/>
  <c r="AC77" i="13"/>
  <c r="AB66" i="13"/>
  <c r="AC66" i="13"/>
  <c r="W62" i="13"/>
  <c r="V62" i="13"/>
  <c r="AB40" i="13"/>
  <c r="AC40" i="13"/>
  <c r="AB70" i="13"/>
  <c r="AC70" i="13"/>
  <c r="V67" i="13"/>
  <c r="W67" i="13"/>
  <c r="AF67" i="13" s="1"/>
  <c r="V54" i="13"/>
  <c r="W54" i="13"/>
  <c r="AD43" i="13"/>
  <c r="AE43" i="13" s="1"/>
  <c r="AF43" i="13"/>
  <c r="AC39" i="13"/>
  <c r="AB39" i="13"/>
  <c r="V82" i="13"/>
  <c r="W82" i="13"/>
  <c r="AB81" i="13"/>
  <c r="AC81" i="13"/>
  <c r="AC69" i="13"/>
  <c r="AB69" i="13"/>
  <c r="AD56" i="13"/>
  <c r="AE56" i="13" s="1"/>
  <c r="AD41" i="13"/>
  <c r="AE41" i="13" s="1"/>
  <c r="V41" i="13"/>
  <c r="W41" i="13"/>
  <c r="AF41" i="13" s="1"/>
  <c r="V66" i="13"/>
  <c r="X66" i="13" s="1"/>
  <c r="Y66" i="13" s="1"/>
  <c r="AB65" i="13"/>
  <c r="V63" i="13"/>
  <c r="W63" i="13"/>
  <c r="AB62" i="13"/>
  <c r="AC62" i="13"/>
  <c r="V53" i="13"/>
  <c r="X53" i="13" s="1"/>
  <c r="Y53" i="13" s="1"/>
  <c r="AB52" i="13"/>
  <c r="V45" i="13"/>
  <c r="W45" i="13"/>
  <c r="AB44" i="13"/>
  <c r="AC44" i="13"/>
  <c r="AB74" i="13"/>
  <c r="AC74" i="13"/>
  <c r="V50" i="13"/>
  <c r="W50" i="13"/>
  <c r="AB49" i="13"/>
  <c r="AC49" i="13"/>
  <c r="AB9" i="13"/>
  <c r="AC9" i="13"/>
  <c r="V32" i="13"/>
  <c r="W32" i="13"/>
  <c r="AB31" i="13"/>
  <c r="AC31" i="13"/>
  <c r="AB22" i="13"/>
  <c r="AC22" i="13"/>
  <c r="AB13" i="13"/>
  <c r="AC13" i="13"/>
  <c r="V10" i="13"/>
  <c r="W10" i="13"/>
  <c r="V23" i="13"/>
  <c r="W23" i="13"/>
  <c r="V14" i="13"/>
  <c r="W14" i="13"/>
  <c r="AF12" i="13"/>
  <c r="AC36" i="13"/>
  <c r="V36" i="13"/>
  <c r="X36" i="13" s="1"/>
  <c r="Y36" i="13" s="1"/>
  <c r="V31" i="13"/>
  <c r="X31" i="13" s="1"/>
  <c r="Y31" i="13" s="1"/>
  <c r="AB30" i="13"/>
  <c r="V27" i="13"/>
  <c r="AB26" i="13"/>
  <c r="AC26" i="13"/>
  <c r="V22" i="13"/>
  <c r="X22" i="13" s="1"/>
  <c r="Y22" i="13" s="1"/>
  <c r="AB21" i="13"/>
  <c r="V18" i="13"/>
  <c r="W18" i="13"/>
  <c r="AB17" i="13"/>
  <c r="AC17" i="13"/>
  <c r="V13" i="13"/>
  <c r="X13" i="13" s="1"/>
  <c r="Y13" i="13" s="1"/>
  <c r="AB12" i="13"/>
  <c r="E92" i="13"/>
  <c r="D92" i="13"/>
  <c r="C92" i="13"/>
  <c r="B92" i="13"/>
  <c r="L92" i="13"/>
  <c r="Q92" i="13"/>
  <c r="L101" i="13"/>
  <c r="X30" i="13" l="1"/>
  <c r="Y30" i="13" s="1"/>
  <c r="X32" i="13"/>
  <c r="Y32" i="13" s="1"/>
  <c r="X64" i="13"/>
  <c r="Y64" i="13" s="1"/>
  <c r="AG52" i="13"/>
  <c r="Y52" i="13"/>
  <c r="AG64" i="13"/>
  <c r="AE64" i="13"/>
  <c r="AG104" i="13"/>
  <c r="Y104" i="13"/>
  <c r="X34" i="13"/>
  <c r="X8" i="13"/>
  <c r="X78" i="13"/>
  <c r="Y78" i="13" s="1"/>
  <c r="X67" i="13"/>
  <c r="Y67" i="13" s="1"/>
  <c r="X79" i="13"/>
  <c r="X24" i="13"/>
  <c r="X80" i="13"/>
  <c r="X40" i="13"/>
  <c r="Y40" i="13" s="1"/>
  <c r="AF45" i="13"/>
  <c r="AG33" i="13"/>
  <c r="X65" i="13"/>
  <c r="AF83" i="13"/>
  <c r="X35" i="13"/>
  <c r="AF7" i="13"/>
  <c r="AF50" i="13"/>
  <c r="AF23" i="13"/>
  <c r="X49" i="13"/>
  <c r="Y49" i="13" s="1"/>
  <c r="AF96" i="13"/>
  <c r="X74" i="13"/>
  <c r="Y74" i="13" s="1"/>
  <c r="AF18" i="13"/>
  <c r="X95" i="13"/>
  <c r="Y95" i="13" s="1"/>
  <c r="X39" i="13"/>
  <c r="Y39" i="13" s="1"/>
  <c r="X84" i="13"/>
  <c r="X88" i="13"/>
  <c r="X17" i="13"/>
  <c r="Y17" i="13" s="1"/>
  <c r="X25" i="13"/>
  <c r="AF33" i="13"/>
  <c r="X94" i="13"/>
  <c r="Y94" i="13" s="1"/>
  <c r="X7" i="13"/>
  <c r="AF54" i="13"/>
  <c r="AF78" i="13"/>
  <c r="AF63" i="13"/>
  <c r="AF71" i="13"/>
  <c r="AF10" i="13"/>
  <c r="AF14" i="13"/>
  <c r="AF92" i="13"/>
  <c r="AF86" i="13"/>
  <c r="AF89" i="13"/>
  <c r="AG42" i="13"/>
  <c r="AF37" i="13"/>
  <c r="AF32" i="13"/>
  <c r="AF55" i="13"/>
  <c r="AF90" i="13"/>
  <c r="AF11" i="13"/>
  <c r="AD68" i="13"/>
  <c r="AF68" i="13"/>
  <c r="AG97" i="13"/>
  <c r="AG15" i="13"/>
  <c r="AG37" i="13"/>
  <c r="AG12" i="13"/>
  <c r="AD93" i="13"/>
  <c r="AE93" i="13" s="1"/>
  <c r="AF93" i="13"/>
  <c r="AG11" i="13"/>
  <c r="AD38" i="13"/>
  <c r="AE38" i="13" s="1"/>
  <c r="AF38" i="13"/>
  <c r="AD76" i="13"/>
  <c r="AE76" i="13" s="1"/>
  <c r="AF76" i="13"/>
  <c r="X93" i="13"/>
  <c r="Y93" i="13" s="1"/>
  <c r="AF15" i="13"/>
  <c r="X18" i="13"/>
  <c r="X10" i="13"/>
  <c r="Y10" i="13" s="1"/>
  <c r="AF42" i="13"/>
  <c r="X63" i="13"/>
  <c r="X41" i="13"/>
  <c r="Y41" i="13" s="1"/>
  <c r="AF82" i="13"/>
  <c r="AF102" i="13"/>
  <c r="X134" i="13"/>
  <c r="Y134" i="13" s="1"/>
  <c r="X51" i="13"/>
  <c r="Y51" i="13" s="1"/>
  <c r="X72" i="13"/>
  <c r="Y72" i="13" s="1"/>
  <c r="AG55" i="13"/>
  <c r="AD19" i="13"/>
  <c r="AE19" i="13" s="1"/>
  <c r="AF19" i="13"/>
  <c r="AD48" i="13"/>
  <c r="AE48" i="13" s="1"/>
  <c r="AF48" i="13"/>
  <c r="X28" i="13"/>
  <c r="Y28" i="13" s="1"/>
  <c r="X14" i="13"/>
  <c r="X87" i="13"/>
  <c r="X56" i="13"/>
  <c r="Y56" i="13" s="1"/>
  <c r="AD16" i="13"/>
  <c r="AE16" i="13" s="1"/>
  <c r="AF16" i="13"/>
  <c r="X62" i="13"/>
  <c r="Y62" i="13" s="1"/>
  <c r="X89" i="13"/>
  <c r="AG100" i="13"/>
  <c r="AD73" i="13"/>
  <c r="AE73" i="13" s="1"/>
  <c r="AF73" i="13"/>
  <c r="X77" i="13"/>
  <c r="Y77" i="13" s="1"/>
  <c r="X91" i="13"/>
  <c r="Y91" i="13" s="1"/>
  <c r="X44" i="13"/>
  <c r="Y44" i="13" s="1"/>
  <c r="AF44" i="13"/>
  <c r="AD44" i="13"/>
  <c r="AE44" i="13" s="1"/>
  <c r="AG90" i="13"/>
  <c r="AF91" i="13"/>
  <c r="AD91" i="13"/>
  <c r="AE91" i="13" s="1"/>
  <c r="AF134" i="13"/>
  <c r="AD134" i="13"/>
  <c r="AE134" i="13" s="1"/>
  <c r="AG83" i="13"/>
  <c r="X50" i="13"/>
  <c r="Y50" i="13" s="1"/>
  <c r="AD69" i="13"/>
  <c r="AE69" i="13" s="1"/>
  <c r="AF69" i="13"/>
  <c r="AF49" i="13"/>
  <c r="AD49" i="13"/>
  <c r="AE49" i="13" s="1"/>
  <c r="AD74" i="13"/>
  <c r="AE74" i="13" s="1"/>
  <c r="AF74" i="13"/>
  <c r="X45" i="13"/>
  <c r="Y45" i="13" s="1"/>
  <c r="X82" i="13"/>
  <c r="Y82" i="13" s="1"/>
  <c r="AD39" i="13"/>
  <c r="AE39" i="13" s="1"/>
  <c r="AF39" i="13"/>
  <c r="AF70" i="13"/>
  <c r="AD70" i="13"/>
  <c r="AE70" i="13" s="1"/>
  <c r="X71" i="13"/>
  <c r="Y71" i="13" s="1"/>
  <c r="AF95" i="13"/>
  <c r="AD95" i="13"/>
  <c r="AE95" i="13" s="1"/>
  <c r="AD94" i="13"/>
  <c r="AE94" i="13" s="1"/>
  <c r="AF94" i="13"/>
  <c r="AG102" i="13"/>
  <c r="X96" i="13"/>
  <c r="Y96" i="13" s="1"/>
  <c r="X70" i="13"/>
  <c r="Y70" i="13" s="1"/>
  <c r="X92" i="13"/>
  <c r="AF81" i="13"/>
  <c r="AD81" i="13"/>
  <c r="AE81" i="13" s="1"/>
  <c r="AF40" i="13"/>
  <c r="AD40" i="13"/>
  <c r="AE40" i="13" s="1"/>
  <c r="AF66" i="13"/>
  <c r="AD66" i="13"/>
  <c r="AE66" i="13" s="1"/>
  <c r="AF77" i="13"/>
  <c r="AD77" i="13"/>
  <c r="AE77" i="13" s="1"/>
  <c r="AF62" i="13"/>
  <c r="AD62" i="13"/>
  <c r="AE62" i="13" s="1"/>
  <c r="AG43" i="13"/>
  <c r="AF101" i="13"/>
  <c r="AD101" i="13"/>
  <c r="AE101" i="13" s="1"/>
  <c r="X54" i="13"/>
  <c r="Y54" i="13" s="1"/>
  <c r="X86" i="13"/>
  <c r="AF53" i="13"/>
  <c r="AD53" i="13"/>
  <c r="AE53" i="13" s="1"/>
  <c r="AD103" i="13"/>
  <c r="AE103" i="13" s="1"/>
  <c r="AF103" i="13"/>
  <c r="AF36" i="13"/>
  <c r="AD36" i="13"/>
  <c r="AE36" i="13" s="1"/>
  <c r="AF26" i="13"/>
  <c r="AD26" i="13"/>
  <c r="AE26" i="13" s="1"/>
  <c r="X23" i="13"/>
  <c r="Y23" i="13" s="1"/>
  <c r="AF13" i="13"/>
  <c r="AD13" i="13"/>
  <c r="AE13" i="13" s="1"/>
  <c r="AF22" i="13"/>
  <c r="AD22" i="13"/>
  <c r="AE22" i="13" s="1"/>
  <c r="AF31" i="13"/>
  <c r="AD31" i="13"/>
  <c r="AE31" i="13" s="1"/>
  <c r="AG30" i="13"/>
  <c r="AF17" i="13"/>
  <c r="AD17" i="13"/>
  <c r="AE17" i="13" s="1"/>
  <c r="AF9" i="13"/>
  <c r="AD9" i="13"/>
  <c r="AE9" i="13" s="1"/>
  <c r="Q30" i="13"/>
  <c r="L30" i="13"/>
  <c r="E30" i="13"/>
  <c r="D30" i="13"/>
  <c r="C30" i="13"/>
  <c r="B30" i="13"/>
  <c r="Q28" i="13"/>
  <c r="L28" i="13"/>
  <c r="E28" i="13"/>
  <c r="D28" i="13"/>
  <c r="C28" i="13"/>
  <c r="B28" i="13"/>
  <c r="Q93" i="13"/>
  <c r="L93" i="13"/>
  <c r="E93" i="13"/>
  <c r="D93" i="13"/>
  <c r="C93" i="13"/>
  <c r="B93" i="13"/>
  <c r="Q82" i="13"/>
  <c r="L82" i="13"/>
  <c r="E82" i="13"/>
  <c r="D82" i="13"/>
  <c r="C82" i="13"/>
  <c r="B82" i="13"/>
  <c r="AG32" i="13" l="1"/>
  <c r="AG78" i="13"/>
  <c r="AG67" i="13"/>
  <c r="AG18" i="13"/>
  <c r="Y18" i="13"/>
  <c r="AG80" i="13"/>
  <c r="Y80" i="13"/>
  <c r="AG8" i="13"/>
  <c r="Y8" i="13"/>
  <c r="AG86" i="13"/>
  <c r="Y86" i="13"/>
  <c r="AG7" i="13"/>
  <c r="Y7" i="13"/>
  <c r="AG34" i="13"/>
  <c r="Y34" i="13"/>
  <c r="AG68" i="13"/>
  <c r="AE68" i="13"/>
  <c r="AG25" i="13"/>
  <c r="Y25" i="13"/>
  <c r="AG84" i="13"/>
  <c r="Y84" i="13"/>
  <c r="AG24" i="13"/>
  <c r="Y24" i="13"/>
  <c r="AG89" i="13"/>
  <c r="Y89" i="13"/>
  <c r="AG87" i="13"/>
  <c r="Y87" i="13"/>
  <c r="AG63" i="13"/>
  <c r="Y63" i="13"/>
  <c r="AG35" i="13"/>
  <c r="Y35" i="13"/>
  <c r="AG65" i="13"/>
  <c r="Y65" i="13"/>
  <c r="AG79" i="13"/>
  <c r="Y79" i="13"/>
  <c r="AG92" i="13"/>
  <c r="Y92" i="13"/>
  <c r="AG14" i="13"/>
  <c r="Y14" i="13"/>
  <c r="AG88" i="13"/>
  <c r="Y88" i="13"/>
  <c r="AG93" i="13"/>
  <c r="AG73" i="13"/>
  <c r="AG19" i="13"/>
  <c r="AG10" i="13"/>
  <c r="AG41" i="13"/>
  <c r="AG51" i="13"/>
  <c r="AG76" i="13"/>
  <c r="AG38" i="13"/>
  <c r="AG56" i="13"/>
  <c r="AG72" i="13"/>
  <c r="AG16" i="13"/>
  <c r="AG28" i="13"/>
  <c r="AG48" i="13"/>
  <c r="AG101" i="13"/>
  <c r="AG74" i="13"/>
  <c r="AG77" i="13"/>
  <c r="AG40" i="13"/>
  <c r="AG49" i="13"/>
  <c r="AG96" i="13"/>
  <c r="AG44" i="13"/>
  <c r="AG103" i="13"/>
  <c r="AG62" i="13"/>
  <c r="AG54" i="13"/>
  <c r="AG66" i="13"/>
  <c r="AG81" i="13"/>
  <c r="AG94" i="13"/>
  <c r="AG95" i="13"/>
  <c r="AG70" i="13"/>
  <c r="AG82" i="13"/>
  <c r="AG50" i="13"/>
  <c r="AG91" i="13"/>
  <c r="AG53" i="13"/>
  <c r="AG134" i="13"/>
  <c r="AG71" i="13"/>
  <c r="AG39" i="13"/>
  <c r="AG45" i="13"/>
  <c r="AG69" i="13"/>
  <c r="AG31" i="13"/>
  <c r="AG13" i="13"/>
  <c r="AG26" i="13"/>
  <c r="AG9" i="13"/>
  <c r="AG22" i="13"/>
  <c r="AG17" i="13"/>
  <c r="AG23" i="13"/>
  <c r="AG36" i="13"/>
  <c r="AC27" i="13" l="1"/>
  <c r="W27" i="13"/>
  <c r="X27" i="13" s="1"/>
  <c r="Y27" i="13" s="1"/>
  <c r="AC75" i="13"/>
  <c r="W75" i="13"/>
  <c r="X75" i="13" s="1"/>
  <c r="Y75" i="13" s="1"/>
  <c r="AC85" i="13"/>
  <c r="W85" i="13"/>
  <c r="X85" i="13" s="1"/>
  <c r="Y85" i="13" s="1"/>
  <c r="AC21" i="13"/>
  <c r="W21" i="13"/>
  <c r="X21" i="13" s="1"/>
  <c r="Y21" i="13" s="1"/>
  <c r="AD21" i="13" l="1"/>
  <c r="AE21" i="13" s="1"/>
  <c r="AF21" i="13"/>
  <c r="AD75" i="13"/>
  <c r="AE75" i="13" s="1"/>
  <c r="AF75" i="13"/>
  <c r="AD85" i="13"/>
  <c r="AE85" i="13" s="1"/>
  <c r="AF85" i="13"/>
  <c r="AD27" i="13"/>
  <c r="AE27" i="13" s="1"/>
  <c r="AF27" i="13"/>
  <c r="F21" i="25"/>
  <c r="F22" i="25"/>
  <c r="F24" i="25"/>
  <c r="B134" i="13"/>
  <c r="AG27" i="13" l="1"/>
  <c r="AG21" i="13"/>
  <c r="AG85" i="13"/>
  <c r="AG75" i="13"/>
  <c r="Q134" i="13"/>
  <c r="L134" i="13"/>
  <c r="E134" i="13"/>
  <c r="D134" i="13"/>
  <c r="C134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8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8" i="13"/>
  <c r="E89" i="13"/>
  <c r="E90" i="13"/>
  <c r="E91" i="13"/>
  <c r="E94" i="13"/>
  <c r="E95" i="13"/>
  <c r="E96" i="13"/>
  <c r="E97" i="13"/>
  <c r="E100" i="13"/>
  <c r="E101" i="13"/>
  <c r="E102" i="13"/>
  <c r="E103" i="13"/>
  <c r="E104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8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8" i="13"/>
  <c r="D89" i="13"/>
  <c r="D90" i="13"/>
  <c r="D91" i="13"/>
  <c r="D94" i="13"/>
  <c r="D95" i="13"/>
  <c r="D96" i="13"/>
  <c r="D97" i="13"/>
  <c r="D100" i="13"/>
  <c r="D101" i="13"/>
  <c r="D102" i="13"/>
  <c r="D103" i="13"/>
  <c r="D104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8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8" i="13"/>
  <c r="C89" i="13"/>
  <c r="C90" i="13"/>
  <c r="C91" i="13"/>
  <c r="C94" i="13"/>
  <c r="C95" i="13"/>
  <c r="C96" i="13"/>
  <c r="C97" i="13"/>
  <c r="C100" i="13"/>
  <c r="C101" i="13"/>
  <c r="C102" i="13"/>
  <c r="C103" i="13"/>
  <c r="C104" i="13"/>
  <c r="G13" i="26" l="1"/>
  <c r="B12" i="19" l="1"/>
  <c r="U6" i="13" l="1"/>
  <c r="B24" i="25"/>
  <c r="B22" i="25"/>
  <c r="B21" i="25"/>
  <c r="C7" i="19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1" i="13"/>
  <c r="Q22" i="13"/>
  <c r="Q23" i="13"/>
  <c r="Q24" i="13"/>
  <c r="Q25" i="13"/>
  <c r="Q26" i="13"/>
  <c r="Q27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8" i="13"/>
  <c r="Q49" i="13"/>
  <c r="Q50" i="13"/>
  <c r="Q51" i="13"/>
  <c r="Q52" i="13"/>
  <c r="Q53" i="13"/>
  <c r="Q54" i="13"/>
  <c r="Q55" i="13"/>
  <c r="Q56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3" i="13"/>
  <c r="Q84" i="13"/>
  <c r="Q85" i="13"/>
  <c r="Q86" i="13"/>
  <c r="Q87" i="13"/>
  <c r="Q88" i="13"/>
  <c r="Q89" i="13"/>
  <c r="Q90" i="13"/>
  <c r="Q91" i="13"/>
  <c r="Q94" i="13"/>
  <c r="Q95" i="13"/>
  <c r="Q96" i="13"/>
  <c r="Q97" i="13"/>
  <c r="Q100" i="13"/>
  <c r="Q101" i="13"/>
  <c r="Q102" i="13"/>
  <c r="Q103" i="13"/>
  <c r="Q104" i="13"/>
  <c r="L25" i="13"/>
  <c r="L26" i="13"/>
  <c r="L27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8" i="13"/>
  <c r="L49" i="13"/>
  <c r="L50" i="13"/>
  <c r="L51" i="13"/>
  <c r="L52" i="13"/>
  <c r="L53" i="13"/>
  <c r="L54" i="13"/>
  <c r="L55" i="13"/>
  <c r="L56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3" i="13"/>
  <c r="L84" i="13"/>
  <c r="L85" i="13"/>
  <c r="L86" i="13"/>
  <c r="L87" i="13"/>
  <c r="L88" i="13"/>
  <c r="L89" i="13"/>
  <c r="L90" i="13"/>
  <c r="L91" i="13"/>
  <c r="L94" i="13"/>
  <c r="L95" i="13"/>
  <c r="L96" i="13"/>
  <c r="L97" i="13"/>
  <c r="L100" i="13"/>
  <c r="L102" i="13"/>
  <c r="L103" i="13"/>
  <c r="L104" i="13"/>
  <c r="B7" i="19" l="1"/>
  <c r="H21" i="25"/>
  <c r="H22" i="25"/>
  <c r="H24" i="25"/>
  <c r="B13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8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8" i="13"/>
  <c r="B89" i="13"/>
  <c r="B90" i="13"/>
  <c r="B91" i="13"/>
  <c r="B94" i="13"/>
  <c r="B95" i="13"/>
  <c r="B96" i="13"/>
  <c r="B97" i="13"/>
  <c r="B100" i="13"/>
  <c r="B101" i="13"/>
  <c r="B102" i="13"/>
  <c r="B103" i="13"/>
  <c r="B104" i="13"/>
  <c r="B6" i="13"/>
  <c r="B28" i="29" l="1"/>
  <c r="B26" i="29"/>
  <c r="B27" i="29"/>
  <c r="B25" i="29"/>
  <c r="B29" i="29"/>
  <c r="B30" i="29"/>
  <c r="B23" i="29"/>
  <c r="B22" i="29"/>
  <c r="E12" i="19" s="1"/>
  <c r="B24" i="29"/>
  <c r="D12" i="19"/>
  <c r="H25" i="25"/>
  <c r="E13" i="19" l="1"/>
  <c r="D13" i="19"/>
  <c r="D24" i="25"/>
  <c r="D22" i="25"/>
  <c r="D21" i="25"/>
  <c r="AA6" i="13"/>
  <c r="AB6" i="13" s="1"/>
  <c r="L7" i="13"/>
  <c r="L8" i="13"/>
  <c r="L10" i="13"/>
  <c r="L11" i="13"/>
  <c r="L12" i="13"/>
  <c r="L13" i="13"/>
  <c r="L14" i="13"/>
  <c r="L15" i="13"/>
  <c r="L16" i="13"/>
  <c r="L17" i="13"/>
  <c r="L18" i="13"/>
  <c r="L19" i="13"/>
  <c r="L21" i="13"/>
  <c r="L22" i="13"/>
  <c r="L23" i="13"/>
  <c r="L24" i="13"/>
  <c r="L6" i="13"/>
  <c r="C8" i="19" l="1"/>
  <c r="AC6" i="13"/>
  <c r="AD6" i="13" l="1"/>
  <c r="AE6" i="13" s="1"/>
  <c r="AH96" i="13" l="1"/>
  <c r="AH93" i="13"/>
  <c r="AH56" i="13"/>
  <c r="AH19" i="13"/>
  <c r="AH48" i="13"/>
  <c r="AH94" i="13"/>
  <c r="AH118" i="13"/>
  <c r="AH124" i="13"/>
  <c r="AH29" i="13"/>
  <c r="AH28" i="13"/>
  <c r="AH85" i="13"/>
  <c r="AH27" i="13"/>
  <c r="AH134" i="13"/>
  <c r="AH77" i="13"/>
  <c r="AH49" i="13"/>
  <c r="AH11" i="13"/>
  <c r="AH72" i="13"/>
  <c r="AH71" i="13"/>
  <c r="AH8" i="13"/>
  <c r="AH12" i="13"/>
  <c r="AH68" i="13"/>
  <c r="AH64" i="13"/>
  <c r="AH67" i="13"/>
  <c r="AH87" i="13"/>
  <c r="AH63" i="13"/>
  <c r="AH82" i="13"/>
  <c r="AH50" i="13"/>
  <c r="AH7" i="13"/>
  <c r="AH92" i="13"/>
  <c r="AH41" i="13"/>
  <c r="AH89" i="13"/>
  <c r="AH51" i="13"/>
  <c r="AH42" i="13"/>
  <c r="AH95" i="13"/>
  <c r="AH62" i="13"/>
  <c r="AH76" i="13"/>
  <c r="AH91" i="13"/>
  <c r="AH36" i="13"/>
  <c r="AH74" i="13"/>
  <c r="AH16" i="13"/>
  <c r="AH38" i="13"/>
  <c r="AH70" i="13"/>
  <c r="AH39" i="13"/>
  <c r="AH33" i="13"/>
  <c r="AH14" i="13"/>
  <c r="AH104" i="13"/>
  <c r="AH23" i="13"/>
  <c r="AH52" i="13"/>
  <c r="F12" i="19"/>
  <c r="G14" i="26"/>
  <c r="AH17" i="13"/>
  <c r="AH21" i="13"/>
  <c r="AH24" i="13"/>
  <c r="W6" i="13"/>
  <c r="AF6" i="13" s="1"/>
  <c r="V6" i="13"/>
  <c r="F13" i="19" l="1"/>
  <c r="AH73" i="13"/>
  <c r="AH15" i="13"/>
  <c r="AH44" i="13"/>
  <c r="AH65" i="13"/>
  <c r="AH83" i="13"/>
  <c r="AH31" i="13"/>
  <c r="AH18" i="13"/>
  <c r="AH102" i="13"/>
  <c r="AH75" i="13"/>
  <c r="AH32" i="13"/>
  <c r="AH66" i="13"/>
  <c r="AH37" i="13"/>
  <c r="AH10" i="13"/>
  <c r="AH86" i="13"/>
  <c r="AH53" i="13"/>
  <c r="AH69" i="13"/>
  <c r="AH54" i="13"/>
  <c r="AH22" i="13"/>
  <c r="AH84" i="13"/>
  <c r="AH45" i="13"/>
  <c r="AH25" i="13"/>
  <c r="AH30" i="13"/>
  <c r="AH98" i="13"/>
  <c r="AH60" i="13"/>
  <c r="AH110" i="13"/>
  <c r="AH131" i="13"/>
  <c r="AH128" i="13"/>
  <c r="AH109" i="13"/>
  <c r="AH113" i="13"/>
  <c r="AH125" i="13"/>
  <c r="AH106" i="13"/>
  <c r="AH61" i="13"/>
  <c r="AH105" i="13"/>
  <c r="AH120" i="13"/>
  <c r="AH116" i="13"/>
  <c r="AH114" i="13"/>
  <c r="AH99" i="13"/>
  <c r="AH57" i="13"/>
  <c r="AH20" i="13"/>
  <c r="AH127" i="13"/>
  <c r="AH132" i="13"/>
  <c r="AH90" i="13"/>
  <c r="AH123" i="13"/>
  <c r="AH59" i="13"/>
  <c r="AH115" i="13"/>
  <c r="AH112" i="13"/>
  <c r="AH122" i="13"/>
  <c r="AH129" i="13"/>
  <c r="AH130" i="13"/>
  <c r="AH47" i="13"/>
  <c r="AH121" i="13"/>
  <c r="AH119" i="13"/>
  <c r="AH117" i="13"/>
  <c r="AH111" i="13"/>
  <c r="AH133" i="13"/>
  <c r="AH126" i="13"/>
  <c r="AH46" i="13"/>
  <c r="AH107" i="13"/>
  <c r="AH58" i="13"/>
  <c r="AH108" i="13"/>
  <c r="AH5" i="13"/>
  <c r="AH97" i="13"/>
  <c r="AH78" i="13"/>
  <c r="AH81" i="13"/>
  <c r="AH35" i="13"/>
  <c r="AH79" i="13"/>
  <c r="AH34" i="13"/>
  <c r="AH100" i="13"/>
  <c r="AH88" i="13"/>
  <c r="AH13" i="13"/>
  <c r="AH55" i="13"/>
  <c r="AH80" i="13"/>
  <c r="AH9" i="13"/>
  <c r="AH40" i="13"/>
  <c r="AH101" i="13"/>
  <c r="AH43" i="13"/>
  <c r="AH26" i="13"/>
  <c r="AH103" i="13"/>
  <c r="X6" i="13"/>
  <c r="Y6" i="13" l="1"/>
  <c r="AH6" i="13" s="1"/>
  <c r="AG6" i="13"/>
  <c r="D7" i="19" l="1"/>
  <c r="D8" i="19" s="1"/>
  <c r="G7" i="19" l="1"/>
  <c r="E7" i="19" l="1"/>
  <c r="E8" i="19" s="1"/>
  <c r="C12" i="19"/>
  <c r="G8" i="19"/>
  <c r="H7" i="19"/>
  <c r="G12" i="19" l="1"/>
  <c r="G13" i="19" s="1"/>
  <c r="F8" i="19"/>
  <c r="H8" i="19"/>
  <c r="C13" i="19"/>
  <c r="F7" i="19"/>
</calcChain>
</file>

<file path=xl/sharedStrings.xml><?xml version="1.0" encoding="utf-8"?>
<sst xmlns="http://schemas.openxmlformats.org/spreadsheetml/2006/main" count="1936" uniqueCount="740">
  <si>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</si>
  <si>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</si>
  <si>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</si>
  <si>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</si>
  <si>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</si>
  <si>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</si>
  <si>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</si>
  <si>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</si>
  <si>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</si>
  <si>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</si>
  <si>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</si>
  <si>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</si>
  <si>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</si>
  <si>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</si>
  <si>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</si>
  <si>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</si>
  <si>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</si>
  <si>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</si>
  <si>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</si>
  <si>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</si>
  <si>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</si>
  <si>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</si>
  <si>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</si>
  <si>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</si>
  <si>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</si>
  <si>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</si>
  <si>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</si>
  <si>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</si>
  <si>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</si>
  <si>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</si>
  <si>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</si>
  <si>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</si>
  <si>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</si>
  <si>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</si>
  <si>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</si>
  <si>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</si>
  <si>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</si>
  <si>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</si>
  <si>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Kantine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</si>
  <si>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</si>
  <si>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</si>
  <si>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</si>
  <si>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</si>
  <si>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</si>
  <si>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</si>
  <si>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</si>
  <si>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</si>
  <si>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</si>
  <si>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</si>
  <si>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</si>
  <si>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</si>
  <si>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</si>
  <si>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</si>
  <si>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</si>
  <si>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</si>
  <si>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</si>
  <si>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</si>
  <si>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</si>
  <si>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</si>
  <si>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</si>
  <si>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</si>
  <si>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</si>
  <si>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</si>
  <si>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</si>
  <si>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</si>
  <si>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</si>
  <si>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</si>
  <si>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</si>
  <si>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</si>
  <si>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</si>
  <si>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</si>
  <si>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</si>
  <si>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</si>
  <si>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</si>
  <si>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</si>
  <si>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</si>
  <si>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</si>
  <si>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</si>
  <si>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</si>
  <si>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</si>
  <si>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</si>
  <si>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</si>
  <si>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</si>
  <si>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</si>
  <si>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</si>
  <si>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</si>
  <si>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</si>
  <si>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</si>
  <si>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</si>
  <si>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</si>
  <si>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</si>
  <si>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</si>
  <si>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</si>
  <si>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</si>
  <si>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</si>
  <si>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</si>
  <si>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</si>
  <si>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</si>
  <si>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</si>
  <si>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</si>
  <si>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</si>
  <si>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</si>
  <si>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</si>
  <si>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</si>
  <si>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</si>
  <si>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</si>
  <si>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</si>
  <si>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</si>
  <si>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</si>
  <si>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</si>
  <si>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</si>
  <si>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</si>
  <si>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</si>
  <si>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</si>
  <si>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</si>
  <si>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</si>
  <si>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</si>
  <si>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</si>
  <si>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</si>
  <si>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</si>
  <si>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</si>
  <si>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</si>
  <si>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</si>
  <si>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</si>
  <si>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</si>
  <si>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</si>
  <si>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</si>
  <si>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</si>
  <si>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</si>
  <si>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</si>
  <si>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</si>
  <si>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</si>
  <si>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</si>
  <si>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</si>
  <si>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</si>
  <si>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</si>
  <si>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</si>
  <si>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</si>
  <si>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</si>
  <si>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</si>
  <si>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</si>
  <si>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</si>
  <si>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</si>
  <si>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</si>
  <si>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</si>
  <si>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</si>
  <si>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</si>
  <si>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</si>
  <si>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</si>
  <si>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</si>
  <si>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</si>
  <si>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</si>
  <si>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</si>
  <si>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</si>
  <si>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</si>
  <si>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</si>
  <si>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</si>
  <si>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</si>
  <si>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</si>
  <si>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</si>
  <si>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</si>
  <si>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</si>
  <si>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Topstrippen en conserveren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</si>
  <si>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</si>
  <si>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</si>
  <si>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</si>
  <si>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</si>
  <si>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</si>
  <si>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</si>
  <si>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</si>
  <si>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</si>
  <si>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</si>
  <si>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</si>
  <si>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</si>
  <si>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</si>
  <si>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</si>
  <si>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</si>
  <si>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</si>
  <si>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</si>
  <si>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</si>
  <si>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</si>
  <si>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</si>
  <si>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</si>
  <si>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</si>
  <si>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</si>
  <si>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</si>
  <si>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</si>
  <si>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</si>
  <si>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</si>
  <si>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</si>
  <si>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</si>
  <si>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</si>
  <si>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</si>
  <si>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</si>
  <si>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</si>
  <si>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</si>
  <si>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</si>
  <si>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</si>
  <si>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</si>
  <si>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</si>
  <si>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</si>
  <si>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</si>
  <si>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</si>
  <si>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</si>
  <si>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</si>
  <si>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</si>
  <si>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</si>
  <si>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</si>
  <si>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</si>
  <si>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</si>
  <si>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</si>
  <si>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</si>
  <si>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</si>
  <si>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</si>
  <si>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</si>
  <si>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</si>
  <si>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</si>
  <si>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</si>
  <si>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</si>
  <si>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</si>
  <si>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</si>
  <si>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</si>
  <si>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</si>
  <si>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</si>
  <si>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</si>
  <si>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</si>
  <si>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</si>
  <si>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</si>
  <si>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</si>
  <si>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</si>
  <si>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</si>
  <si>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</si>
  <si>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</si>
  <si>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</si>
  <si>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</si>
  <si>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</si>
  <si>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t>……………</t>
  </si>
  <si>
    <t>Leslokalen theorie</t>
  </si>
  <si>
    <t>Praktijklokalen binas/zorg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</si>
  <si>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</si>
  <si>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</si>
  <si>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</si>
  <si>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</si>
  <si>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</si>
  <si>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</si>
  <si>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</si>
  <si>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</si>
  <si>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</si>
  <si>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</si>
  <si>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</si>
  <si>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</si>
  <si>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</si>
  <si>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</si>
  <si>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</si>
  <si>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</si>
  <si>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</si>
  <si>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</si>
  <si>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</si>
  <si>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</si>
  <si>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</si>
  <si>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</si>
  <si>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</si>
  <si>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</si>
  <si>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</si>
  <si>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</si>
  <si>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</si>
  <si>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</si>
  <si>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</si>
  <si>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</si>
  <si>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</si>
  <si>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</si>
  <si>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</si>
  <si>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</si>
  <si>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</si>
  <si>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</si>
  <si>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</si>
  <si>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</si>
  <si>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</si>
  <si>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</si>
  <si>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</si>
  <si>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</si>
  <si>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</si>
  <si>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</si>
  <si>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</si>
  <si>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</si>
  <si>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</si>
  <si>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</si>
  <si>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</si>
  <si>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</si>
  <si>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</si>
  <si>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</si>
  <si>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</si>
  <si>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</si>
  <si>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</si>
  <si>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</si>
  <si>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</si>
  <si>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</si>
  <si>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</si>
  <si>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</si>
  <si>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</si>
  <si>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</si>
  <si>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</si>
  <si>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</si>
  <si>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</si>
  <si>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</si>
  <si>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</si>
  <si>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</si>
  <si>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</si>
  <si>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</si>
  <si>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</si>
  <si>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</si>
  <si>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</si>
  <si>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</si>
  <si>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</si>
  <si>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</si>
  <si>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</si>
  <si>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</si>
  <si>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</si>
  <si>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</si>
  <si>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</si>
  <si>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</si>
  <si>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</si>
  <si>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</si>
  <si>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</si>
  <si>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</si>
  <si>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</si>
  <si>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</si>
  <si>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</si>
  <si>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</si>
  <si>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</si>
  <si>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</si>
  <si>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</si>
  <si>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</si>
  <si>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</si>
  <si>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</si>
  <si>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</si>
  <si>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</si>
  <si>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</si>
  <si>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</si>
  <si>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</si>
  <si>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</si>
  <si>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</si>
  <si>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</si>
  <si>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</si>
  <si>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</si>
  <si>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</si>
  <si>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</si>
  <si>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</si>
  <si>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</si>
  <si>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</si>
  <si>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</si>
  <si>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</si>
  <si>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</si>
  <si>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</si>
  <si>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</si>
  <si>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</si>
  <si>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</si>
  <si>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</si>
  <si>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</si>
  <si>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</si>
  <si>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</si>
  <si>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</si>
  <si>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</si>
  <si>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</si>
  <si>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</si>
  <si>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</si>
  <si>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</si>
  <si>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</si>
  <si>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</si>
  <si>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</si>
  <si>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</si>
  <si>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</si>
  <si>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</si>
  <si>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</si>
  <si>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</si>
  <si>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</si>
  <si>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</si>
  <si>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</si>
  <si>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</si>
  <si>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</si>
  <si>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</si>
  <si>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</si>
  <si>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</si>
  <si>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</si>
  <si>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</si>
  <si>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</si>
  <si>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Opleverstaat schoonmaak periodiek (tijdens vakanties uitvoeren) 2 x per jaar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</si>
  <si>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</si>
  <si>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</si>
  <si>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</si>
  <si>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</si>
  <si>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</si>
  <si>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</si>
  <si>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</si>
  <si>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</si>
  <si>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</si>
  <si>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</si>
  <si>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</si>
  <si>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</si>
  <si>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</si>
  <si>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</si>
  <si>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</si>
  <si>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</si>
  <si>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</si>
  <si>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</si>
  <si>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</si>
  <si>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</si>
  <si>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</si>
  <si>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</si>
  <si>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</si>
  <si>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</si>
  <si>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</si>
  <si>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</si>
  <si>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</si>
  <si>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</si>
  <si>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</si>
  <si>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</si>
  <si>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</si>
  <si>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</si>
  <si>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</si>
  <si>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</si>
  <si>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</si>
  <si>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</si>
  <si>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</si>
  <si>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</si>
  <si>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</si>
  <si>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</si>
  <si>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</si>
  <si>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Hier vult u de inzet van eventuele hoogwerkers in</t>
  </si>
  <si>
    <t>Handelingen dieptereiniging per toilet unit</t>
  </si>
  <si>
    <r>
      <t>Sanitaire eenheid:</t>
    </r>
    <r>
      <rPr>
        <sz val="10"/>
        <rFont val="Calibri"/>
        <family val="2"/>
        <scheme val="minor"/>
      </rPr>
      <t xml:space="preserve"> bestaat uit 2 toiletpotten (of 1 toiletpot en 1 urinoir) en 1 wastafel</t>
    </r>
  </si>
  <si>
    <t>Toiletpot</t>
  </si>
  <si>
    <t>-</t>
  </si>
  <si>
    <t>verwijderen van vervuiling in spoelranden, afvoersluitingen en restant van de binnenzijde van het toilet</t>
  </si>
  <si>
    <t>reinigen van het toilet aan de buitenzijde</t>
  </si>
  <si>
    <t>bevestiging en aansluiting op het afvoersysteem controleren; waar nodig vernieuwen van pluggen en schroeven en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</si>
  <si>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</si>
  <si>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</si>
  <si>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</si>
  <si>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</si>
  <si>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</si>
  <si>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</si>
  <si>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</si>
  <si>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</si>
  <si>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reinigen van de deur (beide zijden), tegelwanden en vloeren</t>
  </si>
  <si>
    <t>Urinoir</t>
  </si>
  <si>
    <t>verwijderen van organische en anorganische vervuiling in spoelranden en afvoeraansluitingen en restant van de binnenzijde van de pot</t>
  </si>
  <si>
    <t>reinigen van de buitenzijde van het urinoir</t>
  </si>
  <si>
    <t>bevestiging en aansluiting op het afvoersysteem controleren en afdichten van onregelmatige aansluiting op de afvoer</t>
  </si>
  <si>
    <t>bij wandurinoirs controleren op bevestigingen en afsluitingen op vloerpijp en afvoer</t>
  </si>
  <si>
    <t>verwijderen van vervuiling van schaamschotten</t>
  </si>
  <si>
    <t>schaamschotten controleren op bevestiging</t>
  </si>
  <si>
    <t>tegelwand tot 1 meter aan weerszijde van de urninoir(s) tot aan de bovenzijde reinigen</t>
  </si>
  <si>
    <t>vloer tot 1 meter aan weerszijde van de urninoir(s) en 1 meter vanaf de wand reinigen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</si>
  <si>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</si>
  <si>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</si>
  <si>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</si>
  <si>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</si>
  <si>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</si>
  <si>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tegelwand tot 1 meter aan weerszijde van de wastafel(s) tot aan bovenzijde reinigen</t>
  </si>
  <si>
    <t>vloer tot 1 meter aan weerszijde van de wastafel(s) en 1 meter vanaf de wand reinigen</t>
  </si>
  <si>
    <t>Rembrandt College</t>
  </si>
  <si>
    <t>Rembrandtlaan 2</t>
  </si>
  <si>
    <t>3904 ZK</t>
  </si>
  <si>
    <t>Veenendaal</t>
  </si>
  <si>
    <t>bg</t>
  </si>
  <si>
    <t>1e</t>
  </si>
  <si>
    <t>2e</t>
  </si>
  <si>
    <t>001</t>
  </si>
  <si>
    <t>002</t>
  </si>
  <si>
    <t>003</t>
  </si>
  <si>
    <t>004</t>
  </si>
  <si>
    <t>006</t>
  </si>
  <si>
    <t>007</t>
  </si>
  <si>
    <t>008</t>
  </si>
  <si>
    <t>009</t>
  </si>
  <si>
    <t>010</t>
  </si>
  <si>
    <t>010a</t>
  </si>
  <si>
    <t>011</t>
  </si>
  <si>
    <t>012</t>
  </si>
  <si>
    <t>013</t>
  </si>
  <si>
    <t>017</t>
  </si>
  <si>
    <t>017a</t>
  </si>
  <si>
    <t>018</t>
  </si>
  <si>
    <t>019</t>
  </si>
  <si>
    <t>020</t>
  </si>
  <si>
    <t>021</t>
  </si>
  <si>
    <t>022</t>
  </si>
  <si>
    <t>023</t>
  </si>
  <si>
    <t>024</t>
  </si>
  <si>
    <t>025</t>
  </si>
  <si>
    <t>028</t>
  </si>
  <si>
    <t>037</t>
  </si>
  <si>
    <t>039</t>
  </si>
  <si>
    <t>041</t>
  </si>
  <si>
    <t>042</t>
  </si>
  <si>
    <t>043/044</t>
  </si>
  <si>
    <t>045</t>
  </si>
  <si>
    <t>045a</t>
  </si>
  <si>
    <t>046</t>
  </si>
  <si>
    <t>046a</t>
  </si>
  <si>
    <t>047</t>
  </si>
  <si>
    <t>064</t>
  </si>
  <si>
    <t>065</t>
  </si>
  <si>
    <t>066</t>
  </si>
  <si>
    <t>069</t>
  </si>
  <si>
    <t>070</t>
  </si>
  <si>
    <t>071</t>
  </si>
  <si>
    <t>074</t>
  </si>
  <si>
    <t>078</t>
  </si>
  <si>
    <t>079</t>
  </si>
  <si>
    <t>082</t>
  </si>
  <si>
    <t>082a</t>
  </si>
  <si>
    <t>084</t>
  </si>
  <si>
    <t>085</t>
  </si>
  <si>
    <t>101</t>
  </si>
  <si>
    <t>102</t>
  </si>
  <si>
    <t>102a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</si>
  <si>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</si>
  <si>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</si>
  <si>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</si>
  <si>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</si>
  <si>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</si>
  <si>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</si>
  <si>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</si>
  <si>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</si>
  <si>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</si>
  <si>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</si>
  <si>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</si>
  <si>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</si>
  <si>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</si>
  <si>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</si>
  <si>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</si>
  <si>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</si>
  <si>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120</t>
  </si>
  <si>
    <t>121a</t>
  </si>
  <si>
    <t>121b</t>
  </si>
  <si>
    <t>126</t>
  </si>
  <si>
    <t>128</t>
  </si>
  <si>
    <t>131</t>
  </si>
  <si>
    <t>133</t>
  </si>
  <si>
    <t>134</t>
  </si>
  <si>
    <t>137</t>
  </si>
  <si>
    <t>140</t>
  </si>
  <si>
    <t>140a</t>
  </si>
  <si>
    <t>144</t>
  </si>
  <si>
    <t>145</t>
  </si>
  <si>
    <t>150</t>
  </si>
  <si>
    <t>151</t>
  </si>
  <si>
    <t>153</t>
  </si>
  <si>
    <t>155</t>
  </si>
  <si>
    <t>156</t>
  </si>
  <si>
    <t>171</t>
  </si>
  <si>
    <t>172</t>
  </si>
  <si>
    <t>202</t>
  </si>
  <si>
    <t>203</t>
  </si>
  <si>
    <t>204</t>
  </si>
  <si>
    <t>205</t>
  </si>
  <si>
    <t>206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</si>
  <si>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</si>
  <si>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</si>
  <si>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</si>
  <si>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</si>
  <si>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</si>
  <si>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</si>
  <si>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</si>
  <si>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</si>
  <si>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</si>
  <si>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</si>
  <si>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</si>
  <si>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220</t>
  </si>
  <si>
    <t>233</t>
  </si>
  <si>
    <t>234</t>
  </si>
  <si>
    <t>238</t>
  </si>
  <si>
    <t>240</t>
  </si>
  <si>
    <t>241</t>
  </si>
  <si>
    <t>242</t>
  </si>
  <si>
    <t>243</t>
  </si>
  <si>
    <t>244</t>
  </si>
  <si>
    <t>245</t>
  </si>
  <si>
    <t>246</t>
  </si>
  <si>
    <t>Receptie/concierge</t>
  </si>
  <si>
    <t>Repro ruimte</t>
  </si>
  <si>
    <t>EHBO/pantry</t>
  </si>
  <si>
    <t>Administratie</t>
  </si>
  <si>
    <t>Kantoor B&amp;O</t>
  </si>
  <si>
    <t>Kantoor conrector</t>
  </si>
  <si>
    <t>Kantoor rector</t>
  </si>
  <si>
    <t>Vergaderkamer</t>
  </si>
  <si>
    <t>Toiletruimte</t>
  </si>
  <si>
    <t>Kantoor</t>
  </si>
  <si>
    <t>Biologie lokaal</t>
  </si>
  <si>
    <t>Sectiekamer Binas</t>
  </si>
  <si>
    <t>Binas lokaal</t>
  </si>
  <si>
    <t>Natuurkunde lokaal</t>
  </si>
  <si>
    <t>Labruimte Binas</t>
  </si>
  <si>
    <t>Scheikunde lokaal</t>
  </si>
  <si>
    <t>Handvaardigheid lokaal</t>
  </si>
  <si>
    <t>Sectiekamer handvaardigheid</t>
  </si>
  <si>
    <t>Heren toilet</t>
  </si>
  <si>
    <t>Dames toilet</t>
  </si>
  <si>
    <t>opslag BINAS</t>
  </si>
  <si>
    <t>Centrale hal</t>
  </si>
  <si>
    <t>Trap</t>
  </si>
  <si>
    <t>Gang</t>
  </si>
  <si>
    <t>Entree leerlingen/garderobe</t>
  </si>
  <si>
    <t>Opslag handvaardigheid</t>
  </si>
  <si>
    <t>Hellingbaan</t>
  </si>
  <si>
    <t>Kantoor SMW</t>
  </si>
  <si>
    <t>Kantoor ICT</t>
  </si>
  <si>
    <t>Invalidentoilet</t>
  </si>
  <si>
    <t>Hal trappenhuis</t>
  </si>
  <si>
    <t>Trappenhuis</t>
  </si>
  <si>
    <t>Kantoor Cor</t>
  </si>
  <si>
    <t>Kantoor unitleider</t>
  </si>
  <si>
    <t>Kantoor teamleider</t>
  </si>
  <si>
    <t>Dramalokaal</t>
  </si>
  <si>
    <t>Personeelskamer</t>
  </si>
  <si>
    <t>Koffiehoek</t>
  </si>
  <si>
    <t>ICT beheer</t>
  </si>
  <si>
    <t>Studiecentrum</t>
  </si>
  <si>
    <t>Studiecentrum PC lokaal</t>
  </si>
  <si>
    <t>Leslokaal</t>
  </si>
  <si>
    <t>Spreekkamer</t>
  </si>
  <si>
    <t>Sectiekamer ak/gs</t>
  </si>
  <si>
    <t>Sectiekamer ec/wi</t>
  </si>
  <si>
    <t>Leslokaal / PC lokaal</t>
  </si>
  <si>
    <t>opslag muziek</t>
  </si>
  <si>
    <t>Leslokaal muziek</t>
  </si>
  <si>
    <t>Leslokaal mentorles/leefstijl</t>
  </si>
  <si>
    <t>Aula</t>
  </si>
  <si>
    <t>kantoor Decanen</t>
  </si>
  <si>
    <t>Gang west</t>
  </si>
  <si>
    <t>Gang midden</t>
  </si>
  <si>
    <t>Aula/podium</t>
  </si>
  <si>
    <t>Docenten toilet heren</t>
  </si>
  <si>
    <t>Docenten toilet dames</t>
  </si>
  <si>
    <t>Kantoor overige</t>
  </si>
  <si>
    <t>Sectieruimte MVT</t>
  </si>
  <si>
    <t>Kantoor i-uren</t>
  </si>
  <si>
    <t>Sectiekamer Nederlands</t>
  </si>
  <si>
    <t>Gang, west</t>
  </si>
  <si>
    <t>Gang, oost</t>
  </si>
  <si>
    <t>Gang, midden</t>
  </si>
  <si>
    <t>Kantoor Di</t>
  </si>
  <si>
    <t>l</t>
  </si>
  <si>
    <t>t</t>
  </si>
  <si>
    <t>DHGT</t>
  </si>
  <si>
    <t>Sure Step</t>
  </si>
  <si>
    <t>Epoxy</t>
  </si>
  <si>
    <t>Inloopmat</t>
  </si>
  <si>
    <t>Receptie</t>
  </si>
  <si>
    <t>Bibliotheek / OLC</t>
  </si>
  <si>
    <t>Garderobes</t>
  </si>
  <si>
    <t>Rookruimte</t>
  </si>
  <si>
    <t>Was/Kleedruimten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</si>
  <si>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</si>
  <si>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</si>
  <si>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</si>
  <si>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</si>
  <si>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</si>
  <si>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</si>
  <si>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Dienstjaren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</si>
  <si>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</si>
  <si>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</si>
  <si>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</si>
  <si>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</si>
  <si>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</si>
  <si>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</si>
  <si>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</si>
  <si>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</si>
  <si>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Onbepaalde tijd</t>
  </si>
  <si>
    <t>Ja</t>
  </si>
  <si>
    <t>Meewerkend Voor m/v Alg SMO 1</t>
  </si>
  <si>
    <t>Dienstjaren 4</t>
  </si>
  <si>
    <t>Loongroep 3</t>
  </si>
  <si>
    <t>Rembrandt College Veenendaal</t>
  </si>
  <si>
    <t>Mdw Alg Schoonmaakonderhoud 1</t>
  </si>
  <si>
    <t>Loongroep 1</t>
  </si>
  <si>
    <t>Bepaalde tijd</t>
  </si>
  <si>
    <t>Nee</t>
  </si>
  <si>
    <t>Dienstjaren 0</t>
  </si>
  <si>
    <t>Dienstjaren 3</t>
  </si>
  <si>
    <t>Ja, 17-7-2023</t>
  </si>
  <si>
    <t>Dienstjaren 1</t>
  </si>
  <si>
    <t>Lokaal Nummer</t>
  </si>
  <si>
    <t>016F</t>
  </si>
  <si>
    <t>016E</t>
  </si>
  <si>
    <t>016D</t>
  </si>
  <si>
    <t>016C</t>
  </si>
  <si>
    <t>spreekkamer B</t>
  </si>
  <si>
    <t>spreekkamer A</t>
  </si>
  <si>
    <t>005</t>
  </si>
  <si>
    <t>A01</t>
  </si>
  <si>
    <t>A02</t>
  </si>
  <si>
    <t>A03</t>
  </si>
  <si>
    <t>A7</t>
  </si>
  <si>
    <t>A07</t>
  </si>
  <si>
    <t>A10</t>
  </si>
  <si>
    <t>A06</t>
  </si>
  <si>
    <t>A11</t>
  </si>
  <si>
    <t>A5</t>
  </si>
  <si>
    <t>K4</t>
  </si>
  <si>
    <t>K5</t>
  </si>
  <si>
    <t>121</t>
  </si>
  <si>
    <t>118</t>
  </si>
  <si>
    <t>122</t>
  </si>
  <si>
    <t>B04</t>
  </si>
  <si>
    <t>B07</t>
  </si>
  <si>
    <t>B09</t>
  </si>
  <si>
    <t>B01</t>
  </si>
  <si>
    <t>B02</t>
  </si>
  <si>
    <t>B12</t>
  </si>
  <si>
    <t>B11</t>
  </si>
  <si>
    <t>K1</t>
  </si>
  <si>
    <t>K2</t>
  </si>
  <si>
    <t>K3</t>
  </si>
  <si>
    <t>C3</t>
  </si>
  <si>
    <t>C4</t>
  </si>
  <si>
    <t>C5</t>
  </si>
  <si>
    <t>C6</t>
  </si>
  <si>
    <t>C01</t>
  </si>
  <si>
    <t>C12</t>
  </si>
  <si>
    <t>207</t>
  </si>
  <si>
    <t>201</t>
  </si>
  <si>
    <t>C10</t>
  </si>
  <si>
    <t>C09</t>
  </si>
  <si>
    <t>C08</t>
  </si>
  <si>
    <t>219</t>
  </si>
  <si>
    <t>Separatieglas (dubbelzijdig gemeten, dubbelzijdig wassen)</t>
  </si>
  <si>
    <t>Glasbewassing
Kosten / jaar</t>
  </si>
  <si>
    <t>2029</t>
  </si>
  <si>
    <t>Separatie dakglas studiecentrum (enkel gemeten, dubbel te wassen)</t>
  </si>
  <si>
    <t>Glazen bouwstenen</t>
  </si>
  <si>
    <t>Dakglas (enkel gemeten, dubbel te wassen)</t>
  </si>
  <si>
    <t>Zonnepanelen</t>
  </si>
  <si>
    <t>(Extra) dweilen ruimte 0.10 en 0.13</t>
  </si>
  <si>
    <t>Uitvoering op dinsdag en donderdag, 1 uur per week</t>
  </si>
  <si>
    <r>
      <t xml:space="preserve">Alle groen gearceerde velden dienen ingevuld te worden, overige cellen mogen niet gewijzigd worden 
</t>
    </r>
    <r>
      <rPr>
        <sz val="9"/>
        <rFont val="Verdana"/>
        <family val="2"/>
      </rPr>
      <t>(m.u.v. de tabel Rechtsgeldige Ondertekening), waar alle stippellijnen ingevuld dienen te worden)</t>
    </r>
  </si>
  <si>
    <t>Aantal uren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</si>
</sst>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FFFF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</cellStyleXfs>
  <cellXfs count="349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6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6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8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0" fontId="39" fillId="13" borderId="9" xfId="0" applyFont="1" applyFill="1" applyBorder="1" applyAlignment="1">
      <alignment vertical="center"/>
    </xf>
    <xf numFmtId="173" fontId="39" fillId="13" borderId="9" xfId="0" applyNumberFormat="1" applyFont="1" applyFill="1" applyBorder="1" applyAlignment="1">
      <alignment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81" fontId="40" fillId="13" borderId="9" xfId="0" applyNumberFormat="1" applyFont="1" applyFill="1" applyBorder="1" applyAlignment="1">
      <alignment vertical="center"/>
    </xf>
    <xf numFmtId="182" fontId="40" fillId="13" borderId="9" xfId="0" applyNumberFormat="1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173" fontId="40" fillId="13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1" fillId="0" borderId="0" xfId="0" applyFont="1"/>
    <xf numFmtId="177" fontId="42" fillId="0" borderId="0" xfId="0" applyNumberFormat="1" applyFont="1" applyAlignment="1">
      <alignment vertical="center"/>
    </xf>
    <xf numFmtId="0" fontId="42" fillId="0" borderId="0" xfId="0" applyFont="1" applyAlignment="1">
      <alignment horizontal="center" vertical="center"/>
    </xf>
    <xf numFmtId="178" fontId="42" fillId="0" borderId="0" xfId="0" applyNumberFormat="1" applyFont="1" applyAlignment="1">
      <alignment horizontal="center" vertical="center"/>
    </xf>
    <xf numFmtId="177" fontId="42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0" fontId="43" fillId="11" borderId="0" xfId="0" applyFont="1" applyFill="1" applyAlignment="1">
      <alignment horizontal="center" vertical="center"/>
    </xf>
    <xf numFmtId="0" fontId="43" fillId="11" borderId="0" xfId="0" applyFont="1" applyFill="1" applyAlignment="1">
      <alignment horizontal="left" vertical="center"/>
    </xf>
    <xf numFmtId="0" fontId="43" fillId="11" borderId="0" xfId="0" applyFont="1" applyFill="1" applyAlignment="1">
      <alignment vertical="center"/>
    </xf>
    <xf numFmtId="4" fontId="43" fillId="11" borderId="0" xfId="0" applyNumberFormat="1" applyFont="1" applyFill="1" applyAlignment="1">
      <alignment horizontal="right" vertical="center"/>
    </xf>
    <xf numFmtId="173" fontId="43" fillId="11" borderId="0" xfId="0" applyNumberFormat="1" applyFont="1" applyFill="1" applyAlignment="1">
      <alignment horizontal="center" vertical="center"/>
    </xf>
    <xf numFmtId="173" fontId="28" fillId="0" borderId="0" xfId="29" applyNumberFormat="1" applyFont="1"/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177" fontId="44" fillId="0" borderId="0" xfId="0" applyNumberFormat="1" applyFont="1" applyAlignment="1">
      <alignment vertical="center"/>
    </xf>
    <xf numFmtId="177" fontId="44" fillId="0" borderId="0" xfId="0" applyNumberFormat="1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7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50" fillId="0" borderId="24" xfId="0" applyFont="1" applyBorder="1" applyAlignment="1">
      <alignment horizontal="center"/>
    </xf>
    <xf numFmtId="0" fontId="51" fillId="0" borderId="2" xfId="0" applyFont="1" applyBorder="1"/>
    <xf numFmtId="0" fontId="50" fillId="0" borderId="25" xfId="0" applyFont="1" applyBorder="1"/>
    <xf numFmtId="0" fontId="50" fillId="0" borderId="26" xfId="0" applyFont="1" applyBorder="1" applyAlignment="1">
      <alignment horizontal="center"/>
    </xf>
    <xf numFmtId="0" fontId="50" fillId="0" borderId="0" xfId="0" applyFont="1"/>
    <xf numFmtId="0" fontId="50" fillId="0" borderId="27" xfId="0" applyFont="1" applyBorder="1"/>
    <xf numFmtId="0" fontId="52" fillId="0" borderId="0" xfId="0" applyFont="1"/>
    <xf numFmtId="0" fontId="53" fillId="0" borderId="0" xfId="0" applyFont="1"/>
    <xf numFmtId="0" fontId="50" fillId="0" borderId="26" xfId="0" applyFont="1" applyBorder="1" applyAlignment="1">
      <alignment horizontal="center" vertical="center"/>
    </xf>
    <xf numFmtId="0" fontId="50" fillId="0" borderId="0" xfId="0" applyFont="1" applyAlignment="1">
      <alignment horizontal="left" indent="1"/>
    </xf>
    <xf numFmtId="0" fontId="53" fillId="0" borderId="0" xfId="0" applyFont="1" applyAlignment="1">
      <alignment horizontal="left" indent="1"/>
    </xf>
    <xf numFmtId="0" fontId="50" fillId="0" borderId="28" xfId="0" applyFont="1" applyBorder="1" applyAlignment="1">
      <alignment horizontal="center" vertical="center"/>
    </xf>
    <xf numFmtId="0" fontId="54" fillId="15" borderId="9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right" vertical="center"/>
    </xf>
    <xf numFmtId="14" fontId="0" fillId="0" borderId="9" xfId="0" applyNumberFormat="1" applyBorder="1"/>
    <xf numFmtId="0" fontId="0" fillId="0" borderId="9" xfId="0" applyBorder="1"/>
    <xf numFmtId="2" fontId="0" fillId="0" borderId="9" xfId="0" applyNumberFormat="1" applyBorder="1"/>
    <xf numFmtId="0" fontId="33" fillId="0" borderId="9" xfId="0" applyFont="1" applyBorder="1" applyAlignment="1">
      <alignment horizontal="center" vertical="center"/>
    </xf>
    <xf numFmtId="44" fontId="0" fillId="0" borderId="9" xfId="0" applyNumberFormat="1" applyBorder="1"/>
    <xf numFmtId="44" fontId="33" fillId="0" borderId="9" xfId="45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 vertical="center" wrapText="1"/>
    </xf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6" fillId="13" borderId="7" xfId="0" applyFont="1" applyFill="1" applyBorder="1" applyAlignment="1">
      <alignment horizontal="left" vertical="center"/>
    </xf>
    <xf numFmtId="0" fontId="36" fillId="13" borderId="4" xfId="0" applyFont="1" applyFill="1" applyBorder="1" applyAlignment="1">
      <alignment horizontal="left" vertical="center"/>
    </xf>
    <xf numFmtId="0" fontId="36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6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50" fillId="0" borderId="27" xfId="0" applyFont="1" applyBorder="1" applyAlignment="1">
      <alignment horizontal="left"/>
    </xf>
    <xf numFmtId="0" fontId="50" fillId="0" borderId="29" xfId="0" applyFont="1" applyBorder="1" applyAlignment="1">
      <alignment horizontal="left"/>
    </xf>
    <xf numFmtId="0" fontId="50" fillId="0" borderId="30" xfId="0" applyFont="1" applyBorder="1" applyAlignment="1">
      <alignment horizontal="left"/>
    </xf>
    <xf numFmtId="0" fontId="50" fillId="0" borderId="0" xfId="0" applyFont="1" applyAlignment="1">
      <alignment horizontal="left" wrapText="1"/>
    </xf>
    <xf numFmtId="0" fontId="50" fillId="0" borderId="27" xfId="0" applyFont="1" applyBorder="1" applyAlignment="1">
      <alignment horizontal="left" wrapText="1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170" fontId="24" fillId="5" borderId="9" xfId="0" applyNumberFormat="1" applyFont="1" applyFill="1" applyBorder="1" applyAlignment="1">
      <alignment horizontal="center" vertical="center" wrapText="1"/>
    </xf>
    <xf numFmtId="170" fontId="22" fillId="5" borderId="9" xfId="0" applyNumberFormat="1" applyFont="1" applyFill="1" applyBorder="1" applyAlignment="1">
      <alignment horizontal="center" vertical="center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04" dataDxfId="203" headerRowCellStyle="Standaard 4">
  <autoFilter ref="A10:D30" xr:uid="{00000000-0009-0000-0100-000006000000}"/>
  <tableColumns count="4">
    <tableColumn id="1" xr3:uid="{00000000-0010-0000-0000-000001000000}" name="Code" dataDxfId="202" dataCellStyle="Standaard 4"/>
    <tableColumn id="2" xr3:uid="{00000000-0010-0000-0000-000002000000}" name="Ruimte omschrijving" dataDxfId="201" dataCellStyle="Standaard 4"/>
    <tableColumn id="3" xr3:uid="{00000000-0010-0000-0000-000003000000}" name="Norm (5w)" dataDxfId="200"/>
    <tableColumn id="4" xr3:uid="{00000000-0010-0000-0000-000004000000}" name="Inspectiecategorie" dataDxfId="199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9" totalsRowShown="0">
  <autoFilter ref="A8:J9" xr:uid="{00000000-0009-0000-0100-000005000000}"/>
  <tableColumns count="10">
    <tableColumn id="1" xr3:uid="{00000000-0010-0000-0900-000001000000}" name="Code Taak" dataDxfId="83"/>
    <tableColumn id="2" xr3:uid="{00000000-0010-0000-0900-000002000000}" name="Werkzaamheid" dataDxfId="82"/>
    <tableColumn id="3" xr3:uid="{00000000-0010-0000-0900-000003000000}" name="Eenheid" dataDxfId="81"/>
    <tableColumn id="4" xr3:uid="{00000000-0010-0000-0900-000004000000}" name="Toelichting" dataDxfId="80"/>
    <tableColumn id="5" xr3:uid="{00000000-0010-0000-0900-000005000000}" name="Prijs_x000a_Excl. BTW" dataDxfId="79">
      <calculatedColumnFormula>Tariefsopbouw!E35</calculatedColumnFormula>
    </tableColumn>
    <tableColumn id="6" xr3:uid="{3FB7F131-71FC-463C-8C00-D6DD0FDF1529}" name="2025" dataDxfId="78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6" dataDxfId="77">
      <calculatedColumnFormula>InvulExtra[[#This Row],[2025]]*Tariefsopbouw!$K$37+InvulExtra[[#This Row],[2025]]</calculatedColumnFormula>
    </tableColumn>
    <tableColumn id="8" xr3:uid="{F66BBAFC-F378-4A72-A8A0-882B5B42BA69}" name="2027" dataDxfId="76">
      <calculatedColumnFormula>InvulExtra[[#This Row],[2026]]*Tariefsopbouw!$M$37+InvulExtra[[#This Row],[2026]]</calculatedColumnFormula>
    </tableColumn>
    <tableColumn id="9" xr3:uid="{D06F598A-5F46-4D18-8F56-D5615B461E3E}" name="2028" dataDxfId="75">
      <calculatedColumnFormula>InvulExtra[[#This Row],[2027]]*Tariefsopbouw!$O$37+InvulExtra[[#This Row],[2027]]</calculatedColumnFormula>
    </tableColumn>
    <tableColumn id="10" xr3:uid="{ADDE6AC4-A9FB-4C2E-BFEA-AB7183EB36E0}" name="2029" dataDxfId="74">
      <calculatedColumnFormula>InvulExtra[[#This Row],[2028]]*Tariefsopbouw!$Q$37+InvulExtra[[#This Row],[2028]]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2:G14" totalsRowCount="1" headerRowDxfId="73" dataDxfId="72" totalsRowDxfId="71">
  <autoFilter ref="A12:G13" xr:uid="{00000000-0009-0000-0100-00000A000000}"/>
  <tableColumns count="7">
    <tableColumn id="9" xr3:uid="{00000000-0010-0000-0A00-000009000000}" name="Code Locatie" dataDxfId="70" totalsRowDxfId="69"/>
    <tableColumn id="1" xr3:uid="{00000000-0010-0000-0A00-000001000000}" name="Locatie" totalsRowLabel="Totaal" dataDxfId="68" totalsRowDxfId="67">
      <calculatedColumnFormula>VLOOKUP(OverzichtExtra[[#This Row],[Code Locatie]],Locaties[],2,0)</calculatedColumnFormula>
    </tableColumn>
    <tableColumn id="3" xr3:uid="{00000000-0010-0000-0A00-000003000000}" name="Code Taak" dataDxfId="66" totalsRowDxfId="65"/>
    <tableColumn id="4" xr3:uid="{00000000-0010-0000-0A00-000004000000}" name="Werkzaamheid" dataDxfId="64" totalsRowDxfId="63">
      <calculatedColumnFormula>IF('Extra werkzaamheden'!$C13&gt;0,VLOOKUP('Extra werkzaamheden'!$C13,$A$8:$B$9,2,0),"")</calculatedColumnFormula>
    </tableColumn>
    <tableColumn id="6" xr3:uid="{00000000-0010-0000-0A00-000006000000}" name="Aantal uren per week" dataDxfId="62" totalsRowDxfId="61"/>
    <tableColumn id="7" xr3:uid="{00000000-0010-0000-0A00-000007000000}" name="Frequentie (uitv. per jaar)" dataDxfId="60" totalsRowDxfId="59"/>
    <tableColumn id="8" xr3:uid="{00000000-0010-0000-0A00-000008000000}" name="Kosten/jaar excl. BTW" totalsRowFunction="sum" dataDxfId="58" totalsRowDxfId="57">
      <calculatedColumnFormula>IF(F13&gt;0,VLOOKUP(OverzichtExtra[[#This Row],[Code Taak]],InvulExtra[],5,2)*E13*F13,0)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6" dataDxfId="55" totalsRowDxfId="54">
  <autoFilter ref="B8:I40" xr:uid="{00000000-0009-0000-0100-00000B000000}"/>
  <tableColumns count="8">
    <tableColumn id="1" xr3:uid="{00000000-0010-0000-0B00-000001000000}" name="Werkzaamheid" totalsRowLabel="Totaal" totalsRowDxfId="53"/>
    <tableColumn id="2" xr3:uid="{00000000-0010-0000-0B00-000002000000}" name="Eenheid" totalsRowDxfId="52"/>
    <tableColumn id="3" xr3:uid="{00000000-0010-0000-0B00-000003000000}" name="Prijs excl. BTW" totalsRowDxfId="51"/>
    <tableColumn id="4" xr3:uid="{20339242-D37F-45D0-B3A9-D5D0277AA005}" name="2025" dataDxfId="50" totalsRowDxfId="49">
      <calculatedColumnFormula>InvulRegie[[#This Row],[Prijs excl. BTW]]*Tariefsopbouw!$I$37+InvulRegie[[#This Row],[Prijs excl. BTW]]</calculatedColumnFormula>
    </tableColumn>
    <tableColumn id="5" xr3:uid="{98710F61-FEB9-4108-AD80-85E42E12F88F}" name="2026" dataDxfId="48" totalsRowDxfId="47">
      <calculatedColumnFormula>InvulRegie[[#This Row],[2025]]*Tariefsopbouw!$K$37+InvulRegie[[#This Row],[2025]]</calculatedColumnFormula>
    </tableColumn>
    <tableColumn id="6" xr3:uid="{DA4A687B-70D0-4179-B678-42FA080B354F}" name="2027" dataDxfId="46" totalsRowDxfId="45">
      <calculatedColumnFormula>InvulRegie[[#This Row],[2026]]*Tariefsopbouw!$M$37+InvulRegie[[#This Row],[2026]]</calculatedColumnFormula>
    </tableColumn>
    <tableColumn id="7" xr3:uid="{FA946E46-8412-420B-AA1A-C1F4D582105F}" name="2028" dataDxfId="44" totalsRowDxfId="43">
      <calculatedColumnFormula>InvulRegie[[#This Row],[2027]]*Tariefsopbouw!$O$37+InvulRegie[[#This Row],[2027]]</calculatedColumnFormula>
    </tableColumn>
    <tableColumn id="8" xr3:uid="{00A92510-BD5B-4E71-BCF5-F352086DB0C7}" name="2029" dataDxfId="42" totalsRowDxfId="41">
      <calculatedColumnFormula>InvulRegie[[#This Row],[2028]]*Tariefsopbouw!$Q$37+InvulRegie[[#This Row],[2028]]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40" dataDxfId="38" totalsRowDxfId="36" headerRowBorderDxfId="39" tableBorderDxfId="37">
  <autoFilter ref="A6:H7" xr:uid="{00000000-0009-0000-0100-00000E000000}"/>
  <tableColumns count="8">
    <tableColumn id="8" xr3:uid="{00000000-0010-0000-0C00-000008000000}" name="Code Locatie" dataDxfId="35" totalsRowDxfId="34"/>
    <tableColumn id="1" xr3:uid="{00000000-0010-0000-0C00-000001000000}" name="Locatie" totalsRowLabel="Totaal" dataDxfId="33" totalsRowDxfId="32"/>
    <tableColumn id="2" xr3:uid="{00000000-0010-0000-0C00-000002000000}" name="Oppervlakte i/o" totalsRowFunction="sum" dataDxfId="31" totalsRowDxfId="30"/>
    <tableColumn id="3" xr3:uid="{00000000-0010-0000-0C00-000003000000}" name="Prest. (m2 /jaar)" totalsRowFunction="sum" dataDxfId="29" totalsRowDxfId="28"/>
    <tableColumn id="4" xr3:uid="{00000000-0010-0000-0C00-000004000000}" name="Uren / jaar" totalsRowFunction="sum" dataDxfId="27" totalsRowDxfId="26"/>
    <tableColumn id="5" xr3:uid="{00000000-0010-0000-0C00-000005000000}" name="Norm (m2/uur)" totalsRowFunction="custom" dataDxfId="25" totalsRowDxfId="2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3" totalsRowDxfId="22"/>
    <tableColumn id="7" xr3:uid="{00000000-0010-0000-0C00-000007000000}" name="Kosten / m2" totalsRowFunction="custom" dataDxfId="21" totalsRowDxfId="2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G13" totalsRowCount="1" headerRowDxfId="19" dataDxfId="17" totalsRowDxfId="15" headerRowBorderDxfId="18" tableBorderDxfId="16">
  <autoFilter ref="A11:G12" xr:uid="{00000000-0009-0000-0100-00000F000000}"/>
  <tableColumns count="7">
    <tableColumn id="8" xr3:uid="{00000000-0010-0000-0D00-000008000000}" name="Code Locatie" dataDxfId="14" totalsRowDxfId="7"/>
    <tableColumn id="1" xr3:uid="{00000000-0010-0000-0D00-000001000000}" name="Locaties" totalsRowLabel="Totaal" dataDxfId="13" totalsRowDxfId="6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2" totalsRowDxfId="5">
      <calculatedColumnFormula>SUMIF('Ruimtestaat'!A:A,Totalisatie[[#This Row],[Code Locatie]],'Ruimtestaat'!AH:AH)</calculatedColumnFormula>
    </tableColumn>
    <tableColumn id="2" xr3:uid="{00000000-0010-0000-0D00-000002000000}" name="Vloeronderhoud_x000a_Kosten / jaar" totalsRowFunction="sum" dataDxfId="11" totalsRowDxfId="4">
      <calculatedColumnFormula>SUMIF(Vloeronderhoud!$A$21:$A$25,Totalisatie[[#This Row],[Code Locatie]],Vloeronderhoud!$H$21:$H$25)</calculatedColumnFormula>
    </tableColumn>
    <tableColumn id="5" xr3:uid="{AD07388E-BA40-44C4-A9D9-47A8B48D5FC9}" name="Glasbewassing_x000a_Kosten / jaar" totalsRowFunction="sum" dataDxfId="10" totalsRowDxfId="3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" totalsRowFunction="sum" dataDxfId="9" totalsRowDxfId="2">
      <calculatedColumnFormula>SUMIF(OverzichtExtra[Code Locatie],Totalisatie[[#This Row],[Code Locatie]],OverzichtExtra[Kosten/jaar excl. BTW])</calculatedColumnFormula>
    </tableColumn>
    <tableColumn id="7" xr3:uid="{00000000-0010-0000-0D00-000007000000}" name="Totaalprijs_x000a_Kosten / jaar" totalsRowFunction="sum" dataDxfId="8" totalsRowDxfId="1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198" dataDxfId="197">
  <autoFilter ref="A33:F37" xr:uid="{00000000-0009-0000-0100-000007000000}"/>
  <tableColumns count="6">
    <tableColumn id="1" xr3:uid="{00000000-0010-0000-0100-000001000000}" name="Code" dataDxfId="196"/>
    <tableColumn id="4" xr3:uid="{00000000-0010-0000-0100-000004000000}" name="Naam" dataDxfId="195"/>
    <tableColumn id="5" xr3:uid="{00000000-0010-0000-0100-000005000000}" name="Aanpassing norm" dataDxfId="194" dataCellStyle="Procent"/>
    <tableColumn id="2" xr3:uid="{00000000-0010-0000-0100-000002000000}" name="Vloersoort omschrijving" dataDxfId="193" dataCellStyle="Standaard 4"/>
    <tableColumn id="7" xr3:uid="{00000000-0010-0000-0100-000007000000}" name="Kolom2" dataDxfId="192" dataCellStyle="Standaard 4"/>
    <tableColumn id="6" xr3:uid="{00000000-0010-0000-0100-000006000000}" name="Kolom1" dataDxfId="191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190" dataDxfId="189">
  <autoFilter ref="A40:C50" xr:uid="{00000000-0009-0000-0100-000008000000}"/>
  <tableColumns count="3">
    <tableColumn id="1" xr3:uid="{00000000-0010-0000-0200-000001000000}" name="Code" dataDxfId="188" dataCellStyle="Standaard 4"/>
    <tableColumn id="2" xr3:uid="{00000000-0010-0000-0200-000002000000}" name="Frequentie omschrijving" dataDxfId="187" dataCellStyle="Standaard 4"/>
    <tableColumn id="3" xr3:uid="{00000000-0010-0000-0200-000003000000}" name="Aanpassing norm" dataDxfId="186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185">
  <autoFilter ref="A6:F7" xr:uid="{00000000-0009-0000-0100-00000D000000}"/>
  <tableColumns count="6">
    <tableColumn id="1" xr3:uid="{00000000-0010-0000-0300-000001000000}" name="Code" dataDxfId="184"/>
    <tableColumn id="2" xr3:uid="{00000000-0010-0000-0300-000002000000}" name="Locatie" dataDxfId="183"/>
    <tableColumn id="7" xr3:uid="{00000000-0010-0000-0300-000007000000}" name="Aanpassing norm" dataDxfId="182"/>
    <tableColumn id="3" xr3:uid="{00000000-0010-0000-0300-000003000000}" name="Adres" dataDxfId="181"/>
    <tableColumn id="4" xr3:uid="{00000000-0010-0000-0300-000004000000}" name="Postcode" dataDxfId="180"/>
    <tableColumn id="5" xr3:uid="{00000000-0010-0000-0300-000005000000}" name="Plaats" dataDxfId="179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H134" totalsRowShown="0" headerRowDxfId="178" dataDxfId="177">
  <autoFilter ref="A4:AH134" xr:uid="{00000000-0009-0000-0100-000009000000}"/>
  <tableColumns count="34">
    <tableColumn id="32" xr3:uid="{00000000-0010-0000-0400-000020000000}" name="Code" dataDxfId="176"/>
    <tableColumn id="1" xr3:uid="{00000000-0010-0000-0400-000001000000}" name="Locatie" dataDxfId="175"/>
    <tableColumn id="3" xr3:uid="{00000000-0010-0000-0400-000003000000}" name="Adres" dataDxfId="174">
      <calculatedColumnFormula>VLOOKUP(Ruimtestaat[[#This Row],[Code]],Locaties[#All],4,FALSE)</calculatedColumnFormula>
    </tableColumn>
    <tableColumn id="4" xr3:uid="{00000000-0010-0000-0400-000004000000}" name="Postcode" dataDxfId="173">
      <calculatedColumnFormula>VLOOKUP(Ruimtestaat[[#This Row],[Code]],Locaties[#All],5,FALSE)</calculatedColumnFormula>
    </tableColumn>
    <tableColumn id="5" xr3:uid="{00000000-0010-0000-0400-000005000000}" name="Plaats" dataDxfId="172">
      <calculatedColumnFormula>VLOOKUP(Ruimtestaat[[#This Row],[Code]],Locaties[#All],6,FALSE)</calculatedColumnFormula>
    </tableColumn>
    <tableColumn id="2" xr3:uid="{00000000-0010-0000-0400-000002000000}" name="Gebouw gedeelte" dataDxfId="171"/>
    <tableColumn id="6" xr3:uid="{00000000-0010-0000-0400-000006000000}" name="Etage" dataDxfId="170"/>
    <tableColumn id="33" xr3:uid="{384BE029-2C48-4C85-821F-8CE5CE11ECB7}" name="Lokaal Nummer" dataDxfId="169"/>
    <tableColumn id="7" xr3:uid="{00000000-0010-0000-0400-000007000000}" name="Ruimte- nummer" dataDxfId="168"/>
    <tableColumn id="8" xr3:uid="{00000000-0010-0000-0400-000008000000}" name="Ruimte omschrijving" dataDxfId="167"/>
    <tableColumn id="9" xr3:uid="{00000000-0010-0000-0400-000009000000}" name="Ruimte code" dataDxfId="166"/>
    <tableColumn id="10" xr3:uid="{00000000-0010-0000-0400-00000A000000}" name="Ruimtesoort" dataDxfId="165"/>
    <tableColumn id="11" xr3:uid="{00000000-0010-0000-0400-00000B000000}" name="Vloer code" dataDxfId="164"/>
    <tableColumn id="12" xr3:uid="{00000000-0010-0000-0400-00000C000000}" name="Vloer afwerking" dataDxfId="163"/>
    <tableColumn id="13" xr3:uid="{00000000-0010-0000-0400-00000D000000}" name="Oppervlak (netto)" dataDxfId="162"/>
    <tableColumn id="14" xr3:uid="{00000000-0010-0000-0400-00000E000000}" name="Oppervlakte n.i.o." dataDxfId="161"/>
    <tableColumn id="15" xr3:uid="{00000000-0010-0000-0400-00000F000000}" name="Inspectie categorie" dataDxfId="160">
      <calculatedColumnFormula>LEFT(VLOOKUP(Ruimtestaat[[#This Row],[Ruimte code]],Ruimtegroepen[#All],4,1),2)</calculatedColumnFormula>
    </tableColumn>
    <tableColumn id="16" xr3:uid="{00000000-0010-0000-0400-000010000000}" name="Opmerking" dataDxfId="159"/>
    <tableColumn id="17" xr3:uid="{00000000-0010-0000-0400-000011000000}" name="Aantal weken/jr" dataDxfId="158"/>
    <tableColumn id="18" xr3:uid="{00000000-0010-0000-0400-000012000000}" name="Frequentie werkdagen" dataDxfId="157"/>
    <tableColumn id="19" xr3:uid="{00000000-0010-0000-0400-000013000000}" name="Uitvoeringen werkdagen" dataDxfId="156">
      <calculatedColumnFormula>IF(S5&gt;0,IF(RIGHT(Ruimtestaat[[#This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5">
      <calculatedColumnFormula>IF(U5&gt;0,VLOOKUP($K5,Ruimtegroepen[],3,FALSE)*VLOOKUP($M5,Vloersoorten[],3,FALSE)*VLOOKUP($T5,Frequenties[],3,FALSE)*VLOOKUP($A5,Locaties[],3,FALSE),0)</calculatedColumnFormula>
    </tableColumn>
    <tableColumn id="21" xr3:uid="{00000000-0010-0000-0400-000015000000}" name="Prest. (m2 /jaar) werkdagen" dataDxfId="154"/>
    <tableColumn id="22" xr3:uid="{00000000-0010-0000-0400-000016000000}" name="uren / jaar werkdagen" dataDxfId="153">
      <calculatedColumnFormula>IF(V5&gt;0,Ruimtestaat[[#This Row],[Prest. (m2 /jaar) werkdagen]]/Ruimtestaat[[#This Row],[Norm (m2/uur) werkdagen]],0)</calculatedColumnFormula>
    </tableColumn>
    <tableColumn id="23" xr3:uid="{00000000-0010-0000-0400-000017000000}" name="kosten / jaar werkdagen" dataDxfId="152">
      <calculatedColumnFormula>Ruimtestaat[[#This Row],[uren / jaar werkdagen]]*Tariefsopbouw!$E$35</calculatedColumnFormula>
    </tableColumn>
    <tableColumn id="24" xr3:uid="{00000000-0010-0000-0400-000018000000}" name="Frequentie weekend" dataDxfId="151"/>
    <tableColumn id="38" xr3:uid="{00000000-0010-0000-0400-000026000000}" name="Uitvoeringen weekend" dataDxfId="150">
      <calculatedColumnFormula>IF(Ruimtestaat[[#This Row],[Frequentie weekend]]&gt;0,VALUE(LEFT(Z5,1))*S5,0)</calculatedColumnFormula>
    </tableColumn>
    <tableColumn id="25" xr3:uid="{00000000-0010-0000-0400-000019000000}" name="Norm (m2/uur) weekend" dataDxfId="149">
      <calculatedColumnFormula>IF($AA5&gt;0,VLOOKUP($K5,Ruimtegroepen[],3,FALSE)*VLOOKUP($M5,Vloersoorten[],3,FALSE)*VLOOKUP($Z5,Frequenties[],3,FALSE)*VLOOKUP($A1,Locaties[],3,FALSE),0)</calculatedColumnFormula>
    </tableColumn>
    <tableColumn id="26" xr3:uid="{00000000-0010-0000-0400-00001A000000}" name="Prest. (m2 /jaar) weekend" dataDxfId="148"/>
    <tableColumn id="27" xr3:uid="{00000000-0010-0000-0400-00001B000000}" name="uren / jaar weekend" dataDxfId="147"/>
    <tableColumn id="28" xr3:uid="{00000000-0010-0000-0400-00001C000000}" name="kosten / jaar weekend" dataDxfId="146">
      <calculatedColumnFormula>Ruimtestaat[[#This Row],[uren / jaar weekend]]*Tariefsopbouw!$D$40</calculatedColumnFormula>
    </tableColumn>
    <tableColumn id="29" xr3:uid="{00000000-0010-0000-0400-00001D000000}" name="Prest. (m2 /jaar)" dataDxfId="145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4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3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2">
  <autoFilter ref="A8:I17" xr:uid="{00000000-0009-0000-0100-000001000000}"/>
  <tableColumns count="9">
    <tableColumn id="1" xr3:uid="{00000000-0010-0000-0700-000001000000}" name="Code Taak" dataDxfId="141"/>
    <tableColumn id="2" xr3:uid="{00000000-0010-0000-0700-000002000000}" name="Werkzaamheden"/>
    <tableColumn id="3" xr3:uid="{00000000-0010-0000-0700-000003000000}" name="Prijs" dataDxfId="140"/>
    <tableColumn id="4" xr3:uid="{00000000-0010-0000-0700-000004000000}" name="Omschrijving" dataDxfId="139"/>
    <tableColumn id="5" xr3:uid="{7B224336-2E90-4786-8885-F9B3CAAAC600}" name="2025" dataDxfId="138" dataCellStyle="Valuta 4">
      <calculatedColumnFormula>InvulVloer[[#This Row],[Prijs]]*Tariefsopbouw!$I$37+InvulVloer[[#This Row],[Prijs]]</calculatedColumnFormula>
    </tableColumn>
    <tableColumn id="6" xr3:uid="{0211B985-6953-45B6-8A6A-749D6F313951}" name="2026" dataDxfId="137">
      <calculatedColumnFormula>InvulVloer[[#This Row],[2025]]*Tariefsopbouw!$K$37+InvulVloer[[#This Row],[2025]]</calculatedColumnFormula>
    </tableColumn>
    <tableColumn id="7" xr3:uid="{9E193464-F35C-49B3-A477-D7B0835ABCF2}" name="2027" dataDxfId="136">
      <calculatedColumnFormula>InvulVloer[[#This Row],[2026]]*Tariefsopbouw!$M$37+InvulVloer[[#This Row],[2026]]</calculatedColumnFormula>
    </tableColumn>
    <tableColumn id="8" xr3:uid="{8069DF64-F4BB-49BA-8609-74BCEBC0E84C}" name="2028" dataDxfId="135">
      <calculatedColumnFormula>InvulVloer[[#This Row],[2027]]*Tariefsopbouw!$O$37+InvulVloer[[#This Row],[2027]]</calculatedColumnFormula>
    </tableColumn>
    <tableColumn id="9" xr3:uid="{FCBF02FF-403C-4DC9-8F5B-108F47020EEA}" name="2029" dataDxfId="134">
      <calculatedColumnFormula>InvulVloer[[#This Row],[2028]]*Tariefsopbouw!$Q$37+InvulVloer[[#This Row],[2028]]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33" dataDxfId="132" totalsRowDxfId="131">
  <autoFilter ref="A20:H24" xr:uid="{00000000-0009-0000-0100-000002000000}"/>
  <tableColumns count="8">
    <tableColumn id="11" xr3:uid="{00000000-0010-0000-0800-00000B000000}" name="Code Locatie" dataDxfId="130" totalsRowDxfId="129"/>
    <tableColumn id="1" xr3:uid="{00000000-0010-0000-0800-000001000000}" name="Locatie" totalsRowLabel="Totaal" dataDxfId="128" totalsRowDxfId="127"/>
    <tableColumn id="3" xr3:uid="{00000000-0010-0000-0800-000003000000}" name="Code Taak" dataDxfId="126" totalsRowDxfId="125"/>
    <tableColumn id="4" xr3:uid="{00000000-0010-0000-0800-000004000000}" name="Werkzaamheden" dataDxfId="124" totalsRowDxfId="123">
      <calculatedColumnFormula>IF(Vloeronderhoud!$C21&gt;0,VLOOKUP(Vloeronderhoud!$C21,$A$8:$B$17,2,FALSE),"")</calculatedColumnFormula>
    </tableColumn>
    <tableColumn id="5" xr3:uid="{00000000-0010-0000-0800-000005000000}" name="Vloersoort" dataDxfId="122" totalsRowDxfId="121"/>
    <tableColumn id="6" xr3:uid="{00000000-0010-0000-0800-000006000000}" name="Oppervlakte" dataDxfId="120" totalsRowDxfId="119">
      <calculatedColumnFormula>SUMIFS('Ruimtestaat'!$O:$O,'Ruimtestaat'!M:M,Vloeronderhoud!E21,'Ruimtestaat'!A:A,Vloeronderhoud!A21)</calculatedColumnFormula>
    </tableColumn>
    <tableColumn id="8" xr3:uid="{00000000-0010-0000-0800-000008000000}" name="Frequentie (uitv./jaar)" dataDxfId="118" totalsRowDxfId="117"/>
    <tableColumn id="9" xr3:uid="{00000000-0010-0000-0800-000009000000}" name="Kosten/jaar excl. BTW" totalsRowFunction="sum" dataDxfId="116" totalsRowDxfId="115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19" totalsRowShown="0" headerRowDxfId="114">
  <autoFilter ref="A8:I19" xr:uid="{3B56DD7F-E31F-4738-A2A6-B6195742F83D}"/>
  <tableColumns count="9">
    <tableColumn id="1" xr3:uid="{E535CE63-335F-4482-A4E0-E125D9A2B340}" name="Code taak" dataDxfId="113"/>
    <tableColumn id="2" xr3:uid="{25BA42B2-ED5A-4BB6-B11D-C43B4833E11E}" name="Glassoort/voorziening" dataDxfId="112"/>
    <tableColumn id="3" xr3:uid="{CF51549B-5B5B-4DAA-9B7E-C0E281B3CE61}" name="Prijs excl. BTW" dataDxfId="111"/>
    <tableColumn id="4" xr3:uid="{6F94C37D-4D34-45AA-883D-F6E668605F2E}" name="Eenheid" dataDxfId="110"/>
    <tableColumn id="5" xr3:uid="{B42CEB27-60B6-49B0-917A-9BE12D2DA665}" name="2025" dataDxfId="109">
      <calculatedColumnFormula>(InvulGlas[[#This Row],[Prijs excl. BTW]]*Tariefsopbouw!$I$37)+InvulGlas[[#This Row],[Prijs excl. BTW]]</calculatedColumnFormula>
    </tableColumn>
    <tableColumn id="6" xr3:uid="{8237F260-0DF8-45FA-8B35-F9EFF1B9C431}" name="2026" dataDxfId="108">
      <calculatedColumnFormula>(InvulGlas[[#This Row],[2025]]*Tariefsopbouw!$K$37)+InvulGlas[[#This Row],[2025]]</calculatedColumnFormula>
    </tableColumn>
    <tableColumn id="7" xr3:uid="{55531EE1-56B0-423A-AC5D-7780403A0A80}" name="2027" dataDxfId="107">
      <calculatedColumnFormula>(InvulGlas[[#This Row],[2026]]*Tariefsopbouw!$M$37)+InvulGlas[[#This Row],[2026]]</calculatedColumnFormula>
    </tableColumn>
    <tableColumn id="8" xr3:uid="{419C290D-2527-48A8-999A-C82B165194BA}" name="2028" dataDxfId="106">
      <calculatedColumnFormula>(InvulGlas[[#This Row],[2027]]*Tariefsopbouw!$O$37)+InvulGlas[[#This Row],[2027]]</calculatedColumnFormula>
    </tableColumn>
    <tableColumn id="9" xr3:uid="{E4E2B8F8-E445-4912-8989-9751C8DD6970}" name="2029" dataDxfId="105">
      <calculatedColumnFormula>(InvulGlas[[#This Row],[2028]]*Tariefsopbouw!$Q$37)+InvulGlas[[#This Row],[2028]]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1:I31" totalsRowCount="1" headerRowDxfId="104" dataDxfId="103" totalsRowDxfId="102">
  <autoFilter ref="A21:I30" xr:uid="{620012B9-E2E3-462E-92FA-D2ECE74E3DC6}"/>
  <sortState xmlns:xlrd2="http://schemas.microsoft.com/office/spreadsheetml/2017/richdata2" ref="A22:G30">
    <sortCondition ref="A22:A30"/>
  </sortState>
  <tableColumns count="9">
    <tableColumn id="1" xr3:uid="{2536BA71-4E9E-4699-B1D3-AD672C5D2A84}" name="Code Locatie" totalsRowLabel="Totaal" dataDxfId="101" totalsRowDxfId="100"/>
    <tableColumn id="2" xr3:uid="{50EE039F-714D-4763-852C-089B9B9C7380}" name="Locatie" dataDxfId="99" totalsRowDxfId="98">
      <calculatedColumnFormula>VLOOKUP(OverzichtGlas[[#This Row],[Code Locatie]],Samenvattingschoonmaak[[#All],[Code Locatie]:[Locatie]],2,FALSE)</calculatedColumnFormula>
    </tableColumn>
    <tableColumn id="3" xr3:uid="{D15C2F41-1594-45D7-9803-C8C7AEECECF7}" name="Code taak" dataDxfId="97" totalsRowDxfId="96"/>
    <tableColumn id="4" xr3:uid="{642A0D23-31BA-42AE-8CB0-DC6E3B12DFB6}" name="Glassoort/voorziening" dataDxfId="95" totalsRowDxfId="94"/>
    <tableColumn id="5" xr3:uid="{C9661328-A370-44DF-8207-78449C8D44D2}" name="Oppervlakte of dagen" dataDxfId="93" totalsRowDxfId="92"/>
    <tableColumn id="7" xr3:uid="{BDAD6D23-D82B-43C1-9D0E-6A2C6CAB4C1A}" name="Frequentie" dataDxfId="91" totalsRowDxfId="90"/>
    <tableColumn id="8" xr3:uid="{BDB7ACE8-E58D-4776-9BBB-A8732570A475}" name="Kosten/jaar excl. BTW" totalsRowFunction="sum" dataDxfId="89" totalsRowDxfId="88">
      <calculatedColumnFormula>IF(C22&gt;0,VLOOKUP(OverzichtGlas[[#This Row],[Code taak]],InvulGlas[],3,0)*E22*F22,0)</calculatedColumnFormula>
    </tableColumn>
    <tableColumn id="9" xr3:uid="{8F415E75-25DE-41FA-86DA-16C5EB0A9299}" name="Kosten/jaar incl. BTW" totalsRowFunction="sum" dataDxfId="87" totalsRowDxfId="86">
      <calculatedColumnFormula>OverzichtGlas[[#This Row],[Kosten/jaar excl. BTW]]*1.21</calculatedColumnFormula>
    </tableColumn>
    <tableColumn id="10" xr3:uid="{8B05202D-C69A-4C8D-9EBD-9530B2C0368D}" name="Kolom1" dataDxfId="85" totalsRowDxfId="8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9C81-F8E0-4D82-AE34-2B47B036CC52}">
  <sheetPr>
    <tabColor theme="0" tint="-0.14999847407452621"/>
  </sheetPr>
  <dimension ref="A1:R6"/>
  <sheetViews>
    <sheetView workbookViewId="0">
      <selection activeCell="C15" sqref="C15"/>
    </sheetView>
  </sheetViews>
  <sheetFormatPr defaultRowHeight="12.75"/>
  <cols>
    <col min="1" max="1" width="3.28515625" style="145" bestFit="1" customWidth="1"/>
    <col min="2" max="2" width="10.28515625" style="145" bestFit="1" customWidth="1"/>
    <col min="3" max="4" width="9.28515625" style="145" bestFit="1" customWidth="1"/>
    <col min="5" max="5" width="14" style="145" bestFit="1" customWidth="1"/>
    <col min="6" max="6" width="10.42578125" style="145" bestFit="1" customWidth="1"/>
    <col min="7" max="7" width="13.85546875" style="145" bestFit="1" customWidth="1"/>
    <col min="8" max="8" width="30.42578125" style="274" bestFit="1" customWidth="1"/>
    <col min="9" max="9" width="13.28515625" style="145" bestFit="1" customWidth="1"/>
    <col min="10" max="10" width="12" style="274" customWidth="1"/>
    <col min="11" max="11" width="11.28515625" style="274" bestFit="1" customWidth="1"/>
    <col min="12" max="12" width="9" style="145" bestFit="1" customWidth="1"/>
    <col min="13" max="13" width="12.28515625" style="145" bestFit="1" customWidth="1"/>
    <col min="14" max="14" width="8.140625" style="145" bestFit="1" customWidth="1"/>
    <col min="15" max="15" width="12.28515625" style="145" customWidth="1"/>
    <col min="16" max="16" width="14.140625" style="145" bestFit="1" customWidth="1"/>
    <col min="17" max="17" width="17.7109375" style="145" bestFit="1" customWidth="1"/>
    <col min="18" max="18" width="30.140625" style="274" bestFit="1" customWidth="1"/>
  </cols>
  <sheetData>
    <row r="1" spans="1:18" ht="56.25">
      <c r="A1" s="265"/>
      <c r="B1" s="195" t="s">
        <v>656</v>
      </c>
      <c r="C1" s="195" t="s">
        <v>657</v>
      </c>
      <c r="D1" s="195" t="s">
        <v>658</v>
      </c>
      <c r="E1" s="195" t="s">
        <v>659</v>
      </c>
      <c r="F1" s="195" t="s">
        <v>660</v>
      </c>
      <c r="G1" s="195" t="s">
        <v>661</v>
      </c>
      <c r="H1" s="195" t="s">
        <v>227</v>
      </c>
      <c r="I1" s="195" t="s">
        <v>662</v>
      </c>
      <c r="J1" s="195" t="s">
        <v>663</v>
      </c>
      <c r="K1" s="195" t="s">
        <v>664</v>
      </c>
      <c r="L1" s="195" t="s">
        <v>665</v>
      </c>
      <c r="M1" s="195" t="s">
        <v>666</v>
      </c>
      <c r="N1" s="195" t="s">
        <v>667</v>
      </c>
      <c r="O1" s="195" t="s">
        <v>668</v>
      </c>
      <c r="P1" s="195" t="s">
        <v>669</v>
      </c>
      <c r="Q1" s="195" t="s">
        <v>670</v>
      </c>
      <c r="R1" s="195" t="s">
        <v>150</v>
      </c>
    </row>
    <row r="2" spans="1:18">
      <c r="A2" s="266">
        <v>1</v>
      </c>
      <c r="B2" s="267">
        <v>25520</v>
      </c>
      <c r="C2" s="267">
        <v>41135</v>
      </c>
      <c r="D2" s="267">
        <v>41135</v>
      </c>
      <c r="E2" s="268" t="s">
        <v>671</v>
      </c>
      <c r="F2" s="269">
        <v>20</v>
      </c>
      <c r="G2" s="270" t="s">
        <v>672</v>
      </c>
      <c r="H2" s="268" t="s">
        <v>673</v>
      </c>
      <c r="I2" s="268" t="s">
        <v>674</v>
      </c>
      <c r="J2" s="268" t="s">
        <v>675</v>
      </c>
      <c r="K2" s="271">
        <v>15.28</v>
      </c>
      <c r="L2" s="272"/>
      <c r="M2" s="273"/>
      <c r="N2" s="273"/>
      <c r="O2" s="270"/>
      <c r="P2" s="270"/>
      <c r="Q2" s="268" t="s">
        <v>672</v>
      </c>
      <c r="R2" s="273" t="s">
        <v>676</v>
      </c>
    </row>
    <row r="3" spans="1:18">
      <c r="A3" s="266">
        <v>2</v>
      </c>
      <c r="B3" s="267">
        <v>29604</v>
      </c>
      <c r="C3" s="267">
        <v>39281</v>
      </c>
      <c r="D3" s="267">
        <v>39281</v>
      </c>
      <c r="E3" s="268" t="s">
        <v>671</v>
      </c>
      <c r="F3" s="269">
        <v>5.75</v>
      </c>
      <c r="G3" s="270" t="s">
        <v>672</v>
      </c>
      <c r="H3" s="268" t="s">
        <v>677</v>
      </c>
      <c r="I3" s="268" t="s">
        <v>674</v>
      </c>
      <c r="J3" s="268" t="s">
        <v>678</v>
      </c>
      <c r="K3" s="271">
        <v>13.87</v>
      </c>
      <c r="L3" s="272"/>
      <c r="M3" s="273"/>
      <c r="N3" s="273"/>
      <c r="O3" s="270"/>
      <c r="P3" s="270"/>
      <c r="Q3" s="268" t="s">
        <v>672</v>
      </c>
      <c r="R3" s="273" t="s">
        <v>676</v>
      </c>
    </row>
    <row r="4" spans="1:18">
      <c r="A4" s="266">
        <v>3</v>
      </c>
      <c r="B4" s="267">
        <v>34251</v>
      </c>
      <c r="C4" s="267">
        <v>45013</v>
      </c>
      <c r="D4" s="267">
        <v>45013</v>
      </c>
      <c r="E4" s="268" t="s">
        <v>679</v>
      </c>
      <c r="F4" s="269">
        <v>10</v>
      </c>
      <c r="G4" s="270" t="s">
        <v>680</v>
      </c>
      <c r="H4" s="268" t="s">
        <v>677</v>
      </c>
      <c r="I4" s="268" t="s">
        <v>681</v>
      </c>
      <c r="J4" s="268" t="s">
        <v>678</v>
      </c>
      <c r="K4" s="271">
        <v>12.15</v>
      </c>
      <c r="L4" s="272"/>
      <c r="M4" s="273"/>
      <c r="N4" s="273"/>
      <c r="O4" s="270"/>
      <c r="P4" s="270"/>
      <c r="Q4" s="268" t="s">
        <v>680</v>
      </c>
      <c r="R4" s="273" t="s">
        <v>676</v>
      </c>
    </row>
    <row r="5" spans="1:18">
      <c r="A5" s="266">
        <v>4</v>
      </c>
      <c r="B5" s="267">
        <v>31389</v>
      </c>
      <c r="C5" s="267">
        <v>43843</v>
      </c>
      <c r="D5" s="267">
        <v>43843</v>
      </c>
      <c r="E5" s="268" t="s">
        <v>671</v>
      </c>
      <c r="F5" s="269">
        <v>15</v>
      </c>
      <c r="G5" s="270" t="s">
        <v>672</v>
      </c>
      <c r="H5" s="268" t="s">
        <v>677</v>
      </c>
      <c r="I5" s="268" t="s">
        <v>682</v>
      </c>
      <c r="J5" s="268" t="s">
        <v>678</v>
      </c>
      <c r="K5" s="271">
        <v>13.45</v>
      </c>
      <c r="L5" s="272"/>
      <c r="M5" s="273"/>
      <c r="N5" s="273"/>
      <c r="O5" s="270"/>
      <c r="P5" s="270"/>
      <c r="Q5" s="268" t="s">
        <v>680</v>
      </c>
      <c r="R5" s="273" t="s">
        <v>676</v>
      </c>
    </row>
    <row r="6" spans="1:18">
      <c r="A6" s="266">
        <v>5</v>
      </c>
      <c r="B6" s="267">
        <v>31726</v>
      </c>
      <c r="C6" s="267">
        <v>44578</v>
      </c>
      <c r="D6" s="267">
        <v>44578</v>
      </c>
      <c r="E6" s="268" t="s">
        <v>679</v>
      </c>
      <c r="F6" s="269">
        <v>15</v>
      </c>
      <c r="G6" s="270" t="s">
        <v>683</v>
      </c>
      <c r="H6" s="268" t="s">
        <v>677</v>
      </c>
      <c r="I6" s="268" t="s">
        <v>684</v>
      </c>
      <c r="J6" s="268" t="s">
        <v>678</v>
      </c>
      <c r="K6" s="271">
        <v>12.58</v>
      </c>
      <c r="L6" s="272"/>
      <c r="M6" s="273"/>
      <c r="N6" s="273"/>
      <c r="O6" s="270"/>
      <c r="P6" s="270"/>
      <c r="Q6" s="268" t="s">
        <v>680</v>
      </c>
      <c r="R6" s="273" t="s">
        <v>676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5"/>
  <sheetViews>
    <sheetView showGridLines="0" zoomScaleNormal="100" zoomScaleSheetLayoutView="100" workbookViewId="0">
      <selection activeCell="F20" sqref="F20"/>
    </sheetView>
  </sheetViews>
  <sheetFormatPr defaultColWidth="9.140625" defaultRowHeight="15" customHeight="1"/>
  <cols>
    <col min="1" max="1" width="9.42578125" style="4" customWidth="1"/>
    <col min="2" max="2" width="31.42578125" style="4" bestFit="1" customWidth="1"/>
    <col min="3" max="3" width="13" style="4" customWidth="1"/>
    <col min="4" max="4" width="45.28515625" style="24" bestFit="1" customWidth="1"/>
    <col min="5" max="5" width="16.7109375" style="4" customWidth="1"/>
    <col min="6" max="6" width="17.140625" style="168" customWidth="1"/>
    <col min="7" max="7" width="17.140625" style="4" customWidth="1"/>
    <col min="8" max="8" width="17.140625" style="108" customWidth="1"/>
    <col min="9" max="10" width="17.140625" style="4" customWidth="1"/>
    <col min="11" max="16384" width="9.140625" style="4"/>
  </cols>
  <sheetData>
    <row r="1" spans="1:11" s="7" customFormat="1" ht="22.5" customHeight="1">
      <c r="A1" s="308" t="s">
        <v>179</v>
      </c>
      <c r="B1" s="308"/>
      <c r="C1" s="308"/>
      <c r="D1" s="308"/>
      <c r="E1" s="308"/>
      <c r="F1" s="308"/>
      <c r="G1" s="308"/>
      <c r="H1" s="308"/>
      <c r="I1" s="65"/>
    </row>
    <row r="2" spans="1:11" s="7" customFormat="1" ht="15" customHeight="1">
      <c r="A2" s="321" t="s">
        <v>221</v>
      </c>
      <c r="B2" s="307"/>
      <c r="C2" s="307"/>
      <c r="D2" s="307"/>
      <c r="E2" s="307"/>
      <c r="F2" s="307"/>
      <c r="G2" s="307"/>
      <c r="H2" s="319"/>
    </row>
    <row r="3" spans="1:11" ht="15" customHeight="1">
      <c r="B3" s="24"/>
      <c r="D3" s="4"/>
    </row>
    <row r="4" spans="1:11" ht="15" customHeight="1">
      <c r="A4" s="4" t="s">
        <v>180</v>
      </c>
      <c r="B4" s="24"/>
      <c r="D4" s="4"/>
    </row>
    <row r="5" spans="1:11" ht="15" customHeight="1">
      <c r="A5" s="4" t="s">
        <v>252</v>
      </c>
      <c r="B5" s="24"/>
      <c r="D5" s="4"/>
    </row>
    <row r="6" spans="1:11" ht="15" customHeight="1">
      <c r="A6" s="4" t="s">
        <v>201</v>
      </c>
      <c r="B6" s="24"/>
      <c r="D6" s="4"/>
    </row>
    <row r="7" spans="1:11" ht="15" customHeight="1">
      <c r="B7" s="28"/>
      <c r="C7" s="28"/>
      <c r="D7" s="23"/>
      <c r="E7" s="23"/>
      <c r="G7" s="29"/>
      <c r="H7" s="126"/>
    </row>
    <row r="8" spans="1:11" s="19" customFormat="1" ht="26.25" customHeight="1">
      <c r="A8" s="47" t="s">
        <v>219</v>
      </c>
      <c r="B8" s="48" t="s">
        <v>184</v>
      </c>
      <c r="C8" s="47" t="s">
        <v>152</v>
      </c>
      <c r="D8" s="47" t="s">
        <v>214</v>
      </c>
      <c r="E8" s="49" t="s">
        <v>181</v>
      </c>
      <c r="F8" s="22" t="s">
        <v>259</v>
      </c>
      <c r="G8" s="22" t="s">
        <v>258</v>
      </c>
      <c r="H8" s="22" t="s">
        <v>257</v>
      </c>
      <c r="I8" s="22" t="s">
        <v>269</v>
      </c>
      <c r="J8" s="22" t="s">
        <v>731</v>
      </c>
    </row>
    <row r="9" spans="1:11" ht="29.25" customHeight="1">
      <c r="A9" s="217">
        <v>1</v>
      </c>
      <c r="B9" s="277" t="s">
        <v>736</v>
      </c>
      <c r="C9" s="217">
        <v>1</v>
      </c>
      <c r="D9" s="275" t="s">
        <v>737</v>
      </c>
      <c r="E9" s="276">
        <f>Tariefsopbouw!E35</f>
        <v>0</v>
      </c>
      <c r="F9" s="213" t="e">
        <f>InvulExtra[[#This Row],[Prijs
Excl. BTW]]*Tariefsopbouw!$I$37+InvulExtra[[#This Row],[Prijs
Excl. BTW]]</f>
        <v>#DIV/0!</v>
      </c>
      <c r="G9" s="213" t="e">
        <f>InvulExtra[[#This Row],[2025]]*Tariefsopbouw!$K$37+InvulExtra[[#This Row],[2025]]</f>
        <v>#DIV/0!</v>
      </c>
      <c r="H9" s="213" t="e">
        <f>InvulExtra[[#This Row],[2026]]*Tariefsopbouw!$M$37+InvulExtra[[#This Row],[2026]]</f>
        <v>#DIV/0!</v>
      </c>
      <c r="I9" s="213" t="e">
        <f>InvulExtra[[#This Row],[2027]]*Tariefsopbouw!$O$37+InvulExtra[[#This Row],[2027]]</f>
        <v>#DIV/0!</v>
      </c>
      <c r="J9" s="213" t="e">
        <f>InvulExtra[[#This Row],[2028]]*Tariefsopbouw!$Q$37+InvulExtra[[#This Row],[2028]]</f>
        <v>#DIV/0!</v>
      </c>
    </row>
    <row r="10" spans="1:11" ht="15" customHeight="1">
      <c r="B10" s="24"/>
      <c r="C10" s="24"/>
      <c r="D10" s="4"/>
      <c r="E10" s="31"/>
      <c r="G10" s="30"/>
      <c r="H10" s="127"/>
      <c r="I10" s="31"/>
    </row>
    <row r="11" spans="1:11" ht="15" customHeight="1">
      <c r="C11" s="25"/>
      <c r="D11" s="25"/>
      <c r="K11" s="32"/>
    </row>
    <row r="12" spans="1:11" s="22" customFormat="1" ht="26.25" customHeight="1">
      <c r="A12" s="129" t="s">
        <v>218</v>
      </c>
      <c r="B12" s="47" t="s">
        <v>150</v>
      </c>
      <c r="C12" s="47" t="s">
        <v>219</v>
      </c>
      <c r="D12" s="59" t="s">
        <v>184</v>
      </c>
      <c r="E12" s="59" t="s">
        <v>739</v>
      </c>
      <c r="F12" s="59" t="s">
        <v>248</v>
      </c>
      <c r="G12" s="128" t="s">
        <v>151</v>
      </c>
      <c r="J12" s="33"/>
    </row>
    <row r="13" spans="1:11" ht="15" customHeight="1">
      <c r="A13" s="217">
        <v>1</v>
      </c>
      <c r="B13" s="163" t="str">
        <f>VLOOKUP(OverzichtExtra[[#This Row],[Code Locatie]],Locaties[],2,0)</f>
        <v>Rembrandt College</v>
      </c>
      <c r="C13" s="217">
        <v>1</v>
      </c>
      <c r="D13" s="236" t="str">
        <f>IF('Extra werkzaamheden'!$C13&gt;0,VLOOKUP('Extra werkzaamheden'!$C13,$A$8:$B$9,2,0),"")</f>
        <v>(Extra) dweilen ruimte 0.10 en 0.13</v>
      </c>
      <c r="E13" s="176">
        <v>1</v>
      </c>
      <c r="F13" s="164">
        <v>40</v>
      </c>
      <c r="G13" s="219">
        <f>IF(F13&gt;0,VLOOKUP(OverzichtExtra[[#This Row],[Code Taak]],InvulExtra[],5,2)*E13*F13,0)</f>
        <v>0</v>
      </c>
      <c r="H13" s="4"/>
      <c r="J13" s="32"/>
    </row>
    <row r="14" spans="1:11" ht="15" customHeight="1">
      <c r="A14" s="177"/>
      <c r="B14" s="178" t="s">
        <v>33</v>
      </c>
      <c r="C14" s="177"/>
      <c r="D14" s="179"/>
      <c r="E14" s="180"/>
      <c r="F14" s="177"/>
      <c r="G14" s="181">
        <f>SUBTOTAL(109,OverzichtExtra[Kosten/jaar excl. BTW])</f>
        <v>0</v>
      </c>
      <c r="H14" s="4"/>
    </row>
    <row r="15" spans="1:11" ht="15" customHeight="1">
      <c r="C15" s="24"/>
      <c r="D15" s="4"/>
    </row>
    <row r="16" spans="1:11" ht="15" customHeight="1">
      <c r="C16" s="24"/>
      <c r="D16" s="4"/>
    </row>
    <row r="17" spans="3:4" ht="15" customHeight="1">
      <c r="C17" s="24"/>
      <c r="D17" s="4"/>
    </row>
    <row r="18" spans="3:4" ht="15" customHeight="1">
      <c r="C18" s="24"/>
      <c r="D18" s="4"/>
    </row>
    <row r="19" spans="3:4" ht="15" customHeight="1">
      <c r="C19" s="24"/>
      <c r="D19" s="4"/>
    </row>
    <row r="20" spans="3:4" ht="15" customHeight="1">
      <c r="C20" s="24"/>
      <c r="D20" s="4"/>
    </row>
    <row r="21" spans="3:4" ht="15" customHeight="1">
      <c r="C21" s="24"/>
      <c r="D21" s="4"/>
    </row>
    <row r="22" spans="3:4" ht="15" customHeight="1">
      <c r="C22" s="24"/>
      <c r="D22" s="4"/>
    </row>
    <row r="23" spans="3:4" ht="15" customHeight="1">
      <c r="C23" s="24"/>
      <c r="D23" s="4"/>
    </row>
    <row r="24" spans="3:4" ht="15" customHeight="1">
      <c r="C24" s="24"/>
      <c r="D24" s="4"/>
    </row>
    <row r="25" spans="3:4" ht="15" customHeight="1">
      <c r="C25" s="24"/>
      <c r="D25" s="4"/>
    </row>
    <row r="26" spans="3:4" ht="15" customHeight="1">
      <c r="C26" s="24"/>
      <c r="D26" s="4"/>
    </row>
    <row r="27" spans="3:4" ht="15" customHeight="1">
      <c r="C27" s="24"/>
      <c r="D27" s="4"/>
    </row>
    <row r="28" spans="3:4" ht="15" customHeight="1">
      <c r="C28" s="24"/>
      <c r="D28" s="4"/>
    </row>
    <row r="29" spans="3:4" ht="15" customHeight="1">
      <c r="C29" s="24"/>
      <c r="D29" s="4"/>
    </row>
    <row r="30" spans="3:4" ht="15" customHeight="1">
      <c r="C30" s="24"/>
      <c r="D30" s="4"/>
    </row>
    <row r="31" spans="3:4" ht="15" customHeight="1">
      <c r="C31" s="24"/>
      <c r="D31" s="4"/>
    </row>
    <row r="32" spans="3:4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2"/>
  <sheetViews>
    <sheetView topLeftCell="B1"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64"/>
    <col min="2" max="2" width="99.14062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08" t="s">
        <v>182</v>
      </c>
      <c r="B1" s="308"/>
      <c r="C1" s="308"/>
      <c r="D1" s="308"/>
    </row>
    <row r="2" spans="1:9" s="7" customFormat="1" ht="18.75" customHeight="1">
      <c r="A2" s="321" t="s">
        <v>221</v>
      </c>
      <c r="B2" s="307"/>
      <c r="C2" s="307"/>
      <c r="D2" s="307"/>
    </row>
    <row r="3" spans="1:9" s="71" customFormat="1" ht="18.75" customHeight="1">
      <c r="A3" s="70"/>
    </row>
    <row r="4" spans="1:9" s="71" customFormat="1" ht="18.75" customHeight="1">
      <c r="A4" s="71" t="s">
        <v>180</v>
      </c>
    </row>
    <row r="5" spans="1:9" s="71" customFormat="1" ht="18.75" customHeight="1">
      <c r="A5" s="71" t="s">
        <v>183</v>
      </c>
    </row>
    <row r="6" spans="1:9" s="71" customFormat="1" ht="18.75" customHeight="1">
      <c r="A6" s="71" t="s">
        <v>235</v>
      </c>
    </row>
    <row r="7" spans="1:9" s="71" customFormat="1" ht="18.75" customHeight="1">
      <c r="A7" s="70"/>
    </row>
    <row r="8" spans="1:9" s="20" customFormat="1" ht="26.25" customHeight="1">
      <c r="A8" s="68"/>
      <c r="B8" s="67" t="s">
        <v>184</v>
      </c>
      <c r="C8" s="67" t="s">
        <v>152</v>
      </c>
      <c r="D8" s="22" t="s">
        <v>178</v>
      </c>
      <c r="E8" s="22" t="s">
        <v>259</v>
      </c>
      <c r="F8" s="22" t="s">
        <v>258</v>
      </c>
      <c r="G8" s="22" t="s">
        <v>257</v>
      </c>
      <c r="H8" s="22" t="s">
        <v>269</v>
      </c>
      <c r="I8" s="22" t="s">
        <v>731</v>
      </c>
    </row>
    <row r="9" spans="1:9" ht="18.75" customHeight="1">
      <c r="A9" s="328" t="s">
        <v>200</v>
      </c>
      <c r="B9" s="67" t="s">
        <v>186</v>
      </c>
      <c r="C9" s="67" t="s">
        <v>185</v>
      </c>
      <c r="D9" s="69">
        <v>0</v>
      </c>
      <c r="E9" s="221" t="e">
        <f>InvulRegie[[#This Row],[Prijs excl. BTW]]*Tariefsopbouw!$I$37+InvulRegie[[#This Row],[Prijs excl. BTW]]</f>
        <v>#DIV/0!</v>
      </c>
      <c r="F9" s="222" t="e">
        <f>InvulRegie[[#This Row],[2025]]*Tariefsopbouw!$K$37+InvulRegie[[#This Row],[2025]]</f>
        <v>#DIV/0!</v>
      </c>
      <c r="G9" s="222" t="e">
        <f>InvulRegie[[#This Row],[2026]]*Tariefsopbouw!$M$37+InvulRegie[[#This Row],[2026]]</f>
        <v>#DIV/0!</v>
      </c>
      <c r="H9" s="222" t="e">
        <f>InvulRegie[[#This Row],[2027]]*Tariefsopbouw!$O$37+InvulRegie[[#This Row],[2027]]</f>
        <v>#DIV/0!</v>
      </c>
      <c r="I9" s="222" t="e">
        <f>InvulRegie[[#This Row],[2028]]*Tariefsopbouw!$Q$37+InvulRegie[[#This Row],[2028]]</f>
        <v>#DIV/0!</v>
      </c>
    </row>
    <row r="10" spans="1:9" ht="18.75" customHeight="1">
      <c r="A10" s="329"/>
      <c r="B10" s="67" t="s">
        <v>187</v>
      </c>
      <c r="C10" s="67" t="s">
        <v>185</v>
      </c>
      <c r="D10" s="69">
        <v>0</v>
      </c>
      <c r="E10" s="221" t="e">
        <f>InvulRegie[[#This Row],[Prijs excl. BTW]]*Tariefsopbouw!$I$37+InvulRegie[[#This Row],[Prijs excl. BTW]]</f>
        <v>#DIV/0!</v>
      </c>
      <c r="F10" s="221" t="e">
        <f>InvulRegie[[#This Row],[2025]]*Tariefsopbouw!$K$37+InvulRegie[[#This Row],[2025]]</f>
        <v>#DIV/0!</v>
      </c>
      <c r="G10" s="221" t="e">
        <f>InvulRegie[[#This Row],[2026]]*Tariefsopbouw!$M$37+InvulRegie[[#This Row],[2026]]</f>
        <v>#DIV/0!</v>
      </c>
      <c r="H10" s="221" t="e">
        <f>InvulRegie[[#This Row],[2027]]*Tariefsopbouw!$O$37+InvulRegie[[#This Row],[2027]]</f>
        <v>#DIV/0!</v>
      </c>
      <c r="I10" s="221" t="e">
        <f>InvulRegie[[#This Row],[2028]]*Tariefsopbouw!$Q$37+InvulRegie[[#This Row],[2028]]</f>
        <v>#DIV/0!</v>
      </c>
    </row>
    <row r="11" spans="1:9" ht="18.75" customHeight="1">
      <c r="A11" s="329"/>
      <c r="B11" s="67" t="s">
        <v>188</v>
      </c>
      <c r="C11" s="67" t="s">
        <v>185</v>
      </c>
      <c r="D11" s="69">
        <v>0</v>
      </c>
      <c r="E11" s="221" t="e">
        <f>InvulRegie[[#This Row],[Prijs excl. BTW]]*Tariefsopbouw!$I$37+InvulRegie[[#This Row],[Prijs excl. BTW]]</f>
        <v>#DIV/0!</v>
      </c>
      <c r="F11" s="221" t="e">
        <f>InvulRegie[[#This Row],[2025]]*Tariefsopbouw!$K$37+InvulRegie[[#This Row],[2025]]</f>
        <v>#DIV/0!</v>
      </c>
      <c r="G11" s="221" t="e">
        <f>InvulRegie[[#This Row],[2026]]*Tariefsopbouw!$M$37+InvulRegie[[#This Row],[2026]]</f>
        <v>#DIV/0!</v>
      </c>
      <c r="H11" s="221" t="e">
        <f>InvulRegie[[#This Row],[2027]]*Tariefsopbouw!$O$37+InvulRegie[[#This Row],[2027]]</f>
        <v>#DIV/0!</v>
      </c>
      <c r="I11" s="221" t="e">
        <f>InvulRegie[[#This Row],[2028]]*Tariefsopbouw!$Q$37+InvulRegie[[#This Row],[2028]]</f>
        <v>#DIV/0!</v>
      </c>
    </row>
    <row r="12" spans="1:9" ht="18.75" customHeight="1">
      <c r="A12" s="329"/>
      <c r="B12" s="66" t="s">
        <v>189</v>
      </c>
      <c r="C12" s="67" t="s">
        <v>185</v>
      </c>
      <c r="D12" s="69">
        <v>0</v>
      </c>
      <c r="E12" s="221" t="e">
        <f>InvulRegie[[#This Row],[Prijs excl. BTW]]*Tariefsopbouw!$I$37+InvulRegie[[#This Row],[Prijs excl. BTW]]</f>
        <v>#DIV/0!</v>
      </c>
      <c r="F12" s="221" t="e">
        <f>InvulRegie[[#This Row],[2025]]*Tariefsopbouw!$K$37+InvulRegie[[#This Row],[2025]]</f>
        <v>#DIV/0!</v>
      </c>
      <c r="G12" s="221" t="e">
        <f>InvulRegie[[#This Row],[2026]]*Tariefsopbouw!$M$37+InvulRegie[[#This Row],[2026]]</f>
        <v>#DIV/0!</v>
      </c>
      <c r="H12" s="221" t="e">
        <f>InvulRegie[[#This Row],[2027]]*Tariefsopbouw!$O$37+InvulRegie[[#This Row],[2027]]</f>
        <v>#DIV/0!</v>
      </c>
      <c r="I12" s="221" t="e">
        <f>InvulRegie[[#This Row],[2028]]*Tariefsopbouw!$Q$37+InvulRegie[[#This Row],[2028]]</f>
        <v>#DIV/0!</v>
      </c>
    </row>
    <row r="13" spans="1:9" ht="18.75" customHeight="1">
      <c r="A13" s="329"/>
      <c r="B13" s="66" t="s">
        <v>208</v>
      </c>
      <c r="C13" s="67" t="s">
        <v>185</v>
      </c>
      <c r="D13" s="69">
        <v>0</v>
      </c>
      <c r="E13" s="224" t="e">
        <f>InvulRegie[[#This Row],[Prijs excl. BTW]]*Tariefsopbouw!$I$37+InvulRegie[[#This Row],[Prijs excl. BTW]]</f>
        <v>#DIV/0!</v>
      </c>
      <c r="F13" s="224" t="e">
        <f>InvulRegie[[#This Row],[2025]]*Tariefsopbouw!$K$37+InvulRegie[[#This Row],[2025]]</f>
        <v>#DIV/0!</v>
      </c>
      <c r="G13" s="224" t="e">
        <f>InvulRegie[[#This Row],[2026]]*Tariefsopbouw!$M$37+InvulRegie[[#This Row],[2026]]</f>
        <v>#DIV/0!</v>
      </c>
      <c r="H13" s="224" t="e">
        <f>InvulRegie[[#This Row],[2027]]*Tariefsopbouw!$O$37+InvulRegie[[#This Row],[2027]]</f>
        <v>#DIV/0!</v>
      </c>
      <c r="I13" s="224" t="e">
        <f>InvulRegie[[#This Row],[2028]]*Tariefsopbouw!$Q$37+InvulRegie[[#This Row],[2028]]</f>
        <v>#DIV/0!</v>
      </c>
    </row>
    <row r="14" spans="1:9" ht="18.75" customHeight="1">
      <c r="A14" s="330"/>
      <c r="B14" s="67" t="s">
        <v>195</v>
      </c>
      <c r="C14" s="67" t="s">
        <v>185</v>
      </c>
      <c r="D14" s="69">
        <v>0</v>
      </c>
      <c r="E14" s="224" t="e">
        <f>InvulRegie[[#This Row],[Prijs excl. BTW]]*Tariefsopbouw!$I$37+InvulRegie[[#This Row],[Prijs excl. BTW]]</f>
        <v>#DIV/0!</v>
      </c>
      <c r="F14" s="224" t="e">
        <f>InvulRegie[[#This Row],[2025]]*Tariefsopbouw!$K$37+InvulRegie[[#This Row],[2025]]</f>
        <v>#DIV/0!</v>
      </c>
      <c r="G14" s="224" t="e">
        <f>InvulRegie[[#This Row],[2026]]*Tariefsopbouw!$M$37+InvulRegie[[#This Row],[2026]]</f>
        <v>#DIV/0!</v>
      </c>
      <c r="H14" s="224" t="e">
        <f>InvulRegie[[#This Row],[2027]]*Tariefsopbouw!$O$37+InvulRegie[[#This Row],[2027]]</f>
        <v>#DIV/0!</v>
      </c>
      <c r="I14" s="224" t="e">
        <f>InvulRegie[[#This Row],[2028]]*Tariefsopbouw!$Q$37+InvulRegie[[#This Row],[2028]]</f>
        <v>#DIV/0!</v>
      </c>
    </row>
    <row r="15" spans="1:9" ht="18.75" customHeight="1">
      <c r="A15" s="328" t="s">
        <v>135</v>
      </c>
      <c r="B15" s="67" t="s">
        <v>42</v>
      </c>
      <c r="C15" s="67" t="s">
        <v>43</v>
      </c>
      <c r="D15" s="69">
        <v>0</v>
      </c>
      <c r="E15" s="224" t="e">
        <f>InvulRegie[[#This Row],[Prijs excl. BTW]]*Tariefsopbouw!$I$37+InvulRegie[[#This Row],[Prijs excl. BTW]]</f>
        <v>#DIV/0!</v>
      </c>
      <c r="F15" s="224" t="e">
        <f>InvulRegie[[#This Row],[2025]]*Tariefsopbouw!$K$37+InvulRegie[[#This Row],[2025]]</f>
        <v>#DIV/0!</v>
      </c>
      <c r="G15" s="224" t="e">
        <f>InvulRegie[[#This Row],[2026]]*Tariefsopbouw!$M$37+InvulRegie[[#This Row],[2026]]</f>
        <v>#DIV/0!</v>
      </c>
      <c r="H15" s="224" t="e">
        <f>InvulRegie[[#This Row],[2027]]*Tariefsopbouw!$O$37+InvulRegie[[#This Row],[2027]]</f>
        <v>#DIV/0!</v>
      </c>
      <c r="I15" s="224" t="e">
        <f>InvulRegie[[#This Row],[2028]]*Tariefsopbouw!$Q$37+InvulRegie[[#This Row],[2028]]</f>
        <v>#DIV/0!</v>
      </c>
    </row>
    <row r="16" spans="1:9" ht="18.75" customHeight="1">
      <c r="A16" s="329"/>
      <c r="B16" s="67" t="s">
        <v>44</v>
      </c>
      <c r="C16" s="67" t="s">
        <v>190</v>
      </c>
      <c r="D16" s="69">
        <v>0</v>
      </c>
      <c r="E16" s="224" t="e">
        <f>InvulRegie[[#This Row],[Prijs excl. BTW]]*Tariefsopbouw!$I$37+InvulRegie[[#This Row],[Prijs excl. BTW]]</f>
        <v>#DIV/0!</v>
      </c>
      <c r="F16" s="224" t="e">
        <f>InvulRegie[[#This Row],[2025]]*Tariefsopbouw!$K$37+InvulRegie[[#This Row],[2025]]</f>
        <v>#DIV/0!</v>
      </c>
      <c r="G16" s="224" t="e">
        <f>InvulRegie[[#This Row],[2026]]*Tariefsopbouw!$M$37+InvulRegie[[#This Row],[2026]]</f>
        <v>#DIV/0!</v>
      </c>
      <c r="H16" s="224" t="e">
        <f>InvulRegie[[#This Row],[2027]]*Tariefsopbouw!$O$37+InvulRegie[[#This Row],[2027]]</f>
        <v>#DIV/0!</v>
      </c>
      <c r="I16" s="224" t="e">
        <f>InvulRegie[[#This Row],[2028]]*Tariefsopbouw!$Q$37+InvulRegie[[#This Row],[2028]]</f>
        <v>#DIV/0!</v>
      </c>
    </row>
    <row r="17" spans="1:9" ht="18.75" customHeight="1">
      <c r="A17" s="329"/>
      <c r="B17" s="67" t="s">
        <v>191</v>
      </c>
      <c r="C17" s="67" t="s">
        <v>190</v>
      </c>
      <c r="D17" s="69">
        <v>0</v>
      </c>
      <c r="E17" s="224" t="e">
        <f>InvulRegie[[#This Row],[Prijs excl. BTW]]*Tariefsopbouw!$I$37+InvulRegie[[#This Row],[Prijs excl. BTW]]</f>
        <v>#DIV/0!</v>
      </c>
      <c r="F17" s="224" t="e">
        <f>InvulRegie[[#This Row],[2025]]*Tariefsopbouw!$K$37+InvulRegie[[#This Row],[2025]]</f>
        <v>#DIV/0!</v>
      </c>
      <c r="G17" s="224" t="e">
        <f>InvulRegie[[#This Row],[2026]]*Tariefsopbouw!$M$37+InvulRegie[[#This Row],[2026]]</f>
        <v>#DIV/0!</v>
      </c>
      <c r="H17" s="224" t="e">
        <f>InvulRegie[[#This Row],[2027]]*Tariefsopbouw!$O$37+InvulRegie[[#This Row],[2027]]</f>
        <v>#DIV/0!</v>
      </c>
      <c r="I17" s="224" t="e">
        <f>InvulRegie[[#This Row],[2028]]*Tariefsopbouw!$Q$37+InvulRegie[[#This Row],[2028]]</f>
        <v>#DIV/0!</v>
      </c>
    </row>
    <row r="18" spans="1:9" ht="18.75" customHeight="1">
      <c r="A18" s="329"/>
      <c r="B18" s="67" t="s">
        <v>192</v>
      </c>
      <c r="C18" s="67" t="s">
        <v>45</v>
      </c>
      <c r="D18" s="69">
        <v>0</v>
      </c>
      <c r="E18" s="224" t="e">
        <f>InvulRegie[[#This Row],[Prijs excl. BTW]]*Tariefsopbouw!$I$37+InvulRegie[[#This Row],[Prijs excl. BTW]]</f>
        <v>#DIV/0!</v>
      </c>
      <c r="F18" s="224" t="e">
        <f>InvulRegie[[#This Row],[2025]]*Tariefsopbouw!$K$37+InvulRegie[[#This Row],[2025]]</f>
        <v>#DIV/0!</v>
      </c>
      <c r="G18" s="224" t="e">
        <f>InvulRegie[[#This Row],[2026]]*Tariefsopbouw!$M$37+InvulRegie[[#This Row],[2026]]</f>
        <v>#DIV/0!</v>
      </c>
      <c r="H18" s="224" t="e">
        <f>InvulRegie[[#This Row],[2027]]*Tariefsopbouw!$O$37+InvulRegie[[#This Row],[2027]]</f>
        <v>#DIV/0!</v>
      </c>
      <c r="I18" s="224" t="e">
        <f>InvulRegie[[#This Row],[2028]]*Tariefsopbouw!$Q$37+InvulRegie[[#This Row],[2028]]</f>
        <v>#DIV/0!</v>
      </c>
    </row>
    <row r="19" spans="1:9" ht="18.75" customHeight="1">
      <c r="A19" s="329"/>
      <c r="B19" s="67" t="s">
        <v>256</v>
      </c>
      <c r="C19" s="67" t="s">
        <v>45</v>
      </c>
      <c r="D19" s="69">
        <v>0</v>
      </c>
      <c r="E19" s="224" t="e">
        <f>InvulRegie[[#This Row],[Prijs excl. BTW]]*Tariefsopbouw!$I$37+InvulRegie[[#This Row],[Prijs excl. BTW]]</f>
        <v>#DIV/0!</v>
      </c>
      <c r="F19" s="224" t="e">
        <f>InvulRegie[[#This Row],[2025]]*Tariefsopbouw!$K$37+InvulRegie[[#This Row],[2025]]</f>
        <v>#DIV/0!</v>
      </c>
      <c r="G19" s="224" t="e">
        <f>InvulRegie[[#This Row],[2026]]*Tariefsopbouw!$M$37+InvulRegie[[#This Row],[2026]]</f>
        <v>#DIV/0!</v>
      </c>
      <c r="H19" s="224" t="e">
        <f>InvulRegie[[#This Row],[2027]]*Tariefsopbouw!$O$37+InvulRegie[[#This Row],[2027]]</f>
        <v>#DIV/0!</v>
      </c>
      <c r="I19" s="224" t="e">
        <f>InvulRegie[[#This Row],[2028]]*Tariefsopbouw!$Q$37+InvulRegie[[#This Row],[2028]]</f>
        <v>#DIV/0!</v>
      </c>
    </row>
    <row r="20" spans="1:9" ht="18.75" customHeight="1">
      <c r="A20" s="329"/>
      <c r="B20" s="67" t="s">
        <v>193</v>
      </c>
      <c r="C20" s="67" t="s">
        <v>45</v>
      </c>
      <c r="D20" s="69">
        <v>0</v>
      </c>
      <c r="E20" s="224" t="e">
        <f>InvulRegie[[#This Row],[Prijs excl. BTW]]*Tariefsopbouw!$I$37+InvulRegie[[#This Row],[Prijs excl. BTW]]</f>
        <v>#DIV/0!</v>
      </c>
      <c r="F20" s="224" t="e">
        <f>InvulRegie[[#This Row],[2025]]*Tariefsopbouw!$K$37+InvulRegie[[#This Row],[2025]]</f>
        <v>#DIV/0!</v>
      </c>
      <c r="G20" s="224" t="e">
        <f>InvulRegie[[#This Row],[2026]]*Tariefsopbouw!$M$37+InvulRegie[[#This Row],[2026]]</f>
        <v>#DIV/0!</v>
      </c>
      <c r="H20" s="224" t="e">
        <f>InvulRegie[[#This Row],[2027]]*Tariefsopbouw!$O$37+InvulRegie[[#This Row],[2027]]</f>
        <v>#DIV/0!</v>
      </c>
      <c r="I20" s="224" t="e">
        <f>InvulRegie[[#This Row],[2028]]*Tariefsopbouw!$Q$37+InvulRegie[[#This Row],[2028]]</f>
        <v>#DIV/0!</v>
      </c>
    </row>
    <row r="21" spans="1:9" ht="18.75" customHeight="1">
      <c r="A21" s="330"/>
      <c r="B21" s="67" t="s">
        <v>194</v>
      </c>
      <c r="C21" s="67" t="s">
        <v>45</v>
      </c>
      <c r="D21" s="69">
        <v>0</v>
      </c>
      <c r="E21" s="224" t="e">
        <f>InvulRegie[[#This Row],[Prijs excl. BTW]]*Tariefsopbouw!$I$37+InvulRegie[[#This Row],[Prijs excl. BTW]]</f>
        <v>#DIV/0!</v>
      </c>
      <c r="F21" s="224" t="e">
        <f>InvulRegie[[#This Row],[2025]]*Tariefsopbouw!$K$37+InvulRegie[[#This Row],[2025]]</f>
        <v>#DIV/0!</v>
      </c>
      <c r="G21" s="224" t="e">
        <f>InvulRegie[[#This Row],[2026]]*Tariefsopbouw!$M$37+InvulRegie[[#This Row],[2026]]</f>
        <v>#DIV/0!</v>
      </c>
      <c r="H21" s="224" t="e">
        <f>InvulRegie[[#This Row],[2027]]*Tariefsopbouw!$O$37+InvulRegie[[#This Row],[2027]]</f>
        <v>#DIV/0!</v>
      </c>
      <c r="I21" s="224" t="e">
        <f>InvulRegie[[#This Row],[2028]]*Tariefsopbouw!$Q$37+InvulRegie[[#This Row],[2028]]</f>
        <v>#DIV/0!</v>
      </c>
    </row>
    <row r="22" spans="1:9" ht="18.75" customHeight="1">
      <c r="A22" s="328" t="s">
        <v>197</v>
      </c>
      <c r="B22" s="67" t="s">
        <v>58</v>
      </c>
      <c r="C22" s="67" t="s">
        <v>50</v>
      </c>
      <c r="D22" s="69">
        <v>0</v>
      </c>
      <c r="E22" s="224" t="e">
        <f>InvulRegie[[#This Row],[Prijs excl. BTW]]*Tariefsopbouw!$I$37+InvulRegie[[#This Row],[Prijs excl. BTW]]</f>
        <v>#DIV/0!</v>
      </c>
      <c r="F22" s="224" t="e">
        <f>InvulRegie[[#This Row],[2025]]*Tariefsopbouw!$K$37+InvulRegie[[#This Row],[2025]]</f>
        <v>#DIV/0!</v>
      </c>
      <c r="G22" s="224" t="e">
        <f>InvulRegie[[#This Row],[2026]]*Tariefsopbouw!$M$37+InvulRegie[[#This Row],[2026]]</f>
        <v>#DIV/0!</v>
      </c>
      <c r="H22" s="224" t="e">
        <f>InvulRegie[[#This Row],[2027]]*Tariefsopbouw!$O$37+InvulRegie[[#This Row],[2027]]</f>
        <v>#DIV/0!</v>
      </c>
      <c r="I22" s="224" t="e">
        <f>InvulRegie[[#This Row],[2028]]*Tariefsopbouw!$Q$37+InvulRegie[[#This Row],[2028]]</f>
        <v>#DIV/0!</v>
      </c>
    </row>
    <row r="23" spans="1:9" ht="18.75" customHeight="1">
      <c r="A23" s="330"/>
      <c r="B23" s="67" t="s">
        <v>46</v>
      </c>
      <c r="C23" s="67" t="s">
        <v>76</v>
      </c>
      <c r="D23" s="69">
        <v>0</v>
      </c>
      <c r="E23" s="224" t="e">
        <f>InvulRegie[[#This Row],[Prijs excl. BTW]]*Tariefsopbouw!$I$37+InvulRegie[[#This Row],[Prijs excl. BTW]]</f>
        <v>#DIV/0!</v>
      </c>
      <c r="F23" s="224" t="e">
        <f>InvulRegie[[#This Row],[2025]]*Tariefsopbouw!$K$37+InvulRegie[[#This Row],[2025]]</f>
        <v>#DIV/0!</v>
      </c>
      <c r="G23" s="224" t="e">
        <f>InvulRegie[[#This Row],[2026]]*Tariefsopbouw!$M$37+InvulRegie[[#This Row],[2026]]</f>
        <v>#DIV/0!</v>
      </c>
      <c r="H23" s="224" t="e">
        <f>InvulRegie[[#This Row],[2027]]*Tariefsopbouw!$O$37+InvulRegie[[#This Row],[2027]]</f>
        <v>#DIV/0!</v>
      </c>
      <c r="I23" s="224" t="e">
        <f>InvulRegie[[#This Row],[2028]]*Tariefsopbouw!$Q$37+InvulRegie[[#This Row],[2028]]</f>
        <v>#DIV/0!</v>
      </c>
    </row>
    <row r="24" spans="1:9" ht="18.75" customHeight="1">
      <c r="A24" s="328" t="s">
        <v>209</v>
      </c>
      <c r="B24" s="67" t="s">
        <v>198</v>
      </c>
      <c r="C24" s="67" t="s">
        <v>199</v>
      </c>
      <c r="D24" s="69">
        <v>0</v>
      </c>
      <c r="E24" s="224" t="e">
        <f>InvulRegie[[#This Row],[Prijs excl. BTW]]*Tariefsopbouw!$I$37+InvulRegie[[#This Row],[Prijs excl. BTW]]</f>
        <v>#DIV/0!</v>
      </c>
      <c r="F24" s="224" t="e">
        <f>InvulRegie[[#This Row],[2025]]*Tariefsopbouw!$K$37+InvulRegie[[#This Row],[2025]]</f>
        <v>#DIV/0!</v>
      </c>
      <c r="G24" s="224" t="e">
        <f>InvulRegie[[#This Row],[2026]]*Tariefsopbouw!$M$37+InvulRegie[[#This Row],[2026]]</f>
        <v>#DIV/0!</v>
      </c>
      <c r="H24" s="224" t="e">
        <f>InvulRegie[[#This Row],[2027]]*Tariefsopbouw!$O$37+InvulRegie[[#This Row],[2027]]</f>
        <v>#DIV/0!</v>
      </c>
      <c r="I24" s="224" t="e">
        <f>InvulRegie[[#This Row],[2028]]*Tariefsopbouw!$Q$37+InvulRegie[[#This Row],[2028]]</f>
        <v>#DIV/0!</v>
      </c>
    </row>
    <row r="25" spans="1:9" ht="18.75" customHeight="1">
      <c r="A25" s="329"/>
      <c r="B25" s="67" t="s">
        <v>249</v>
      </c>
      <c r="C25" s="67" t="s">
        <v>199</v>
      </c>
      <c r="D25" s="69">
        <v>0</v>
      </c>
      <c r="E25" s="224" t="e">
        <f>InvulRegie[[#This Row],[Prijs excl. BTW]]*Tariefsopbouw!$I$37+InvulRegie[[#This Row],[Prijs excl. BTW]]</f>
        <v>#DIV/0!</v>
      </c>
      <c r="F25" s="224" t="e">
        <f>InvulRegie[[#This Row],[2025]]*Tariefsopbouw!$K$37+InvulRegie[[#This Row],[2025]]</f>
        <v>#DIV/0!</v>
      </c>
      <c r="G25" s="224" t="e">
        <f>InvulRegie[[#This Row],[2026]]*Tariefsopbouw!$M$37+InvulRegie[[#This Row],[2026]]</f>
        <v>#DIV/0!</v>
      </c>
      <c r="H25" s="224" t="e">
        <f>InvulRegie[[#This Row],[2027]]*Tariefsopbouw!$O$37+InvulRegie[[#This Row],[2027]]</f>
        <v>#DIV/0!</v>
      </c>
      <c r="I25" s="224" t="e">
        <f>InvulRegie[[#This Row],[2028]]*Tariefsopbouw!$Q$37+InvulRegie[[#This Row],[2028]]</f>
        <v>#DIV/0!</v>
      </c>
    </row>
    <row r="26" spans="1:9" ht="18.75" customHeight="1">
      <c r="A26" s="329"/>
      <c r="B26" s="67" t="s">
        <v>251</v>
      </c>
      <c r="C26" s="67" t="s">
        <v>199</v>
      </c>
      <c r="D26" s="69">
        <v>0</v>
      </c>
      <c r="E26" s="224" t="e">
        <f>InvulRegie[[#This Row],[Prijs excl. BTW]]*Tariefsopbouw!$I$37+InvulRegie[[#This Row],[Prijs excl. BTW]]</f>
        <v>#DIV/0!</v>
      </c>
      <c r="F26" s="224" t="e">
        <f>InvulRegie[[#This Row],[2025]]*Tariefsopbouw!$K$37+InvulRegie[[#This Row],[2025]]</f>
        <v>#DIV/0!</v>
      </c>
      <c r="G26" s="224" t="e">
        <f>InvulRegie[[#This Row],[2026]]*Tariefsopbouw!$M$37+InvulRegie[[#This Row],[2026]]</f>
        <v>#DIV/0!</v>
      </c>
      <c r="H26" s="224" t="e">
        <f>InvulRegie[[#This Row],[2027]]*Tariefsopbouw!$O$37+InvulRegie[[#This Row],[2027]]</f>
        <v>#DIV/0!</v>
      </c>
      <c r="I26" s="224" t="e">
        <f>InvulRegie[[#This Row],[2028]]*Tariefsopbouw!$Q$37+InvulRegie[[#This Row],[2028]]</f>
        <v>#DIV/0!</v>
      </c>
    </row>
    <row r="27" spans="1:9" ht="18.75" customHeight="1">
      <c r="A27" s="329"/>
      <c r="B27" s="67" t="s">
        <v>250</v>
      </c>
      <c r="C27" s="67" t="s">
        <v>199</v>
      </c>
      <c r="D27" s="69">
        <v>0</v>
      </c>
      <c r="E27" s="224" t="e">
        <f>InvulRegie[[#This Row],[Prijs excl. BTW]]*Tariefsopbouw!$I$37+InvulRegie[[#This Row],[Prijs excl. BTW]]</f>
        <v>#DIV/0!</v>
      </c>
      <c r="F27" s="224" t="e">
        <f>InvulRegie[[#This Row],[2025]]*Tariefsopbouw!$K$37+InvulRegie[[#This Row],[2025]]</f>
        <v>#DIV/0!</v>
      </c>
      <c r="G27" s="224" t="e">
        <f>InvulRegie[[#This Row],[2026]]*Tariefsopbouw!$M$37+InvulRegie[[#This Row],[2026]]</f>
        <v>#DIV/0!</v>
      </c>
      <c r="H27" s="224" t="e">
        <f>InvulRegie[[#This Row],[2027]]*Tariefsopbouw!$O$37+InvulRegie[[#This Row],[2027]]</f>
        <v>#DIV/0!</v>
      </c>
      <c r="I27" s="224" t="e">
        <f>InvulRegie[[#This Row],[2028]]*Tariefsopbouw!$Q$37+InvulRegie[[#This Row],[2028]]</f>
        <v>#DIV/0!</v>
      </c>
    </row>
    <row r="28" spans="1:9" ht="18.75" customHeight="1">
      <c r="A28" s="330"/>
      <c r="B28" s="67" t="s">
        <v>49</v>
      </c>
      <c r="C28" s="67" t="s">
        <v>199</v>
      </c>
      <c r="D28" s="69">
        <v>0</v>
      </c>
      <c r="E28" s="224" t="e">
        <f>InvulRegie[[#This Row],[Prijs excl. BTW]]*Tariefsopbouw!$I$37+InvulRegie[[#This Row],[Prijs excl. BTW]]</f>
        <v>#DIV/0!</v>
      </c>
      <c r="F28" s="224" t="e">
        <f>InvulRegie[[#This Row],[2025]]*Tariefsopbouw!$K$37+InvulRegie[[#This Row],[2025]]</f>
        <v>#DIV/0!</v>
      </c>
      <c r="G28" s="224" t="e">
        <f>InvulRegie[[#This Row],[2026]]*Tariefsopbouw!$M$37+InvulRegie[[#This Row],[2026]]</f>
        <v>#DIV/0!</v>
      </c>
      <c r="H28" s="224" t="e">
        <f>InvulRegie[[#This Row],[2027]]*Tariefsopbouw!$O$37+InvulRegie[[#This Row],[2027]]</f>
        <v>#DIV/0!</v>
      </c>
      <c r="I28" s="224" t="e">
        <f>InvulRegie[[#This Row],[2028]]*Tariefsopbouw!$Q$37+InvulRegie[[#This Row],[2028]]</f>
        <v>#DIV/0!</v>
      </c>
    </row>
    <row r="29" spans="1:9" ht="18.75" customHeight="1">
      <c r="A29" s="328" t="s">
        <v>210</v>
      </c>
      <c r="B29" s="66" t="s">
        <v>211</v>
      </c>
      <c r="C29" s="67" t="s">
        <v>196</v>
      </c>
      <c r="D29" s="69">
        <v>0</v>
      </c>
      <c r="E29" s="224" t="e">
        <f>InvulRegie[[#This Row],[Prijs excl. BTW]]*Tariefsopbouw!$I$37+InvulRegie[[#This Row],[Prijs excl. BTW]]</f>
        <v>#DIV/0!</v>
      </c>
      <c r="F29" s="223" t="e">
        <f>InvulRegie[[#This Row],[2025]]*Tariefsopbouw!$K$37+InvulRegie[[#This Row],[2025]]</f>
        <v>#DIV/0!</v>
      </c>
      <c r="G29" s="224" t="e">
        <f>InvulRegie[[#This Row],[2026]]*Tariefsopbouw!$M$37+InvulRegie[[#This Row],[2026]]</f>
        <v>#DIV/0!</v>
      </c>
      <c r="H29" s="224" t="e">
        <f>InvulRegie[[#This Row],[2027]]*Tariefsopbouw!$O$37+InvulRegie[[#This Row],[2027]]</f>
        <v>#DIV/0!</v>
      </c>
      <c r="I29" s="224" t="e">
        <f>InvulRegie[[#This Row],[2028]]*Tariefsopbouw!$Q$37+InvulRegie[[#This Row],[2028]]</f>
        <v>#DIV/0!</v>
      </c>
    </row>
    <row r="30" spans="1:9" ht="18.75" customHeight="1">
      <c r="A30" s="329"/>
      <c r="B30" s="66" t="s">
        <v>212</v>
      </c>
      <c r="C30" s="67" t="s">
        <v>196</v>
      </c>
      <c r="D30" s="69">
        <v>0</v>
      </c>
      <c r="E30" s="224" t="e">
        <f>InvulRegie[[#This Row],[Prijs excl. BTW]]*Tariefsopbouw!$I$37+InvulRegie[[#This Row],[Prijs excl. BTW]]</f>
        <v>#DIV/0!</v>
      </c>
      <c r="F30" s="223" t="e">
        <f>InvulRegie[[#This Row],[2025]]*Tariefsopbouw!$K$37+InvulRegie[[#This Row],[2025]]</f>
        <v>#DIV/0!</v>
      </c>
      <c r="G30" s="224" t="e">
        <f>InvulRegie[[#This Row],[2026]]*Tariefsopbouw!$M$37+InvulRegie[[#This Row],[2026]]</f>
        <v>#DIV/0!</v>
      </c>
      <c r="H30" s="224" t="e">
        <f>InvulRegie[[#This Row],[2027]]*Tariefsopbouw!$O$37+InvulRegie[[#This Row],[2027]]</f>
        <v>#DIV/0!</v>
      </c>
      <c r="I30" s="224" t="e">
        <f>InvulRegie[[#This Row],[2028]]*Tariefsopbouw!$Q$37+InvulRegie[[#This Row],[2028]]</f>
        <v>#DIV/0!</v>
      </c>
    </row>
    <row r="31" spans="1:9" ht="18.75" customHeight="1">
      <c r="A31" s="330"/>
      <c r="B31" s="66" t="s">
        <v>213</v>
      </c>
      <c r="C31" s="67" t="s">
        <v>196</v>
      </c>
      <c r="D31" s="69">
        <v>0</v>
      </c>
      <c r="E31" s="224" t="e">
        <f>InvulRegie[[#This Row],[Prijs excl. BTW]]*Tariefsopbouw!$I$37+InvulRegie[[#This Row],[Prijs excl. BTW]]</f>
        <v>#DIV/0!</v>
      </c>
      <c r="F31" s="223" t="e">
        <f>InvulRegie[[#This Row],[2025]]*Tariefsopbouw!$K$37+InvulRegie[[#This Row],[2025]]</f>
        <v>#DIV/0!</v>
      </c>
      <c r="G31" s="224" t="e">
        <f>InvulRegie[[#This Row],[2026]]*Tariefsopbouw!$M$37+InvulRegie[[#This Row],[2026]]</f>
        <v>#DIV/0!</v>
      </c>
      <c r="H31" s="224" t="e">
        <f>InvulRegie[[#This Row],[2027]]*Tariefsopbouw!$O$37+InvulRegie[[#This Row],[2027]]</f>
        <v>#DIV/0!</v>
      </c>
      <c r="I31" s="224" t="e">
        <f>InvulRegie[[#This Row],[2028]]*Tariefsopbouw!$Q$37+InvulRegie[[#This Row],[2028]]</f>
        <v>#DIV/0!</v>
      </c>
    </row>
    <row r="32" spans="1:9" ht="18.75" customHeight="1">
      <c r="A32" s="328" t="s">
        <v>204</v>
      </c>
      <c r="B32" s="67" t="s">
        <v>51</v>
      </c>
      <c r="C32" s="67" t="s">
        <v>50</v>
      </c>
      <c r="D32" s="69">
        <v>0</v>
      </c>
      <c r="E32" s="224" t="e">
        <f>InvulRegie[[#This Row],[Prijs excl. BTW]]*Tariefsopbouw!$I$37+InvulRegie[[#This Row],[Prijs excl. BTW]]</f>
        <v>#DIV/0!</v>
      </c>
      <c r="F32" s="224" t="e">
        <f>InvulRegie[[#This Row],[2025]]*Tariefsopbouw!$K$37+InvulRegie[[#This Row],[2025]]</f>
        <v>#DIV/0!</v>
      </c>
      <c r="G32" s="224" t="e">
        <f>InvulRegie[[#This Row],[2026]]*Tariefsopbouw!$M$37+InvulRegie[[#This Row],[2026]]</f>
        <v>#DIV/0!</v>
      </c>
      <c r="H32" s="224" t="e">
        <f>InvulRegie[[#This Row],[2027]]*Tariefsopbouw!$O$37+InvulRegie[[#This Row],[2027]]</f>
        <v>#DIV/0!</v>
      </c>
      <c r="I32" s="224" t="e">
        <f>InvulRegie[[#This Row],[2028]]*Tariefsopbouw!$Q$37+InvulRegie[[#This Row],[2028]]</f>
        <v>#DIV/0!</v>
      </c>
    </row>
    <row r="33" spans="1:9" ht="18.75" customHeight="1">
      <c r="A33" s="329"/>
      <c r="B33" s="67" t="s">
        <v>52</v>
      </c>
      <c r="C33" s="67" t="s">
        <v>50</v>
      </c>
      <c r="D33" s="69">
        <v>0</v>
      </c>
      <c r="E33" s="224" t="e">
        <f>InvulRegie[[#This Row],[Prijs excl. BTW]]*Tariefsopbouw!$I$37+InvulRegie[[#This Row],[Prijs excl. BTW]]</f>
        <v>#DIV/0!</v>
      </c>
      <c r="F33" s="224" t="e">
        <f>InvulRegie[[#This Row],[2025]]*Tariefsopbouw!$K$37+InvulRegie[[#This Row],[2025]]</f>
        <v>#DIV/0!</v>
      </c>
      <c r="G33" s="224" t="e">
        <f>InvulRegie[[#This Row],[2026]]*Tariefsopbouw!$M$37+InvulRegie[[#This Row],[2026]]</f>
        <v>#DIV/0!</v>
      </c>
      <c r="H33" s="224" t="e">
        <f>InvulRegie[[#This Row],[2027]]*Tariefsopbouw!$O$37+InvulRegie[[#This Row],[2027]]</f>
        <v>#DIV/0!</v>
      </c>
      <c r="I33" s="224" t="e">
        <f>InvulRegie[[#This Row],[2028]]*Tariefsopbouw!$Q$37+InvulRegie[[#This Row],[2028]]</f>
        <v>#DIV/0!</v>
      </c>
    </row>
    <row r="34" spans="1:9" ht="18.75" customHeight="1">
      <c r="A34" s="329"/>
      <c r="B34" s="67" t="s">
        <v>53</v>
      </c>
      <c r="C34" s="67" t="s">
        <v>50</v>
      </c>
      <c r="D34" s="69">
        <v>0</v>
      </c>
      <c r="E34" s="224" t="e">
        <f>InvulRegie[[#This Row],[Prijs excl. BTW]]*Tariefsopbouw!$I$37+InvulRegie[[#This Row],[Prijs excl. BTW]]</f>
        <v>#DIV/0!</v>
      </c>
      <c r="F34" s="224" t="e">
        <f>InvulRegie[[#This Row],[2025]]*Tariefsopbouw!$K$37+InvulRegie[[#This Row],[2025]]</f>
        <v>#DIV/0!</v>
      </c>
      <c r="G34" s="224" t="e">
        <f>InvulRegie[[#This Row],[2026]]*Tariefsopbouw!$M$37+InvulRegie[[#This Row],[2026]]</f>
        <v>#DIV/0!</v>
      </c>
      <c r="H34" s="224" t="e">
        <f>InvulRegie[[#This Row],[2027]]*Tariefsopbouw!$O$37+InvulRegie[[#This Row],[2027]]</f>
        <v>#DIV/0!</v>
      </c>
      <c r="I34" s="224" t="e">
        <f>InvulRegie[[#This Row],[2028]]*Tariefsopbouw!$Q$37+InvulRegie[[#This Row],[2028]]</f>
        <v>#DIV/0!</v>
      </c>
    </row>
    <row r="35" spans="1:9" ht="18.75" customHeight="1">
      <c r="A35" s="329"/>
      <c r="B35" s="67" t="s">
        <v>54</v>
      </c>
      <c r="C35" s="67" t="s">
        <v>50</v>
      </c>
      <c r="D35" s="69">
        <v>0</v>
      </c>
      <c r="E35" s="224" t="e">
        <f>InvulRegie[[#This Row],[Prijs excl. BTW]]*Tariefsopbouw!$I$37+InvulRegie[[#This Row],[Prijs excl. BTW]]</f>
        <v>#DIV/0!</v>
      </c>
      <c r="F35" s="224" t="e">
        <f>InvulRegie[[#This Row],[2025]]*Tariefsopbouw!$K$37+InvulRegie[[#This Row],[2025]]</f>
        <v>#DIV/0!</v>
      </c>
      <c r="G35" s="224" t="e">
        <f>InvulRegie[[#This Row],[2026]]*Tariefsopbouw!$M$37+InvulRegie[[#This Row],[2026]]</f>
        <v>#DIV/0!</v>
      </c>
      <c r="H35" s="224" t="e">
        <f>InvulRegie[[#This Row],[2027]]*Tariefsopbouw!$O$37+InvulRegie[[#This Row],[2027]]</f>
        <v>#DIV/0!</v>
      </c>
      <c r="I35" s="224" t="e">
        <f>InvulRegie[[#This Row],[2028]]*Tariefsopbouw!$Q$37+InvulRegie[[#This Row],[2028]]</f>
        <v>#DIV/0!</v>
      </c>
    </row>
    <row r="36" spans="1:9" ht="18.75" customHeight="1">
      <c r="A36" s="330"/>
      <c r="B36" s="67" t="s">
        <v>47</v>
      </c>
      <c r="C36" s="67" t="s">
        <v>48</v>
      </c>
      <c r="D36" s="69">
        <v>0</v>
      </c>
      <c r="E36" s="224" t="e">
        <f>InvulRegie[[#This Row],[Prijs excl. BTW]]*Tariefsopbouw!$I$37+InvulRegie[[#This Row],[Prijs excl. BTW]]</f>
        <v>#DIV/0!</v>
      </c>
      <c r="F36" s="224" t="e">
        <f>InvulRegie[[#This Row],[2025]]*Tariefsopbouw!$K$37+InvulRegie[[#This Row],[2025]]</f>
        <v>#DIV/0!</v>
      </c>
      <c r="G36" s="224" t="e">
        <f>InvulRegie[[#This Row],[2026]]*Tariefsopbouw!$M$37+InvulRegie[[#This Row],[2026]]</f>
        <v>#DIV/0!</v>
      </c>
      <c r="H36" s="224" t="e">
        <f>InvulRegie[[#This Row],[2027]]*Tariefsopbouw!$O$37+InvulRegie[[#This Row],[2027]]</f>
        <v>#DIV/0!</v>
      </c>
      <c r="I36" s="224" t="e">
        <f>InvulRegie[[#This Row],[2028]]*Tariefsopbouw!$Q$37+InvulRegie[[#This Row],[2028]]</f>
        <v>#DIV/0!</v>
      </c>
    </row>
    <row r="37" spans="1:9" ht="18.75" customHeight="1">
      <c r="A37" s="331" t="s">
        <v>205</v>
      </c>
      <c r="B37" s="67" t="s">
        <v>55</v>
      </c>
      <c r="C37" s="67" t="s">
        <v>234</v>
      </c>
      <c r="D37" s="69">
        <v>0</v>
      </c>
      <c r="E37" s="224" t="e">
        <f>InvulRegie[[#This Row],[Prijs excl. BTW]]*Tariefsopbouw!$I$37+InvulRegie[[#This Row],[Prijs excl. BTW]]</f>
        <v>#DIV/0!</v>
      </c>
      <c r="F37" s="224" t="e">
        <f>InvulRegie[[#This Row],[2025]]*Tariefsopbouw!$K$37+InvulRegie[[#This Row],[2025]]</f>
        <v>#DIV/0!</v>
      </c>
      <c r="G37" s="224" t="e">
        <f>InvulRegie[[#This Row],[2026]]*Tariefsopbouw!$M$37+InvulRegie[[#This Row],[2026]]</f>
        <v>#DIV/0!</v>
      </c>
      <c r="H37" s="224" t="e">
        <f>InvulRegie[[#This Row],[2027]]*Tariefsopbouw!$O$37+InvulRegie[[#This Row],[2027]]</f>
        <v>#DIV/0!</v>
      </c>
      <c r="I37" s="224" t="e">
        <f>InvulRegie[[#This Row],[2028]]*Tariefsopbouw!$Q$37+InvulRegie[[#This Row],[2028]]</f>
        <v>#DIV/0!</v>
      </c>
    </row>
    <row r="38" spans="1:9" ht="18.75" customHeight="1">
      <c r="A38" s="332"/>
      <c r="B38" s="67" t="s">
        <v>56</v>
      </c>
      <c r="C38" s="67" t="s">
        <v>57</v>
      </c>
      <c r="D38" s="69">
        <v>0</v>
      </c>
      <c r="E38" s="224" t="e">
        <f>InvulRegie[[#This Row],[Prijs excl. BTW]]*Tariefsopbouw!$I$37+InvulRegie[[#This Row],[Prijs excl. BTW]]</f>
        <v>#DIV/0!</v>
      </c>
      <c r="F38" s="224" t="e">
        <f>InvulRegie[[#This Row],[2025]]*Tariefsopbouw!$K$37+InvulRegie[[#This Row],[2025]]</f>
        <v>#DIV/0!</v>
      </c>
      <c r="G38" s="224" t="e">
        <f>InvulRegie[[#This Row],[2026]]*Tariefsopbouw!$M$37+InvulRegie[[#This Row],[2026]]</f>
        <v>#DIV/0!</v>
      </c>
      <c r="H38" s="224" t="e">
        <f>InvulRegie[[#This Row],[2027]]*Tariefsopbouw!$O$37+InvulRegie[[#This Row],[2027]]</f>
        <v>#DIV/0!</v>
      </c>
      <c r="I38" s="224" t="e">
        <f>InvulRegie[[#This Row],[2028]]*Tariefsopbouw!$Q$37+InvulRegie[[#This Row],[2028]]</f>
        <v>#DIV/0!</v>
      </c>
    </row>
    <row r="39" spans="1:9" ht="18.75" customHeight="1">
      <c r="A39" s="332"/>
      <c r="B39" s="67" t="s">
        <v>206</v>
      </c>
      <c r="C39" s="67" t="s">
        <v>57</v>
      </c>
      <c r="D39" s="69">
        <v>0</v>
      </c>
      <c r="E39" s="224" t="e">
        <f>InvulRegie[[#This Row],[Prijs excl. BTW]]*Tariefsopbouw!$I$37+InvulRegie[[#This Row],[Prijs excl. BTW]]</f>
        <v>#DIV/0!</v>
      </c>
      <c r="F39" s="224" t="e">
        <f>InvulRegie[[#This Row],[2025]]*Tariefsopbouw!$K$37+InvulRegie[[#This Row],[2025]]</f>
        <v>#DIV/0!</v>
      </c>
      <c r="G39" s="224" t="e">
        <f>InvulRegie[[#This Row],[2026]]*Tariefsopbouw!$M$37+InvulRegie[[#This Row],[2026]]</f>
        <v>#DIV/0!</v>
      </c>
      <c r="H39" s="224" t="e">
        <f>InvulRegie[[#This Row],[2027]]*Tariefsopbouw!$O$37+InvulRegie[[#This Row],[2027]]</f>
        <v>#DIV/0!</v>
      </c>
      <c r="I39" s="224" t="e">
        <f>InvulRegie[[#This Row],[2028]]*Tariefsopbouw!$Q$37+InvulRegie[[#This Row],[2028]]</f>
        <v>#DIV/0!</v>
      </c>
    </row>
    <row r="40" spans="1:9" ht="18.75" customHeight="1">
      <c r="A40" s="333"/>
      <c r="B40" s="67" t="s">
        <v>207</v>
      </c>
      <c r="C40" s="67" t="s">
        <v>57</v>
      </c>
      <c r="D40" s="69">
        <v>0</v>
      </c>
      <c r="E40" s="224" t="e">
        <f>InvulRegie[[#This Row],[Prijs excl. BTW]]*Tariefsopbouw!$I$37+InvulRegie[[#This Row],[Prijs excl. BTW]]</f>
        <v>#DIV/0!</v>
      </c>
      <c r="F40" s="224" t="e">
        <f>InvulRegie[[#This Row],[2025]]*Tariefsopbouw!$K$37+InvulRegie[[#This Row],[2025]]</f>
        <v>#DIV/0!</v>
      </c>
      <c r="G40" s="224" t="e">
        <f>InvulRegie[[#This Row],[2026]]*Tariefsopbouw!$M$37+InvulRegie[[#This Row],[2026]]</f>
        <v>#DIV/0!</v>
      </c>
      <c r="H40" s="224" t="e">
        <f>InvulRegie[[#This Row],[2027]]*Tariefsopbouw!$O$37+InvulRegie[[#This Row],[2027]]</f>
        <v>#DIV/0!</v>
      </c>
      <c r="I40" s="224" t="e">
        <f>InvulRegie[[#This Row],[2028]]*Tariefsopbouw!$Q$37+InvulRegie[[#This Row],[2028]]</f>
        <v>#DIV/0!</v>
      </c>
    </row>
    <row r="41" spans="1:9" s="145" customFormat="1" ht="26.25" customHeight="1">
      <c r="A41" s="144"/>
      <c r="B41" s="220" t="s">
        <v>33</v>
      </c>
      <c r="C41" s="220"/>
      <c r="D41" s="220"/>
      <c r="E41" s="220"/>
      <c r="F41" s="220"/>
      <c r="G41" s="220"/>
      <c r="H41" s="220"/>
      <c r="I41" s="220"/>
    </row>
    <row r="42" spans="1:9" ht="18.75" customHeight="1" thickBot="1"/>
    <row r="43" spans="1:9" ht="15.75">
      <c r="A43" s="253"/>
      <c r="B43" s="254" t="s">
        <v>429</v>
      </c>
      <c r="C43" s="254"/>
      <c r="D43" s="255"/>
    </row>
    <row r="44" spans="1:9" ht="12.75">
      <c r="A44" s="256"/>
      <c r="B44" s="257"/>
      <c r="C44" s="257"/>
      <c r="D44" s="258"/>
    </row>
    <row r="45" spans="1:9" ht="12.75">
      <c r="A45" s="256"/>
      <c r="B45" s="259" t="s">
        <v>430</v>
      </c>
      <c r="C45" s="257"/>
      <c r="D45" s="258"/>
    </row>
    <row r="46" spans="1:9" ht="12.75">
      <c r="A46" s="256"/>
      <c r="B46" s="257"/>
      <c r="C46" s="257"/>
      <c r="D46" s="258"/>
    </row>
    <row r="47" spans="1:9" ht="12.75">
      <c r="A47" s="256"/>
      <c r="B47" s="260" t="s">
        <v>431</v>
      </c>
      <c r="C47" s="257"/>
      <c r="D47" s="258"/>
    </row>
    <row r="48" spans="1:9" ht="12.75">
      <c r="A48" s="256"/>
      <c r="B48" s="257"/>
      <c r="C48" s="257"/>
      <c r="D48" s="258"/>
    </row>
    <row r="49" spans="1:4" ht="12.75">
      <c r="A49" s="261" t="s">
        <v>432</v>
      </c>
      <c r="B49" s="326" t="s">
        <v>433</v>
      </c>
      <c r="C49" s="326"/>
      <c r="D49" s="327"/>
    </row>
    <row r="50" spans="1:4" ht="12.75">
      <c r="A50" s="261" t="s">
        <v>432</v>
      </c>
      <c r="B50" s="326" t="s">
        <v>434</v>
      </c>
      <c r="C50" s="326" t="s">
        <v>434</v>
      </c>
      <c r="D50" s="327" t="s">
        <v>434</v>
      </c>
    </row>
    <row r="51" spans="1:4" ht="12.75">
      <c r="A51" s="261" t="s">
        <v>432</v>
      </c>
      <c r="B51" s="326" t="s">
        <v>435</v>
      </c>
      <c r="C51" s="326" t="s">
        <v>435</v>
      </c>
      <c r="D51" s="327" t="s">
        <v>435</v>
      </c>
    </row>
    <row r="52" spans="1:4" ht="12.75">
      <c r="A52" s="261" t="s">
        <v>432</v>
      </c>
      <c r="B52" s="326" t="s">
        <v>436</v>
      </c>
      <c r="C52" s="326" t="s">
        <v>436</v>
      </c>
      <c r="D52" s="327" t="s">
        <v>436</v>
      </c>
    </row>
    <row r="53" spans="1:4" ht="12.75">
      <c r="A53" s="261" t="s">
        <v>432</v>
      </c>
      <c r="B53" s="326" t="s">
        <v>437</v>
      </c>
      <c r="C53" s="326" t="s">
        <v>437</v>
      </c>
      <c r="D53" s="327" t="s">
        <v>437</v>
      </c>
    </row>
    <row r="54" spans="1:4" ht="12.75">
      <c r="A54" s="261" t="s">
        <v>432</v>
      </c>
      <c r="B54" s="326" t="s">
        <v>438</v>
      </c>
      <c r="C54" s="326" t="s">
        <v>438</v>
      </c>
      <c r="D54" s="327" t="s">
        <v>438</v>
      </c>
    </row>
    <row r="55" spans="1:4" ht="12.75">
      <c r="A55" s="261" t="s">
        <v>432</v>
      </c>
      <c r="B55" s="326" t="s">
        <v>439</v>
      </c>
      <c r="C55" s="326" t="s">
        <v>439</v>
      </c>
      <c r="D55" s="327" t="s">
        <v>439</v>
      </c>
    </row>
    <row r="56" spans="1:4" ht="12.75">
      <c r="A56" s="261" t="s">
        <v>432</v>
      </c>
      <c r="B56" s="326" t="s">
        <v>440</v>
      </c>
      <c r="C56" s="326" t="s">
        <v>440</v>
      </c>
      <c r="D56" s="327" t="s">
        <v>440</v>
      </c>
    </row>
    <row r="57" spans="1:4" ht="12.75">
      <c r="A57" s="261" t="s">
        <v>432</v>
      </c>
      <c r="B57" s="326" t="s">
        <v>441</v>
      </c>
      <c r="C57" s="326" t="s">
        <v>441</v>
      </c>
      <c r="D57" s="327" t="s">
        <v>441</v>
      </c>
    </row>
    <row r="58" spans="1:4" ht="12.75">
      <c r="A58" s="261" t="s">
        <v>432</v>
      </c>
      <c r="B58" s="326" t="s">
        <v>442</v>
      </c>
      <c r="C58" s="326" t="s">
        <v>442</v>
      </c>
      <c r="D58" s="327" t="s">
        <v>442</v>
      </c>
    </row>
    <row r="59" spans="1:4" ht="12.75">
      <c r="A59" s="261" t="s">
        <v>432</v>
      </c>
      <c r="B59" s="326" t="s">
        <v>443</v>
      </c>
      <c r="C59" s="326" t="s">
        <v>443</v>
      </c>
      <c r="D59" s="327" t="s">
        <v>443</v>
      </c>
    </row>
    <row r="60" spans="1:4" ht="12.75">
      <c r="A60" s="261" t="s">
        <v>432</v>
      </c>
      <c r="B60" s="326" t="s">
        <v>444</v>
      </c>
      <c r="C60" s="326" t="s">
        <v>444</v>
      </c>
      <c r="D60" s="327" t="s">
        <v>444</v>
      </c>
    </row>
    <row r="61" spans="1:4" ht="12.75">
      <c r="A61" s="256"/>
      <c r="B61" s="262"/>
      <c r="C61" s="257"/>
      <c r="D61" s="258"/>
    </row>
    <row r="62" spans="1:4" ht="12.75">
      <c r="A62" s="256"/>
      <c r="B62" s="263" t="s">
        <v>445</v>
      </c>
      <c r="C62" s="257"/>
      <c r="D62" s="258"/>
    </row>
    <row r="63" spans="1:4" ht="12.75">
      <c r="A63" s="256"/>
      <c r="B63" s="262"/>
      <c r="C63" s="257"/>
      <c r="D63" s="258"/>
    </row>
    <row r="64" spans="1:4" ht="24" customHeight="1">
      <c r="A64" s="261" t="s">
        <v>432</v>
      </c>
      <c r="B64" s="326" t="s">
        <v>446</v>
      </c>
      <c r="C64" s="326" t="s">
        <v>446</v>
      </c>
      <c r="D64" s="327" t="s">
        <v>446</v>
      </c>
    </row>
    <row r="65" spans="1:4" ht="12.75">
      <c r="A65" s="261" t="s">
        <v>432</v>
      </c>
      <c r="B65" s="326" t="s">
        <v>447</v>
      </c>
      <c r="C65" s="326" t="s">
        <v>447</v>
      </c>
      <c r="D65" s="327" t="s">
        <v>447</v>
      </c>
    </row>
    <row r="66" spans="1:4" ht="12.75">
      <c r="A66" s="261" t="s">
        <v>432</v>
      </c>
      <c r="B66" s="326" t="s">
        <v>448</v>
      </c>
      <c r="C66" s="326" t="s">
        <v>448</v>
      </c>
      <c r="D66" s="327" t="s">
        <v>448</v>
      </c>
    </row>
    <row r="67" spans="1:4" ht="12.75">
      <c r="A67" s="261" t="s">
        <v>432</v>
      </c>
      <c r="B67" s="326" t="s">
        <v>442</v>
      </c>
      <c r="C67" s="326" t="s">
        <v>442</v>
      </c>
      <c r="D67" s="327" t="s">
        <v>442</v>
      </c>
    </row>
    <row r="68" spans="1:4" ht="12.75">
      <c r="A68" s="261" t="s">
        <v>432</v>
      </c>
      <c r="B68" s="326" t="s">
        <v>449</v>
      </c>
      <c r="C68" s="326" t="s">
        <v>449</v>
      </c>
      <c r="D68" s="327" t="s">
        <v>449</v>
      </c>
    </row>
    <row r="69" spans="1:4" ht="12.75">
      <c r="A69" s="261" t="s">
        <v>432</v>
      </c>
      <c r="B69" s="326" t="s">
        <v>450</v>
      </c>
      <c r="C69" s="326" t="s">
        <v>450</v>
      </c>
      <c r="D69" s="327" t="s">
        <v>450</v>
      </c>
    </row>
    <row r="70" spans="1:4" ht="12.75">
      <c r="A70" s="261" t="s">
        <v>432</v>
      </c>
      <c r="B70" s="326" t="s">
        <v>451</v>
      </c>
      <c r="C70" s="326" t="s">
        <v>451</v>
      </c>
      <c r="D70" s="327" t="s">
        <v>451</v>
      </c>
    </row>
    <row r="71" spans="1:4" ht="12.75">
      <c r="A71" s="261" t="s">
        <v>432</v>
      </c>
      <c r="B71" s="326" t="s">
        <v>452</v>
      </c>
      <c r="C71" s="326" t="s">
        <v>452</v>
      </c>
      <c r="D71" s="327" t="s">
        <v>452</v>
      </c>
    </row>
    <row r="72" spans="1:4" ht="12.75">
      <c r="A72" s="261" t="s">
        <v>432</v>
      </c>
      <c r="B72" s="326" t="s">
        <v>453</v>
      </c>
      <c r="C72" s="326" t="s">
        <v>453</v>
      </c>
      <c r="D72" s="327" t="s">
        <v>453</v>
      </c>
    </row>
    <row r="73" spans="1:4" ht="12.75">
      <c r="A73" s="256"/>
      <c r="B73" s="257"/>
      <c r="C73" s="257"/>
      <c r="D73" s="258"/>
    </row>
    <row r="74" spans="1:4" ht="12.75">
      <c r="A74" s="256"/>
      <c r="B74" s="263" t="s">
        <v>59</v>
      </c>
      <c r="C74" s="257"/>
      <c r="D74" s="258"/>
    </row>
    <row r="75" spans="1:4" ht="12.75">
      <c r="A75" s="256"/>
      <c r="B75" s="262"/>
      <c r="C75" s="257"/>
      <c r="D75" s="258"/>
    </row>
    <row r="76" spans="1:4" ht="12.75">
      <c r="A76" s="261" t="s">
        <v>432</v>
      </c>
      <c r="B76" s="322" t="s">
        <v>454</v>
      </c>
      <c r="C76" s="322" t="s">
        <v>454</v>
      </c>
      <c r="D76" s="323" t="s">
        <v>454</v>
      </c>
    </row>
    <row r="77" spans="1:4" ht="12.75">
      <c r="A77" s="261" t="s">
        <v>432</v>
      </c>
      <c r="B77" s="322" t="s">
        <v>455</v>
      </c>
      <c r="C77" s="322" t="s">
        <v>455</v>
      </c>
      <c r="D77" s="323" t="s">
        <v>455</v>
      </c>
    </row>
    <row r="78" spans="1:4" ht="12.75">
      <c r="A78" s="261" t="s">
        <v>432</v>
      </c>
      <c r="B78" s="322" t="s">
        <v>456</v>
      </c>
      <c r="C78" s="322" t="s">
        <v>456</v>
      </c>
      <c r="D78" s="323" t="s">
        <v>456</v>
      </c>
    </row>
    <row r="79" spans="1:4" ht="12.75">
      <c r="A79" s="261" t="s">
        <v>432</v>
      </c>
      <c r="B79" s="322" t="s">
        <v>457</v>
      </c>
      <c r="C79" s="322" t="s">
        <v>457</v>
      </c>
      <c r="D79" s="323" t="s">
        <v>457</v>
      </c>
    </row>
    <row r="80" spans="1:4" ht="12.75">
      <c r="A80" s="261" t="s">
        <v>432</v>
      </c>
      <c r="B80" s="322" t="s">
        <v>458</v>
      </c>
      <c r="C80" s="322" t="s">
        <v>458</v>
      </c>
      <c r="D80" s="323" t="s">
        <v>458</v>
      </c>
    </row>
    <row r="81" spans="1:4" ht="12.75">
      <c r="A81" s="261" t="s">
        <v>432</v>
      </c>
      <c r="B81" s="322" t="s">
        <v>459</v>
      </c>
      <c r="C81" s="322" t="s">
        <v>459</v>
      </c>
      <c r="D81" s="323" t="s">
        <v>459</v>
      </c>
    </row>
    <row r="82" spans="1:4" ht="13.5" thickBot="1">
      <c r="A82" s="264" t="s">
        <v>432</v>
      </c>
      <c r="B82" s="324" t="s">
        <v>460</v>
      </c>
      <c r="C82" s="324" t="s">
        <v>460</v>
      </c>
      <c r="D82" s="325" t="s">
        <v>460</v>
      </c>
    </row>
  </sheetData>
  <mergeCells count="37">
    <mergeCell ref="A9:A14"/>
    <mergeCell ref="A1:D1"/>
    <mergeCell ref="A2:D2"/>
    <mergeCell ref="A32:A36"/>
    <mergeCell ref="A37:A40"/>
    <mergeCell ref="A24:A28"/>
    <mergeCell ref="A29:A31"/>
    <mergeCell ref="A15:A21"/>
    <mergeCell ref="A22:A23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4:D64"/>
    <mergeCell ref="B65:D65"/>
    <mergeCell ref="B66:D66"/>
    <mergeCell ref="B67:D67"/>
    <mergeCell ref="B68:D68"/>
    <mergeCell ref="B69:D69"/>
    <mergeCell ref="B70:D70"/>
    <mergeCell ref="B71:D71"/>
    <mergeCell ref="B80:D80"/>
    <mergeCell ref="B81:D81"/>
    <mergeCell ref="B82:D82"/>
    <mergeCell ref="B72:D72"/>
    <mergeCell ref="B76:D76"/>
    <mergeCell ref="B77:D77"/>
    <mergeCell ref="B78:D78"/>
    <mergeCell ref="B79:D7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83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I21"/>
  <sheetViews>
    <sheetView showGridLines="0" zoomScaleNormal="100" zoomScaleSheetLayoutView="100" workbookViewId="0">
      <selection activeCell="E20" sqref="E20:G20"/>
    </sheetView>
  </sheetViews>
  <sheetFormatPr defaultColWidth="9.140625" defaultRowHeight="18.75" customHeight="1"/>
  <cols>
    <col min="1" max="1" width="18.140625" style="3" customWidth="1"/>
    <col min="2" max="2" width="24.7109375" style="136" customWidth="1"/>
    <col min="3" max="7" width="23.28515625" style="3" customWidth="1"/>
    <col min="8" max="8" width="20.42578125" style="3" customWidth="1"/>
    <col min="9" max="10" width="15.85546875" style="3" customWidth="1"/>
    <col min="11" max="16384" width="9.140625" style="3"/>
  </cols>
  <sheetData>
    <row r="1" spans="1:9" s="7" customFormat="1" ht="25.5" customHeight="1">
      <c r="A1" s="297" t="s">
        <v>223</v>
      </c>
      <c r="B1" s="297"/>
      <c r="C1" s="297"/>
      <c r="D1" s="297"/>
      <c r="E1" s="297"/>
      <c r="F1" s="297"/>
      <c r="G1" s="297"/>
      <c r="H1" s="297"/>
    </row>
    <row r="2" spans="1:9" s="7" customFormat="1" ht="32.25" customHeight="1">
      <c r="A2" s="334" t="s">
        <v>738</v>
      </c>
      <c r="B2" s="335"/>
      <c r="C2" s="335"/>
      <c r="D2" s="335"/>
      <c r="E2" s="335"/>
      <c r="F2" s="335"/>
      <c r="G2" s="335"/>
      <c r="H2" s="335"/>
    </row>
    <row r="3" spans="1:9" s="4" customFormat="1" ht="15" customHeight="1">
      <c r="B3" s="24"/>
    </row>
    <row r="4" spans="1:9" ht="18.75" customHeight="1">
      <c r="A4" s="136"/>
      <c r="B4" s="3"/>
    </row>
    <row r="5" spans="1:9" ht="26.25" customHeight="1">
      <c r="A5" s="75" t="s">
        <v>233</v>
      </c>
      <c r="B5" s="3"/>
    </row>
    <row r="6" spans="1:9" s="41" customFormat="1" ht="25.5" customHeight="1">
      <c r="A6" s="131" t="s">
        <v>218</v>
      </c>
      <c r="B6" s="132" t="s">
        <v>150</v>
      </c>
      <c r="C6" s="131" t="s">
        <v>169</v>
      </c>
      <c r="D6" s="133" t="s">
        <v>132</v>
      </c>
      <c r="E6" s="133" t="s">
        <v>170</v>
      </c>
      <c r="F6" s="131" t="s">
        <v>131</v>
      </c>
      <c r="G6" s="134" t="s">
        <v>171</v>
      </c>
      <c r="H6" s="42" t="s">
        <v>172</v>
      </c>
    </row>
    <row r="7" spans="1:9" ht="20.25" customHeight="1">
      <c r="A7" s="135">
        <v>1</v>
      </c>
      <c r="B7" s="35" t="str">
        <f>VLOOKUP(Samenvattingschoonmaak[[#This Row],[Code Locatie]],Locaties[],2,0)</f>
        <v>Rembrandt College</v>
      </c>
      <c r="C7" s="37">
        <f>SUMIF('Ruimtestaat'!$A:$A,Totalisatie!$A7,'Ruimtestaat'!$O:$O)</f>
        <v>6492.4200000000046</v>
      </c>
      <c r="D7" s="37">
        <f>SUMIF('Ruimtestaat'!$A:$A,Totalisatie!$A7,'Ruimtestaat'!$AF:$AF)</f>
        <v>1296575.2</v>
      </c>
      <c r="E7" s="38">
        <f>SUMIF('Ruimtestaat'!$A:$A,Totalisatie!$A7,'Ruimtestaat'!$AG:$AG)</f>
        <v>0</v>
      </c>
      <c r="F7" s="39" t="e">
        <f t="shared" ref="F7" si="0">D7/E7</f>
        <v>#DIV/0!</v>
      </c>
      <c r="G7" s="40">
        <f>SUMIF('Ruimtestaat'!$A:$A,Totalisatie!$A7,'Ruimtestaat'!$AH:$AH)</f>
        <v>0</v>
      </c>
      <c r="H7" s="130">
        <f t="shared" ref="H7" si="1">G7/C7</f>
        <v>0</v>
      </c>
    </row>
    <row r="8" spans="1:9" s="41" customFormat="1" ht="20.25" customHeight="1">
      <c r="A8" s="157"/>
      <c r="B8" s="158" t="s">
        <v>33</v>
      </c>
      <c r="C8" s="159">
        <f>SUBTOTAL(109,Samenvattingschoonmaak[Oppervlakte i/o])</f>
        <v>6492.4200000000046</v>
      </c>
      <c r="D8" s="159">
        <f>SUBTOTAL(109,Samenvattingschoonmaak[Prest. (m2 /jaar)])</f>
        <v>1296575.2</v>
      </c>
      <c r="E8" s="160">
        <f>SUBTOTAL(109,Samenvattingschoonmaak[Uren / jaar])</f>
        <v>0</v>
      </c>
      <c r="F8" s="159" t="e">
        <f>Samenvattingschoonmaak[[#Totals],[Prest. (m2 /jaar)]]/Samenvattingschoonmaak[[#Totals],[Uren / jaar]]</f>
        <v>#DIV/0!</v>
      </c>
      <c r="G8" s="161">
        <f>SUBTOTAL(109,Samenvattingschoonmaak[Kosten / jaar])</f>
        <v>0</v>
      </c>
      <c r="H8" s="162">
        <f>Samenvattingschoonmaak[[#Totals],[Kosten / jaar]]/Samenvattingschoonmaak[[#Totals],[Oppervlakte i/o]]</f>
        <v>0</v>
      </c>
    </row>
    <row r="9" spans="1:9" ht="18.75" customHeight="1">
      <c r="A9" s="136"/>
      <c r="B9" s="3"/>
    </row>
    <row r="10" spans="1:9" ht="18.75" customHeight="1">
      <c r="A10" s="75" t="s">
        <v>175</v>
      </c>
      <c r="B10" s="36"/>
      <c r="C10" s="36"/>
      <c r="D10" s="36"/>
      <c r="E10" s="36"/>
      <c r="F10" s="36"/>
      <c r="G10" s="36"/>
      <c r="H10" s="36"/>
    </row>
    <row r="11" spans="1:9" ht="25.5" customHeight="1">
      <c r="A11" s="131" t="s">
        <v>218</v>
      </c>
      <c r="B11" s="132" t="s">
        <v>225</v>
      </c>
      <c r="C11" s="131" t="s">
        <v>177</v>
      </c>
      <c r="D11" s="134" t="s">
        <v>173</v>
      </c>
      <c r="E11" s="134" t="s">
        <v>730</v>
      </c>
      <c r="F11" s="134" t="s">
        <v>174</v>
      </c>
      <c r="G11" s="134" t="s">
        <v>224</v>
      </c>
    </row>
    <row r="12" spans="1:9" ht="18.75" customHeight="1">
      <c r="A12" s="135">
        <v>1</v>
      </c>
      <c r="B12" s="35" t="str">
        <f>VLOOKUP(Totalisatie[[#This Row],[Code Locatie]],Locaties[],2,0)</f>
        <v>Rembrandt College</v>
      </c>
      <c r="C12" s="40">
        <f>SUMIF('Ruimtestaat'!A:A,Totalisatie[[#This Row],[Code Locatie]],'Ruimtestaat'!AH:AH)</f>
        <v>0</v>
      </c>
      <c r="D12" s="40">
        <f>SUMIF(Vloeronderhoud!$A$21:$A$25,Totalisatie[[#This Row],[Code Locatie]],Vloeronderhoud!$H$21:$H$25)</f>
        <v>0</v>
      </c>
      <c r="E12" s="40">
        <f ca="1">SUMIF(OverzichtGlas[[Code Locatie]:[Kosten/jaar excl. BTW]],Totalisatie[[#This Row],[Code Locatie]],OverzichtGlas[Kosten/jaar excl. BTW])</f>
        <v>0</v>
      </c>
      <c r="F12" s="40">
        <f>SUMIF(OverzichtExtra[Code Locatie],Totalisatie[[#This Row],[Code Locatie]],OverzichtExtra[Kosten/jaar excl. BTW])</f>
        <v>0</v>
      </c>
      <c r="G12" s="40">
        <f ca="1">SUM(Totalisatie[[#This Row],[Schoonmaakonderhoud
Kosten / jaar]:[Extra Werkzaamheden
Kosten / jaar]])</f>
        <v>0</v>
      </c>
      <c r="I12" s="182"/>
    </row>
    <row r="13" spans="1:9" ht="18.75" customHeight="1">
      <c r="A13" s="154"/>
      <c r="B13" s="155" t="s">
        <v>33</v>
      </c>
      <c r="C13" s="156">
        <f>SUBTOTAL(109,Totalisatie[Schoonmaakonderhoud
Kosten / jaar])</f>
        <v>0</v>
      </c>
      <c r="D13" s="156">
        <f>SUBTOTAL(109,Totalisatie[Vloeronderhoud
Kosten / jaar])</f>
        <v>0</v>
      </c>
      <c r="E13" s="156">
        <f ca="1">SUBTOTAL(109,Totalisatie[Glasbewassing
Kosten / jaar])</f>
        <v>0</v>
      </c>
      <c r="F13" s="156">
        <f>SUBTOTAL(109,Totalisatie[Extra Werkzaamheden
Kosten / jaar])</f>
        <v>0</v>
      </c>
      <c r="G13" s="156">
        <f ca="1">SUBTOTAL(109,Totalisatie[Totaalprijs
Kosten / jaar])</f>
        <v>0</v>
      </c>
    </row>
    <row r="14" spans="1:9" ht="18.75" customHeight="1">
      <c r="A14" s="136"/>
      <c r="B14" s="3"/>
      <c r="H14" s="36"/>
    </row>
    <row r="15" spans="1:9" ht="37.5" customHeight="1">
      <c r="A15" s="75" t="s">
        <v>226</v>
      </c>
      <c r="B15" s="3"/>
      <c r="H15" s="152"/>
    </row>
    <row r="16" spans="1:9" ht="26.25" customHeight="1">
      <c r="A16" s="345" t="s">
        <v>230</v>
      </c>
      <c r="B16" s="346"/>
      <c r="C16" s="347"/>
      <c r="D16" s="347"/>
      <c r="E16" s="347"/>
      <c r="F16" s="347"/>
      <c r="G16" s="348"/>
    </row>
    <row r="17" spans="1:7" ht="18.75" customHeight="1">
      <c r="A17" s="137" t="s">
        <v>136</v>
      </c>
      <c r="B17" s="336"/>
      <c r="C17" s="338"/>
      <c r="D17" s="137" t="s">
        <v>136</v>
      </c>
      <c r="E17" s="336" t="s">
        <v>236</v>
      </c>
      <c r="F17" s="337"/>
      <c r="G17" s="338"/>
    </row>
    <row r="18" spans="1:7" ht="18.75" customHeight="1">
      <c r="A18" s="138" t="s">
        <v>227</v>
      </c>
      <c r="B18" s="339"/>
      <c r="C18" s="341"/>
      <c r="D18" s="138" t="s">
        <v>227</v>
      </c>
      <c r="E18" s="339" t="s">
        <v>236</v>
      </c>
      <c r="F18" s="340"/>
      <c r="G18" s="341"/>
    </row>
    <row r="19" spans="1:7" ht="18.75" customHeight="1">
      <c r="A19" s="137" t="s">
        <v>228</v>
      </c>
      <c r="B19" s="336"/>
      <c r="C19" s="338"/>
      <c r="D19" s="137" t="s">
        <v>228</v>
      </c>
      <c r="E19" s="336" t="s">
        <v>236</v>
      </c>
      <c r="F19" s="337"/>
      <c r="G19" s="338"/>
    </row>
    <row r="20" spans="1:7" ht="84.75" customHeight="1">
      <c r="A20" s="138" t="s">
        <v>229</v>
      </c>
      <c r="B20" s="339" t="s">
        <v>236</v>
      </c>
      <c r="C20" s="341"/>
      <c r="D20" s="138" t="s">
        <v>229</v>
      </c>
      <c r="E20" s="342" t="s">
        <v>236</v>
      </c>
      <c r="F20" s="343"/>
      <c r="G20" s="344"/>
    </row>
    <row r="21" spans="1:7" ht="18.75" customHeight="1">
      <c r="A21" s="137" t="s">
        <v>232</v>
      </c>
      <c r="B21" s="139"/>
      <c r="C21" s="140"/>
      <c r="D21" s="141"/>
      <c r="E21" s="142"/>
      <c r="F21" s="142"/>
      <c r="G21" s="143"/>
    </row>
  </sheetData>
  <mergeCells count="12">
    <mergeCell ref="E20:G20"/>
    <mergeCell ref="A16:B16"/>
    <mergeCell ref="C16:G16"/>
    <mergeCell ref="B17:C17"/>
    <mergeCell ref="B18:C18"/>
    <mergeCell ref="B19:C19"/>
    <mergeCell ref="B20:C20"/>
    <mergeCell ref="A1:H1"/>
    <mergeCell ref="A2:H2"/>
    <mergeCell ref="E17:G17"/>
    <mergeCell ref="E18:G18"/>
    <mergeCell ref="E19:G1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G8" sqref="G8"/>
    </sheetView>
  </sheetViews>
  <sheetFormatPr defaultColWidth="9" defaultRowHeight="15" customHeight="1"/>
  <cols>
    <col min="1" max="1" width="29.5703125" style="231" customWidth="1"/>
    <col min="2" max="2" width="33.28515625" style="231" customWidth="1"/>
    <col min="3" max="3" width="45.42578125" style="231" bestFit="1" customWidth="1"/>
    <col min="4" max="4" width="54" style="231" customWidth="1"/>
    <col min="5" max="16384" width="9" style="225"/>
  </cols>
  <sheetData>
    <row r="1" spans="1:4" ht="12.75">
      <c r="A1" s="195" t="s">
        <v>270</v>
      </c>
      <c r="B1" s="195"/>
      <c r="C1" s="195"/>
      <c r="D1" s="195"/>
    </row>
    <row r="2" spans="1:4" ht="12.75">
      <c r="A2" s="195" t="s">
        <v>271</v>
      </c>
      <c r="B2" s="195" t="s">
        <v>272</v>
      </c>
      <c r="C2" s="195" t="s">
        <v>273</v>
      </c>
      <c r="D2" s="195" t="s">
        <v>274</v>
      </c>
    </row>
    <row r="3" spans="1:4" ht="12.75">
      <c r="A3" s="195"/>
      <c r="B3" s="195"/>
      <c r="C3" s="195"/>
      <c r="D3" s="195" t="s">
        <v>275</v>
      </c>
    </row>
    <row r="4" spans="1:4" ht="12.75">
      <c r="A4" s="195" t="s">
        <v>276</v>
      </c>
      <c r="B4" s="195"/>
      <c r="C4" s="195"/>
      <c r="D4" s="195"/>
    </row>
    <row r="5" spans="1:4" ht="25.5">
      <c r="A5" s="226" t="s">
        <v>277</v>
      </c>
      <c r="B5" s="226"/>
      <c r="C5" s="227" t="s">
        <v>278</v>
      </c>
      <c r="D5" s="227"/>
    </row>
    <row r="6" spans="1:4" ht="25.5">
      <c r="A6" s="226" t="s">
        <v>407</v>
      </c>
      <c r="B6" s="226" t="s">
        <v>289</v>
      </c>
      <c r="C6" s="227" t="s">
        <v>281</v>
      </c>
      <c r="D6" s="227" t="s">
        <v>408</v>
      </c>
    </row>
    <row r="7" spans="1:4" ht="25.5">
      <c r="A7" s="226" t="s">
        <v>279</v>
      </c>
      <c r="B7" s="226" t="s">
        <v>280</v>
      </c>
      <c r="C7" s="227" t="s">
        <v>281</v>
      </c>
      <c r="D7" s="227" t="s">
        <v>282</v>
      </c>
    </row>
    <row r="8" spans="1:4" ht="12.75">
      <c r="A8" s="226" t="s">
        <v>283</v>
      </c>
      <c r="B8" s="226" t="s">
        <v>280</v>
      </c>
      <c r="C8" s="227" t="s">
        <v>281</v>
      </c>
      <c r="D8" s="227" t="s">
        <v>284</v>
      </c>
    </row>
    <row r="9" spans="1:4" ht="25.5">
      <c r="A9" s="226" t="s">
        <v>285</v>
      </c>
      <c r="B9" s="226" t="s">
        <v>286</v>
      </c>
      <c r="C9" s="227" t="s">
        <v>287</v>
      </c>
      <c r="D9" s="227" t="s">
        <v>288</v>
      </c>
    </row>
    <row r="10" spans="1:4" ht="25.5">
      <c r="A10" s="226" t="s">
        <v>285</v>
      </c>
      <c r="B10" s="226" t="s">
        <v>289</v>
      </c>
      <c r="C10" s="227" t="s">
        <v>290</v>
      </c>
      <c r="D10" s="227" t="s">
        <v>288</v>
      </c>
    </row>
    <row r="11" spans="1:4" ht="12.75">
      <c r="A11" s="226" t="s">
        <v>291</v>
      </c>
      <c r="B11" s="226" t="s">
        <v>289</v>
      </c>
      <c r="C11" s="227" t="s">
        <v>292</v>
      </c>
      <c r="D11" s="227"/>
    </row>
    <row r="12" spans="1:4" ht="30" customHeight="1">
      <c r="A12" s="226" t="s">
        <v>293</v>
      </c>
      <c r="B12" s="226" t="s">
        <v>280</v>
      </c>
      <c r="C12" s="227" t="s">
        <v>281</v>
      </c>
      <c r="D12" s="227" t="s">
        <v>294</v>
      </c>
    </row>
    <row r="13" spans="1:4" ht="12.75">
      <c r="A13" s="226" t="s">
        <v>295</v>
      </c>
      <c r="B13" s="226" t="s">
        <v>280</v>
      </c>
      <c r="C13" s="227" t="s">
        <v>281</v>
      </c>
      <c r="D13" s="226" t="s">
        <v>296</v>
      </c>
    </row>
    <row r="14" spans="1:4" ht="25.5">
      <c r="A14" s="228" t="s">
        <v>297</v>
      </c>
      <c r="B14" s="228" t="s">
        <v>280</v>
      </c>
      <c r="C14" s="229" t="s">
        <v>281</v>
      </c>
      <c r="D14" s="229" t="s">
        <v>298</v>
      </c>
    </row>
    <row r="15" spans="1:4" ht="25.5">
      <c r="A15" s="226" t="s">
        <v>299</v>
      </c>
      <c r="B15" s="226" t="s">
        <v>280</v>
      </c>
      <c r="C15" s="227" t="s">
        <v>281</v>
      </c>
      <c r="D15" s="227" t="s">
        <v>300</v>
      </c>
    </row>
    <row r="16" spans="1:4" ht="25.5">
      <c r="A16" s="226" t="s">
        <v>301</v>
      </c>
      <c r="B16" s="226" t="s">
        <v>289</v>
      </c>
      <c r="C16" s="227" t="s">
        <v>281</v>
      </c>
      <c r="D16" s="227" t="s">
        <v>302</v>
      </c>
    </row>
    <row r="17" spans="1:4" ht="25.5">
      <c r="A17" s="226" t="s">
        <v>303</v>
      </c>
      <c r="B17" s="226" t="s">
        <v>280</v>
      </c>
      <c r="C17" s="227" t="s">
        <v>281</v>
      </c>
      <c r="D17" s="230" t="s">
        <v>304</v>
      </c>
    </row>
    <row r="18" spans="1:4" ht="25.5">
      <c r="A18" s="226" t="s">
        <v>305</v>
      </c>
      <c r="B18" s="226" t="s">
        <v>280</v>
      </c>
      <c r="C18" s="227" t="s">
        <v>281</v>
      </c>
      <c r="D18" s="230" t="s">
        <v>306</v>
      </c>
    </row>
    <row r="19" spans="1:4" ht="25.5">
      <c r="A19" s="226" t="s">
        <v>307</v>
      </c>
      <c r="B19" s="226" t="s">
        <v>289</v>
      </c>
      <c r="C19" s="227" t="s">
        <v>281</v>
      </c>
      <c r="D19" s="230" t="s">
        <v>300</v>
      </c>
    </row>
    <row r="20" spans="1:4" ht="25.5">
      <c r="A20" s="226" t="s">
        <v>308</v>
      </c>
      <c r="B20" s="226" t="s">
        <v>280</v>
      </c>
      <c r="C20" s="227" t="s">
        <v>281</v>
      </c>
      <c r="D20" s="230" t="s">
        <v>306</v>
      </c>
    </row>
    <row r="21" spans="1:4" ht="12.75">
      <c r="A21" s="226" t="s">
        <v>309</v>
      </c>
      <c r="B21" s="226" t="s">
        <v>310</v>
      </c>
      <c r="C21" s="227" t="s">
        <v>311</v>
      </c>
      <c r="D21" s="230"/>
    </row>
    <row r="22" spans="1:4" ht="25.5">
      <c r="A22" s="226" t="s">
        <v>309</v>
      </c>
      <c r="B22" s="226" t="s">
        <v>289</v>
      </c>
      <c r="C22" s="227" t="s">
        <v>281</v>
      </c>
      <c r="D22" s="230" t="s">
        <v>304</v>
      </c>
    </row>
    <row r="23" spans="1:4" ht="25.5">
      <c r="A23" s="226" t="s">
        <v>312</v>
      </c>
      <c r="B23" s="226" t="s">
        <v>280</v>
      </c>
      <c r="C23" s="227" t="s">
        <v>281</v>
      </c>
      <c r="D23" s="230" t="s">
        <v>313</v>
      </c>
    </row>
    <row r="24" spans="1:4" ht="25.5">
      <c r="A24" s="226" t="s">
        <v>314</v>
      </c>
      <c r="B24" s="226" t="s">
        <v>280</v>
      </c>
      <c r="C24" s="227" t="s">
        <v>281</v>
      </c>
      <c r="D24" s="230" t="s">
        <v>315</v>
      </c>
    </row>
    <row r="25" spans="1:4" ht="38.25">
      <c r="A25" s="226" t="s">
        <v>316</v>
      </c>
      <c r="B25" s="226" t="s">
        <v>280</v>
      </c>
      <c r="C25" s="227" t="s">
        <v>281</v>
      </c>
      <c r="D25" s="230" t="s">
        <v>317</v>
      </c>
    </row>
    <row r="26" spans="1:4" ht="25.5">
      <c r="A26" s="226" t="s">
        <v>318</v>
      </c>
      <c r="B26" s="226" t="s">
        <v>280</v>
      </c>
      <c r="C26" s="227" t="s">
        <v>281</v>
      </c>
      <c r="D26" s="230" t="s">
        <v>313</v>
      </c>
    </row>
    <row r="27" spans="1:4" ht="25.5">
      <c r="A27" s="226" t="s">
        <v>319</v>
      </c>
      <c r="B27" s="226" t="s">
        <v>289</v>
      </c>
      <c r="C27" s="227" t="s">
        <v>281</v>
      </c>
      <c r="D27" s="230" t="s">
        <v>320</v>
      </c>
    </row>
    <row r="28" spans="1:4" ht="25.5">
      <c r="A28" s="226" t="s">
        <v>321</v>
      </c>
      <c r="B28" s="226" t="s">
        <v>289</v>
      </c>
      <c r="C28" s="227" t="s">
        <v>281</v>
      </c>
      <c r="D28" s="230" t="s">
        <v>304</v>
      </c>
    </row>
    <row r="29" spans="1:4" ht="25.5">
      <c r="A29" s="226" t="s">
        <v>322</v>
      </c>
      <c r="B29" s="226" t="s">
        <v>280</v>
      </c>
      <c r="C29" s="227" t="s">
        <v>281</v>
      </c>
      <c r="D29" s="230" t="s">
        <v>304</v>
      </c>
    </row>
    <row r="30" spans="1:4" ht="25.5">
      <c r="A30" s="226" t="s">
        <v>323</v>
      </c>
      <c r="B30" s="226" t="s">
        <v>289</v>
      </c>
      <c r="C30" s="227" t="s">
        <v>281</v>
      </c>
      <c r="D30" s="230" t="s">
        <v>304</v>
      </c>
    </row>
    <row r="31" spans="1:4" ht="12.75">
      <c r="A31" s="195" t="s">
        <v>271</v>
      </c>
      <c r="B31" s="195" t="s">
        <v>272</v>
      </c>
      <c r="C31" s="195" t="s">
        <v>273</v>
      </c>
      <c r="D31" s="195" t="s">
        <v>274</v>
      </c>
    </row>
    <row r="32" spans="1:4" ht="12.75">
      <c r="A32" s="195"/>
      <c r="B32" s="195"/>
      <c r="C32" s="195"/>
      <c r="D32" s="195" t="s">
        <v>275</v>
      </c>
    </row>
    <row r="33" spans="1:4" ht="12.75">
      <c r="A33" s="195" t="s">
        <v>324</v>
      </c>
      <c r="B33" s="195"/>
      <c r="C33" s="195"/>
      <c r="D33" s="195"/>
    </row>
    <row r="34" spans="1:4" ht="25.5">
      <c r="A34" s="226" t="s">
        <v>277</v>
      </c>
      <c r="B34" s="226"/>
      <c r="C34" s="227" t="s">
        <v>325</v>
      </c>
      <c r="D34" s="230"/>
    </row>
    <row r="35" spans="1:4" ht="25.5">
      <c r="A35" s="226" t="s">
        <v>326</v>
      </c>
      <c r="B35" s="226" t="s">
        <v>289</v>
      </c>
      <c r="C35" s="227" t="s">
        <v>281</v>
      </c>
      <c r="D35" s="230" t="s">
        <v>327</v>
      </c>
    </row>
    <row r="36" spans="1:4" ht="25.5">
      <c r="A36" s="226" t="s">
        <v>328</v>
      </c>
      <c r="B36" s="226" t="s">
        <v>289</v>
      </c>
      <c r="C36" s="227" t="s">
        <v>281</v>
      </c>
      <c r="D36" s="230" t="s">
        <v>329</v>
      </c>
    </row>
    <row r="37" spans="1:4" ht="38.25">
      <c r="A37" s="226" t="s">
        <v>330</v>
      </c>
      <c r="B37" s="226" t="s">
        <v>280</v>
      </c>
      <c r="C37" s="227" t="s">
        <v>281</v>
      </c>
      <c r="D37" s="230" t="s">
        <v>331</v>
      </c>
    </row>
    <row r="38" spans="1:4" ht="25.5">
      <c r="A38" s="226" t="s">
        <v>301</v>
      </c>
      <c r="B38" s="226" t="s">
        <v>289</v>
      </c>
      <c r="C38" s="227" t="s">
        <v>281</v>
      </c>
      <c r="D38" s="227" t="s">
        <v>302</v>
      </c>
    </row>
    <row r="39" spans="1:4" ht="25.5">
      <c r="A39" s="226" t="s">
        <v>260</v>
      </c>
      <c r="B39" s="226" t="s">
        <v>289</v>
      </c>
      <c r="C39" s="227" t="s">
        <v>281</v>
      </c>
      <c r="D39" s="227" t="s">
        <v>327</v>
      </c>
    </row>
    <row r="40" spans="1:4" ht="25.5">
      <c r="A40" s="226" t="s">
        <v>332</v>
      </c>
      <c r="B40" s="226" t="s">
        <v>289</v>
      </c>
      <c r="C40" s="227" t="s">
        <v>281</v>
      </c>
      <c r="D40" s="227" t="s">
        <v>333</v>
      </c>
    </row>
    <row r="41" spans="1:4" ht="25.5">
      <c r="A41" s="226" t="s">
        <v>334</v>
      </c>
      <c r="B41" s="226" t="s">
        <v>289</v>
      </c>
      <c r="C41" s="227" t="s">
        <v>281</v>
      </c>
      <c r="D41" s="227" t="s">
        <v>335</v>
      </c>
    </row>
    <row r="42" spans="1:4" ht="12.75">
      <c r="A42" s="226" t="s">
        <v>336</v>
      </c>
      <c r="B42" s="226" t="s">
        <v>280</v>
      </c>
      <c r="C42" s="227" t="s">
        <v>281</v>
      </c>
      <c r="D42" s="230" t="s">
        <v>296</v>
      </c>
    </row>
    <row r="43" spans="1:4" ht="25.5">
      <c r="A43" s="226" t="s">
        <v>337</v>
      </c>
      <c r="B43" s="226" t="s">
        <v>280</v>
      </c>
      <c r="C43" s="227" t="s">
        <v>281</v>
      </c>
      <c r="D43" s="230" t="s">
        <v>304</v>
      </c>
    </row>
    <row r="44" spans="1:4" ht="25.5">
      <c r="A44" s="226" t="s">
        <v>338</v>
      </c>
      <c r="B44" s="226" t="s">
        <v>289</v>
      </c>
      <c r="C44" s="227" t="s">
        <v>281</v>
      </c>
      <c r="D44" s="230" t="s">
        <v>339</v>
      </c>
    </row>
    <row r="45" spans="1:4" ht="25.5">
      <c r="A45" s="226" t="s">
        <v>340</v>
      </c>
      <c r="B45" s="226" t="s">
        <v>289</v>
      </c>
      <c r="C45" s="227" t="s">
        <v>281</v>
      </c>
      <c r="D45" s="230" t="s">
        <v>341</v>
      </c>
    </row>
    <row r="46" spans="1:4" ht="25.5">
      <c r="A46" s="226" t="s">
        <v>342</v>
      </c>
      <c r="B46" s="226" t="s">
        <v>289</v>
      </c>
      <c r="C46" s="227" t="s">
        <v>281</v>
      </c>
      <c r="D46" s="227" t="s">
        <v>343</v>
      </c>
    </row>
    <row r="47" spans="1:4" ht="25.5">
      <c r="A47" s="226" t="s">
        <v>344</v>
      </c>
      <c r="B47" s="226" t="s">
        <v>289</v>
      </c>
      <c r="C47" s="227" t="s">
        <v>281</v>
      </c>
      <c r="D47" s="230" t="s">
        <v>304</v>
      </c>
    </row>
    <row r="48" spans="1:4" ht="12.75">
      <c r="A48" s="226" t="s">
        <v>345</v>
      </c>
      <c r="B48" s="226" t="s">
        <v>280</v>
      </c>
      <c r="C48" s="227" t="s">
        <v>281</v>
      </c>
      <c r="D48" s="230" t="s">
        <v>296</v>
      </c>
    </row>
    <row r="49" spans="1:4" ht="25.5">
      <c r="A49" s="226" t="s">
        <v>346</v>
      </c>
      <c r="B49" s="226" t="s">
        <v>280</v>
      </c>
      <c r="C49" s="227" t="s">
        <v>281</v>
      </c>
      <c r="D49" s="230" t="s">
        <v>302</v>
      </c>
    </row>
    <row r="50" spans="1:4" ht="25.5">
      <c r="A50" s="226" t="s">
        <v>347</v>
      </c>
      <c r="B50" s="226" t="s">
        <v>289</v>
      </c>
      <c r="C50" s="227" t="s">
        <v>348</v>
      </c>
      <c r="D50" s="230" t="s">
        <v>349</v>
      </c>
    </row>
    <row r="51" spans="1:4" ht="38.25">
      <c r="A51" s="226" t="s">
        <v>350</v>
      </c>
      <c r="B51" s="226" t="s">
        <v>289</v>
      </c>
      <c r="C51" s="227" t="s">
        <v>281</v>
      </c>
      <c r="D51" s="230" t="s">
        <v>351</v>
      </c>
    </row>
    <row r="52" spans="1:4" ht="12.75">
      <c r="A52" s="195" t="s">
        <v>271</v>
      </c>
      <c r="B52" s="195" t="s">
        <v>272</v>
      </c>
      <c r="C52" s="195" t="s">
        <v>273</v>
      </c>
      <c r="D52" s="195" t="s">
        <v>274</v>
      </c>
    </row>
    <row r="53" spans="1:4" ht="12.75">
      <c r="A53" s="195"/>
      <c r="B53" s="195"/>
      <c r="C53" s="195"/>
      <c r="D53" s="195" t="s">
        <v>275</v>
      </c>
    </row>
    <row r="54" spans="1:4" ht="12.75">
      <c r="A54" s="195" t="s">
        <v>352</v>
      </c>
      <c r="B54" s="195"/>
      <c r="C54" s="195"/>
      <c r="D54" s="195"/>
    </row>
    <row r="55" spans="1:4" ht="38.25">
      <c r="A55" s="226" t="s">
        <v>277</v>
      </c>
      <c r="B55" s="226"/>
      <c r="C55" s="227" t="s">
        <v>353</v>
      </c>
      <c r="D55" s="227"/>
    </row>
    <row r="56" spans="1:4" ht="25.5">
      <c r="A56" s="226" t="s">
        <v>354</v>
      </c>
      <c r="B56" s="226" t="s">
        <v>289</v>
      </c>
      <c r="C56" s="227" t="s">
        <v>355</v>
      </c>
      <c r="D56" s="230" t="s">
        <v>356</v>
      </c>
    </row>
    <row r="57" spans="1:4" ht="25.5">
      <c r="A57" s="226" t="s">
        <v>357</v>
      </c>
      <c r="B57" s="226" t="s">
        <v>289</v>
      </c>
      <c r="C57" s="227" t="s">
        <v>281</v>
      </c>
      <c r="D57" s="230" t="s">
        <v>358</v>
      </c>
    </row>
    <row r="58" spans="1:4" ht="12.75">
      <c r="A58" s="226" t="s">
        <v>359</v>
      </c>
      <c r="B58" s="226" t="s">
        <v>289</v>
      </c>
      <c r="C58" s="227" t="s">
        <v>281</v>
      </c>
      <c r="D58" s="230" t="s">
        <v>360</v>
      </c>
    </row>
    <row r="59" spans="1:4" ht="12.75">
      <c r="A59" s="226" t="s">
        <v>359</v>
      </c>
      <c r="B59" s="226" t="s">
        <v>289</v>
      </c>
      <c r="C59" s="227" t="s">
        <v>361</v>
      </c>
      <c r="D59" s="230"/>
    </row>
    <row r="60" spans="1:4" ht="12.75">
      <c r="A60" s="226" t="s">
        <v>362</v>
      </c>
      <c r="B60" s="226" t="s">
        <v>289</v>
      </c>
      <c r="C60" s="227" t="s">
        <v>281</v>
      </c>
      <c r="D60" s="230" t="s">
        <v>360</v>
      </c>
    </row>
    <row r="61" spans="1:4" ht="25.5">
      <c r="A61" s="226" t="s">
        <v>363</v>
      </c>
      <c r="B61" s="226" t="s">
        <v>289</v>
      </c>
      <c r="C61" s="227" t="s">
        <v>281</v>
      </c>
      <c r="D61" s="230" t="s">
        <v>304</v>
      </c>
    </row>
    <row r="62" spans="1:4" ht="12.75">
      <c r="A62" s="226" t="s">
        <v>364</v>
      </c>
      <c r="B62" s="226" t="s">
        <v>289</v>
      </c>
      <c r="C62" s="227" t="s">
        <v>281</v>
      </c>
      <c r="D62" s="230" t="s">
        <v>360</v>
      </c>
    </row>
    <row r="63" spans="1:4" ht="12.75">
      <c r="A63" s="226" t="s">
        <v>364</v>
      </c>
      <c r="B63" s="226" t="s">
        <v>289</v>
      </c>
      <c r="C63" s="227" t="s">
        <v>361</v>
      </c>
      <c r="D63" s="230"/>
    </row>
    <row r="64" spans="1:4" ht="25.5">
      <c r="A64" s="226" t="s">
        <v>365</v>
      </c>
      <c r="B64" s="226" t="s">
        <v>289</v>
      </c>
      <c r="C64" s="227" t="s">
        <v>281</v>
      </c>
      <c r="D64" s="230" t="s">
        <v>366</v>
      </c>
    </row>
    <row r="65" spans="1:4" ht="12.75">
      <c r="A65" s="226" t="s">
        <v>365</v>
      </c>
      <c r="B65" s="226" t="s">
        <v>289</v>
      </c>
      <c r="C65" s="227" t="s">
        <v>361</v>
      </c>
      <c r="D65" s="230"/>
    </row>
    <row r="66" spans="1:4" ht="25.5">
      <c r="A66" s="226" t="s">
        <v>367</v>
      </c>
      <c r="B66" s="226" t="s">
        <v>289</v>
      </c>
      <c r="C66" s="227" t="s">
        <v>281</v>
      </c>
      <c r="D66" s="230" t="s">
        <v>368</v>
      </c>
    </row>
    <row r="67" spans="1:4" ht="25.5">
      <c r="A67" s="226" t="s">
        <v>367</v>
      </c>
      <c r="B67" s="226" t="s">
        <v>289</v>
      </c>
      <c r="C67" s="227" t="s">
        <v>361</v>
      </c>
      <c r="D67" s="230"/>
    </row>
    <row r="68" spans="1:4" ht="25.5">
      <c r="A68" s="226" t="s">
        <v>369</v>
      </c>
      <c r="B68" s="226" t="s">
        <v>289</v>
      </c>
      <c r="C68" s="227" t="s">
        <v>281</v>
      </c>
      <c r="D68" s="230" t="s">
        <v>370</v>
      </c>
    </row>
    <row r="69" spans="1:4" ht="25.5">
      <c r="A69" s="226" t="s">
        <v>371</v>
      </c>
      <c r="B69" s="226" t="s">
        <v>289</v>
      </c>
      <c r="C69" s="227" t="s">
        <v>281</v>
      </c>
      <c r="D69" s="230" t="s">
        <v>315</v>
      </c>
    </row>
    <row r="70" spans="1:4" ht="12.75">
      <c r="A70" s="226" t="s">
        <v>371</v>
      </c>
      <c r="B70" s="226" t="s">
        <v>289</v>
      </c>
      <c r="C70" s="227" t="s">
        <v>361</v>
      </c>
      <c r="D70" s="230"/>
    </row>
    <row r="71" spans="1:4" ht="25.5">
      <c r="A71" s="226" t="s">
        <v>59</v>
      </c>
      <c r="B71" s="226" t="s">
        <v>289</v>
      </c>
      <c r="C71" s="227" t="s">
        <v>372</v>
      </c>
      <c r="D71" s="230" t="s">
        <v>329</v>
      </c>
    </row>
    <row r="72" spans="1:4" ht="12.75">
      <c r="A72" s="226" t="s">
        <v>59</v>
      </c>
      <c r="B72" s="226" t="s">
        <v>289</v>
      </c>
      <c r="C72" s="227" t="s">
        <v>361</v>
      </c>
      <c r="D72" s="230"/>
    </row>
    <row r="73" spans="1:4" ht="12.75">
      <c r="A73" s="195" t="s">
        <v>271</v>
      </c>
      <c r="B73" s="195" t="s">
        <v>272</v>
      </c>
      <c r="C73" s="195" t="s">
        <v>273</v>
      </c>
      <c r="D73" s="195" t="s">
        <v>274</v>
      </c>
    </row>
    <row r="74" spans="1:4" ht="12.75">
      <c r="A74" s="195"/>
      <c r="B74" s="195"/>
      <c r="C74" s="195"/>
      <c r="D74" s="195" t="s">
        <v>275</v>
      </c>
    </row>
    <row r="75" spans="1:4" ht="12.75">
      <c r="A75" s="195" t="s">
        <v>373</v>
      </c>
      <c r="B75" s="195"/>
      <c r="C75" s="195"/>
      <c r="D75" s="195"/>
    </row>
    <row r="76" spans="1:4" ht="25.5">
      <c r="A76" s="226" t="s">
        <v>277</v>
      </c>
      <c r="B76" s="226"/>
      <c r="C76" s="227" t="s">
        <v>374</v>
      </c>
      <c r="D76" s="227"/>
    </row>
    <row r="77" spans="1:4" ht="12.75">
      <c r="A77" s="195" t="s">
        <v>375</v>
      </c>
      <c r="B77" s="195"/>
      <c r="C77" s="195"/>
      <c r="D77" s="195"/>
    </row>
    <row r="78" spans="1:4" ht="25.5">
      <c r="A78" s="226" t="s">
        <v>376</v>
      </c>
      <c r="B78" s="226" t="s">
        <v>289</v>
      </c>
      <c r="C78" s="227" t="s">
        <v>377</v>
      </c>
      <c r="D78" s="230" t="s">
        <v>349</v>
      </c>
    </row>
    <row r="79" spans="1:4" ht="25.5">
      <c r="A79" s="226" t="s">
        <v>378</v>
      </c>
      <c r="B79" s="226" t="s">
        <v>289</v>
      </c>
      <c r="C79" s="227" t="s">
        <v>377</v>
      </c>
      <c r="D79" s="230" t="s">
        <v>349</v>
      </c>
    </row>
    <row r="80" spans="1:4" ht="25.5">
      <c r="A80" s="226" t="s">
        <v>379</v>
      </c>
      <c r="B80" s="226" t="s">
        <v>289</v>
      </c>
      <c r="C80" s="227" t="s">
        <v>377</v>
      </c>
      <c r="D80" s="230" t="s">
        <v>380</v>
      </c>
    </row>
    <row r="81" spans="1:4" ht="25.5">
      <c r="A81" s="226" t="s">
        <v>381</v>
      </c>
      <c r="B81" s="226" t="s">
        <v>289</v>
      </c>
      <c r="C81" s="227" t="s">
        <v>377</v>
      </c>
      <c r="D81" s="230" t="s">
        <v>382</v>
      </c>
    </row>
    <row r="82" spans="1:4" ht="25.5">
      <c r="A82" s="226" t="s">
        <v>383</v>
      </c>
      <c r="B82" s="226" t="s">
        <v>289</v>
      </c>
      <c r="C82" s="227" t="s">
        <v>377</v>
      </c>
      <c r="D82" s="230" t="s">
        <v>382</v>
      </c>
    </row>
    <row r="83" spans="1:4" ht="12.75">
      <c r="A83" s="195" t="s">
        <v>384</v>
      </c>
      <c r="B83" s="195"/>
      <c r="C83" s="195"/>
      <c r="D83" s="195"/>
    </row>
    <row r="84" spans="1:4" ht="25.5">
      <c r="A84" s="226" t="s">
        <v>376</v>
      </c>
      <c r="B84" s="226" t="s">
        <v>289</v>
      </c>
      <c r="C84" s="227" t="s">
        <v>377</v>
      </c>
      <c r="D84" s="230" t="s">
        <v>349</v>
      </c>
    </row>
    <row r="85" spans="1:4" ht="25.5">
      <c r="A85" s="226" t="s">
        <v>378</v>
      </c>
      <c r="B85" s="226" t="s">
        <v>289</v>
      </c>
      <c r="C85" s="227" t="s">
        <v>377</v>
      </c>
      <c r="D85" s="230" t="s">
        <v>349</v>
      </c>
    </row>
    <row r="86" spans="1:4" ht="25.5">
      <c r="A86" s="226" t="s">
        <v>379</v>
      </c>
      <c r="B86" s="226" t="s">
        <v>289</v>
      </c>
      <c r="C86" s="227" t="s">
        <v>377</v>
      </c>
      <c r="D86" s="230" t="s">
        <v>380</v>
      </c>
    </row>
    <row r="87" spans="1:4" ht="25.5">
      <c r="A87" s="226" t="s">
        <v>381</v>
      </c>
      <c r="B87" s="226" t="s">
        <v>289</v>
      </c>
      <c r="C87" s="227" t="s">
        <v>377</v>
      </c>
      <c r="D87" s="230" t="s">
        <v>382</v>
      </c>
    </row>
    <row r="88" spans="1:4" ht="25.5">
      <c r="A88" s="226" t="s">
        <v>383</v>
      </c>
      <c r="B88" s="226" t="s">
        <v>289</v>
      </c>
      <c r="C88" s="227" t="s">
        <v>377</v>
      </c>
      <c r="D88" s="230" t="s">
        <v>382</v>
      </c>
    </row>
    <row r="89" spans="1:4" ht="12.75">
      <c r="A89" s="195" t="s">
        <v>39</v>
      </c>
      <c r="B89" s="195"/>
      <c r="C89" s="195"/>
      <c r="D89" s="195"/>
    </row>
    <row r="90" spans="1:4" ht="25.5">
      <c r="A90" s="226" t="s">
        <v>376</v>
      </c>
      <c r="B90" s="226" t="s">
        <v>289</v>
      </c>
      <c r="C90" s="227" t="s">
        <v>385</v>
      </c>
      <c r="D90" s="230" t="s">
        <v>349</v>
      </c>
    </row>
    <row r="91" spans="1:4" ht="25.5">
      <c r="A91" s="226" t="s">
        <v>378</v>
      </c>
      <c r="B91" s="226" t="s">
        <v>289</v>
      </c>
      <c r="C91" s="227" t="s">
        <v>385</v>
      </c>
      <c r="D91" s="230" t="s">
        <v>349</v>
      </c>
    </row>
    <row r="92" spans="1:4" ht="25.5">
      <c r="A92" s="226" t="s">
        <v>379</v>
      </c>
      <c r="B92" s="226" t="s">
        <v>289</v>
      </c>
      <c r="C92" s="227" t="s">
        <v>385</v>
      </c>
      <c r="D92" s="230" t="s">
        <v>380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/>
  </sheetViews>
  <sheetFormatPr defaultColWidth="9" defaultRowHeight="12.75"/>
  <cols>
    <col min="1" max="1" width="52" style="231" customWidth="1"/>
    <col min="2" max="2" width="16.42578125" style="231" bestFit="1" customWidth="1"/>
    <col min="3" max="3" width="37.42578125" style="231" bestFit="1" customWidth="1"/>
    <col min="4" max="16384" width="9" style="225"/>
  </cols>
  <sheetData>
    <row r="1" spans="1:3" ht="22.5">
      <c r="A1" s="195" t="s">
        <v>386</v>
      </c>
      <c r="B1" s="195"/>
      <c r="C1" s="195"/>
    </row>
    <row r="2" spans="1:3">
      <c r="A2" s="195" t="s">
        <v>271</v>
      </c>
      <c r="B2" s="195" t="s">
        <v>272</v>
      </c>
      <c r="C2" s="195" t="s">
        <v>387</v>
      </c>
    </row>
    <row r="3" spans="1:3">
      <c r="A3" s="195" t="s">
        <v>276</v>
      </c>
      <c r="B3" s="195"/>
      <c r="C3" s="195"/>
    </row>
    <row r="4" spans="1:3">
      <c r="A4" s="226" t="s">
        <v>279</v>
      </c>
      <c r="B4" s="226" t="s">
        <v>280</v>
      </c>
      <c r="C4" s="227" t="s">
        <v>388</v>
      </c>
    </row>
    <row r="5" spans="1:3">
      <c r="A5" s="226" t="s">
        <v>285</v>
      </c>
      <c r="B5" s="226" t="s">
        <v>280</v>
      </c>
      <c r="C5" s="227" t="s">
        <v>388</v>
      </c>
    </row>
    <row r="6" spans="1:3">
      <c r="A6" s="226" t="s">
        <v>293</v>
      </c>
      <c r="B6" s="226" t="s">
        <v>280</v>
      </c>
      <c r="C6" s="227" t="s">
        <v>388</v>
      </c>
    </row>
    <row r="7" spans="1:3">
      <c r="A7" s="226" t="s">
        <v>295</v>
      </c>
      <c r="B7" s="226" t="s">
        <v>280</v>
      </c>
      <c r="C7" s="227" t="s">
        <v>388</v>
      </c>
    </row>
    <row r="8" spans="1:3">
      <c r="A8" s="228" t="s">
        <v>297</v>
      </c>
      <c r="B8" s="228" t="s">
        <v>280</v>
      </c>
      <c r="C8" s="229" t="s">
        <v>388</v>
      </c>
    </row>
    <row r="9" spans="1:3">
      <c r="A9" s="226" t="s">
        <v>299</v>
      </c>
      <c r="B9" s="226" t="s">
        <v>280</v>
      </c>
      <c r="C9" s="227" t="s">
        <v>388</v>
      </c>
    </row>
    <row r="10" spans="1:3">
      <c r="A10" s="226" t="s">
        <v>301</v>
      </c>
      <c r="B10" s="226" t="s">
        <v>289</v>
      </c>
      <c r="C10" s="227" t="s">
        <v>388</v>
      </c>
    </row>
    <row r="11" spans="1:3">
      <c r="A11" s="226" t="s">
        <v>303</v>
      </c>
      <c r="B11" s="226" t="s">
        <v>280</v>
      </c>
      <c r="C11" s="227" t="s">
        <v>388</v>
      </c>
    </row>
    <row r="12" spans="1:3">
      <c r="A12" s="226" t="s">
        <v>305</v>
      </c>
      <c r="B12" s="226" t="s">
        <v>280</v>
      </c>
      <c r="C12" s="227" t="s">
        <v>388</v>
      </c>
    </row>
    <row r="13" spans="1:3">
      <c r="A13" s="226" t="s">
        <v>307</v>
      </c>
      <c r="B13" s="226" t="s">
        <v>289</v>
      </c>
      <c r="C13" s="227" t="s">
        <v>388</v>
      </c>
    </row>
    <row r="14" spans="1:3">
      <c r="A14" s="226" t="s">
        <v>308</v>
      </c>
      <c r="B14" s="226" t="s">
        <v>280</v>
      </c>
      <c r="C14" s="227" t="s">
        <v>388</v>
      </c>
    </row>
    <row r="15" spans="1:3">
      <c r="A15" s="226" t="s">
        <v>309</v>
      </c>
      <c r="B15" s="226" t="s">
        <v>280</v>
      </c>
      <c r="C15" s="227" t="s">
        <v>388</v>
      </c>
    </row>
    <row r="16" spans="1:3">
      <c r="A16" s="226" t="s">
        <v>314</v>
      </c>
      <c r="B16" s="226" t="s">
        <v>280</v>
      </c>
      <c r="C16" s="227" t="s">
        <v>388</v>
      </c>
    </row>
    <row r="17" spans="1:3">
      <c r="A17" s="226" t="s">
        <v>316</v>
      </c>
      <c r="B17" s="226" t="s">
        <v>289</v>
      </c>
      <c r="C17" s="227" t="s">
        <v>388</v>
      </c>
    </row>
    <row r="18" spans="1:3">
      <c r="A18" s="226" t="s">
        <v>389</v>
      </c>
      <c r="B18" s="226" t="s">
        <v>289</v>
      </c>
      <c r="C18" s="227" t="s">
        <v>388</v>
      </c>
    </row>
    <row r="19" spans="1:3">
      <c r="A19" s="226" t="s">
        <v>319</v>
      </c>
      <c r="B19" s="226" t="s">
        <v>289</v>
      </c>
      <c r="C19" s="227" t="s">
        <v>388</v>
      </c>
    </row>
    <row r="20" spans="1:3">
      <c r="A20" s="226" t="s">
        <v>321</v>
      </c>
      <c r="B20" s="226" t="s">
        <v>289</v>
      </c>
      <c r="C20" s="227" t="s">
        <v>388</v>
      </c>
    </row>
    <row r="21" spans="1:3">
      <c r="A21" s="226" t="s">
        <v>322</v>
      </c>
      <c r="B21" s="226" t="s">
        <v>280</v>
      </c>
      <c r="C21" s="227" t="s">
        <v>388</v>
      </c>
    </row>
    <row r="22" spans="1:3">
      <c r="A22" s="226" t="s">
        <v>323</v>
      </c>
      <c r="B22" s="226" t="s">
        <v>289</v>
      </c>
      <c r="C22" s="227" t="s">
        <v>388</v>
      </c>
    </row>
    <row r="23" spans="1:3">
      <c r="A23" s="226" t="s">
        <v>332</v>
      </c>
      <c r="B23" s="226" t="s">
        <v>289</v>
      </c>
      <c r="C23" s="227" t="s">
        <v>388</v>
      </c>
    </row>
    <row r="24" spans="1:3">
      <c r="A24" s="226" t="s">
        <v>336</v>
      </c>
      <c r="B24" s="226" t="s">
        <v>280</v>
      </c>
      <c r="C24" s="227" t="s">
        <v>388</v>
      </c>
    </row>
    <row r="25" spans="1:3">
      <c r="A25" s="226" t="s">
        <v>338</v>
      </c>
      <c r="B25" s="226" t="s">
        <v>289</v>
      </c>
      <c r="C25" s="227" t="s">
        <v>388</v>
      </c>
    </row>
    <row r="26" spans="1:3">
      <c r="A26" s="226" t="s">
        <v>350</v>
      </c>
      <c r="B26" s="226" t="s">
        <v>289</v>
      </c>
      <c r="C26" s="227" t="s">
        <v>388</v>
      </c>
    </row>
    <row r="27" spans="1:3">
      <c r="A27" s="226" t="s">
        <v>340</v>
      </c>
      <c r="B27" s="226" t="s">
        <v>289</v>
      </c>
      <c r="C27" s="227" t="s">
        <v>388</v>
      </c>
    </row>
    <row r="28" spans="1:3">
      <c r="A28" s="226" t="s">
        <v>390</v>
      </c>
      <c r="B28" s="226" t="s">
        <v>280</v>
      </c>
      <c r="C28" s="227" t="s">
        <v>388</v>
      </c>
    </row>
    <row r="29" spans="1:3">
      <c r="A29" s="195" t="s">
        <v>352</v>
      </c>
      <c r="B29" s="195"/>
      <c r="C29" s="195"/>
    </row>
    <row r="30" spans="1:3">
      <c r="A30" s="226" t="s">
        <v>359</v>
      </c>
      <c r="B30" s="226" t="s">
        <v>289</v>
      </c>
      <c r="C30" s="227" t="s">
        <v>388</v>
      </c>
    </row>
    <row r="31" spans="1:3">
      <c r="A31" s="226" t="s">
        <v>362</v>
      </c>
      <c r="B31" s="226" t="s">
        <v>289</v>
      </c>
      <c r="C31" s="227" t="s">
        <v>388</v>
      </c>
    </row>
    <row r="32" spans="1:3">
      <c r="A32" s="226" t="s">
        <v>364</v>
      </c>
      <c r="B32" s="226" t="s">
        <v>289</v>
      </c>
      <c r="C32" s="227" t="s">
        <v>388</v>
      </c>
    </row>
    <row r="33" spans="1:3">
      <c r="A33" s="226" t="s">
        <v>365</v>
      </c>
      <c r="B33" s="226" t="s">
        <v>289</v>
      </c>
      <c r="C33" s="227" t="s">
        <v>388</v>
      </c>
    </row>
    <row r="34" spans="1:3">
      <c r="A34" s="226" t="s">
        <v>367</v>
      </c>
      <c r="B34" s="226" t="s">
        <v>289</v>
      </c>
      <c r="C34" s="227" t="s">
        <v>388</v>
      </c>
    </row>
    <row r="35" spans="1:3">
      <c r="A35" s="226" t="s">
        <v>369</v>
      </c>
      <c r="B35" s="226" t="s">
        <v>289</v>
      </c>
      <c r="C35" s="227" t="s">
        <v>388</v>
      </c>
    </row>
    <row r="36" spans="1:3">
      <c r="A36" s="226" t="s">
        <v>391</v>
      </c>
      <c r="B36" s="226" t="s">
        <v>289</v>
      </c>
      <c r="C36" s="227" t="s">
        <v>388</v>
      </c>
    </row>
    <row r="37" spans="1:3">
      <c r="A37" s="226" t="s">
        <v>371</v>
      </c>
      <c r="B37" s="226" t="s">
        <v>289</v>
      </c>
      <c r="C37" s="227" t="s">
        <v>388</v>
      </c>
    </row>
    <row r="38" spans="1:3">
      <c r="A38" s="226" t="s">
        <v>59</v>
      </c>
      <c r="B38" s="226" t="s">
        <v>289</v>
      </c>
      <c r="C38" s="227" t="s">
        <v>388</v>
      </c>
    </row>
    <row r="39" spans="1:3">
      <c r="A39" s="226" t="s">
        <v>392</v>
      </c>
      <c r="B39" s="226" t="s">
        <v>289</v>
      </c>
      <c r="C39" s="227" t="s">
        <v>393</v>
      </c>
    </row>
    <row r="40" spans="1:3">
      <c r="A40" s="195" t="s">
        <v>373</v>
      </c>
      <c r="B40" s="195"/>
      <c r="C40" s="195"/>
    </row>
    <row r="41" spans="1:3">
      <c r="A41" s="226" t="s">
        <v>375</v>
      </c>
      <c r="B41" s="226" t="s">
        <v>289</v>
      </c>
      <c r="C41" s="227" t="s">
        <v>394</v>
      </c>
    </row>
    <row r="42" spans="1:3">
      <c r="A42" s="226" t="s">
        <v>384</v>
      </c>
      <c r="B42" s="226" t="s">
        <v>289</v>
      </c>
      <c r="C42" s="227" t="s">
        <v>394</v>
      </c>
    </row>
    <row r="43" spans="1:3">
      <c r="A43" s="226" t="s">
        <v>39</v>
      </c>
      <c r="B43" s="226" t="s">
        <v>289</v>
      </c>
      <c r="C43" s="227" t="s">
        <v>394</v>
      </c>
    </row>
    <row r="44" spans="1:3">
      <c r="A44" s="226"/>
      <c r="B44" s="226"/>
      <c r="C44" s="227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4"/>
  <sheetViews>
    <sheetView tabSelected="1" view="pageBreakPreview" zoomScaleNormal="100" zoomScaleSheetLayoutView="100" workbookViewId="0">
      <selection sqref="A1:A2"/>
    </sheetView>
  </sheetViews>
  <sheetFormatPr defaultColWidth="9.140625" defaultRowHeight="15" customHeight="1"/>
  <cols>
    <col min="1" max="1" width="126.7109375" style="7" bestFit="1" customWidth="1"/>
    <col min="2" max="2" width="17.85546875" style="7" bestFit="1" customWidth="1"/>
    <col min="3" max="5" width="9.140625" style="7"/>
    <col min="6" max="6" width="19.7109375" style="7" customWidth="1"/>
    <col min="7" max="16384" width="9.140625" style="7"/>
  </cols>
  <sheetData>
    <row r="1" spans="1:1" ht="11.25">
      <c r="A1" s="278" t="s">
        <v>410</v>
      </c>
    </row>
    <row r="2" spans="1:1" ht="11.25">
      <c r="A2" s="279"/>
    </row>
    <row r="3" spans="1:1" ht="11.25">
      <c r="A3" s="232" t="s">
        <v>395</v>
      </c>
    </row>
    <row r="4" spans="1:1" ht="11.25">
      <c r="A4" s="232" t="s">
        <v>396</v>
      </c>
    </row>
    <row r="5" spans="1:1" ht="11.25">
      <c r="A5" s="232" t="s">
        <v>397</v>
      </c>
    </row>
    <row r="6" spans="1:1" ht="11.25">
      <c r="A6" s="232" t="s">
        <v>398</v>
      </c>
    </row>
    <row r="7" spans="1:1" ht="11.25">
      <c r="A7" s="232" t="s">
        <v>399</v>
      </c>
    </row>
    <row r="8" spans="1:1" ht="11.25">
      <c r="A8" s="233" t="s">
        <v>400</v>
      </c>
    </row>
    <row r="9" spans="1:1" ht="11.25">
      <c r="A9" s="233" t="s">
        <v>401</v>
      </c>
    </row>
    <row r="10" spans="1:1" ht="11.25">
      <c r="A10" s="233" t="s">
        <v>402</v>
      </c>
    </row>
    <row r="11" spans="1:1" ht="11.25">
      <c r="A11" s="233" t="s">
        <v>403</v>
      </c>
    </row>
    <row r="12" spans="1:1" ht="11.25">
      <c r="A12" s="232" t="s">
        <v>404</v>
      </c>
    </row>
    <row r="13" spans="1:1" ht="11.25">
      <c r="A13" s="7" t="s">
        <v>405</v>
      </c>
    </row>
    <row r="14" spans="1:1" ht="11.25">
      <c r="A14" s="234" t="s">
        <v>406</v>
      </c>
    </row>
  </sheetData>
  <mergeCells count="1">
    <mergeCell ref="A1:A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activeCell="E5" sqref="E5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9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7" customFormat="1" ht="26.25" customHeight="1">
      <c r="A1" s="297" t="s">
        <v>35</v>
      </c>
      <c r="B1" s="297"/>
      <c r="C1" s="297"/>
      <c r="D1" s="297"/>
      <c r="E1" s="297"/>
    </row>
    <row r="2" spans="1:17" s="7" customFormat="1" ht="15" customHeight="1">
      <c r="A2" s="298" t="s">
        <v>220</v>
      </c>
      <c r="B2" s="298"/>
      <c r="C2" s="298"/>
      <c r="D2" s="298"/>
      <c r="E2" s="298"/>
      <c r="G2" s="302" t="s">
        <v>262</v>
      </c>
      <c r="H2" s="302"/>
      <c r="I2" s="302"/>
      <c r="J2" s="302"/>
      <c r="K2" s="302"/>
      <c r="L2" s="302"/>
      <c r="M2" s="302"/>
      <c r="N2" s="302"/>
      <c r="O2" s="302"/>
      <c r="P2" s="302"/>
      <c r="Q2" s="302"/>
    </row>
    <row r="3" spans="1:17" ht="15" customHeight="1">
      <c r="E3" s="4"/>
      <c r="G3" s="195"/>
      <c r="H3" s="303">
        <v>2025</v>
      </c>
      <c r="I3" s="303"/>
      <c r="J3" s="304">
        <v>2026</v>
      </c>
      <c r="K3" s="305"/>
      <c r="L3" s="304">
        <v>2027</v>
      </c>
      <c r="M3" s="305"/>
      <c r="N3" s="304">
        <v>2028</v>
      </c>
      <c r="O3" s="305"/>
      <c r="P3" s="304">
        <v>2029</v>
      </c>
      <c r="Q3" s="305"/>
    </row>
    <row r="4" spans="1:17" s="19" customFormat="1" ht="26.25" customHeight="1">
      <c r="A4" s="288" t="s">
        <v>82</v>
      </c>
      <c r="B4" s="290"/>
      <c r="C4" s="77" t="s">
        <v>217</v>
      </c>
      <c r="D4" s="77" t="s">
        <v>231</v>
      </c>
      <c r="E4" s="77" t="s">
        <v>89</v>
      </c>
      <c r="G4" s="195" t="s">
        <v>263</v>
      </c>
      <c r="H4" s="195" t="s">
        <v>264</v>
      </c>
      <c r="I4" s="195" t="s">
        <v>265</v>
      </c>
      <c r="J4" s="195" t="s">
        <v>264</v>
      </c>
      <c r="K4" s="195" t="s">
        <v>265</v>
      </c>
      <c r="L4" s="195" t="s">
        <v>264</v>
      </c>
      <c r="M4" s="195" t="s">
        <v>265</v>
      </c>
      <c r="N4" s="195" t="s">
        <v>264</v>
      </c>
      <c r="O4" s="195" t="s">
        <v>265</v>
      </c>
      <c r="P4" s="195" t="s">
        <v>264</v>
      </c>
      <c r="Q4" s="195" t="s">
        <v>265</v>
      </c>
    </row>
    <row r="5" spans="1:17" ht="15" customHeight="1">
      <c r="A5" s="295" t="s">
        <v>105</v>
      </c>
      <c r="B5" s="296"/>
      <c r="C5" s="8">
        <v>0</v>
      </c>
      <c r="D5" s="9">
        <v>0</v>
      </c>
      <c r="E5" s="11">
        <f>C5*D5</f>
        <v>0</v>
      </c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</row>
    <row r="6" spans="1:17" ht="15" customHeight="1">
      <c r="A6" s="295" t="s">
        <v>73</v>
      </c>
      <c r="B6" s="296"/>
      <c r="C6" s="8">
        <v>0</v>
      </c>
      <c r="D6" s="9">
        <v>0</v>
      </c>
      <c r="E6" s="11">
        <f>C6*D6</f>
        <v>0</v>
      </c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</row>
    <row r="7" spans="1:17" ht="15" customHeight="1">
      <c r="A7" s="291"/>
      <c r="B7" s="293"/>
      <c r="C7" s="8">
        <v>0</v>
      </c>
      <c r="D7" s="9">
        <v>0</v>
      </c>
      <c r="E7" s="11">
        <f>C7*D7</f>
        <v>0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</row>
    <row r="8" spans="1:17" ht="15" customHeight="1">
      <c r="A8" s="280" t="s">
        <v>74</v>
      </c>
      <c r="B8" s="282"/>
      <c r="C8" s="8">
        <v>0</v>
      </c>
      <c r="D8" s="9">
        <v>0</v>
      </c>
      <c r="E8" s="11">
        <f>C8*D8</f>
        <v>0</v>
      </c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</row>
    <row r="9" spans="1:17" ht="15" customHeight="1">
      <c r="A9" s="299" t="s">
        <v>106</v>
      </c>
      <c r="B9" s="300"/>
      <c r="C9" s="301"/>
      <c r="D9" s="10">
        <f>SUM(D5:D8)</f>
        <v>0</v>
      </c>
      <c r="E9" s="11" t="str">
        <f>IF(SUM($D$5:$D$8)=100%,SUM(E5:E8),"    GEEN 100%")</f>
        <v xml:space="preserve">    GEEN 100%</v>
      </c>
      <c r="G9" s="188"/>
      <c r="H9" s="196"/>
      <c r="I9" s="188"/>
      <c r="J9" s="188"/>
      <c r="K9" s="188"/>
      <c r="L9" s="188"/>
      <c r="M9" s="188"/>
      <c r="N9" s="188"/>
      <c r="O9" s="188"/>
      <c r="P9" s="188"/>
      <c r="Q9" s="188"/>
    </row>
    <row r="10" spans="1:17" ht="15" customHeight="1">
      <c r="A10" s="294" t="s">
        <v>75</v>
      </c>
      <c r="B10" s="294"/>
      <c r="C10" s="294"/>
      <c r="D10" s="147" t="s">
        <v>3</v>
      </c>
      <c r="E10" s="149">
        <f>SUM(E9:E9)</f>
        <v>0</v>
      </c>
      <c r="G10" s="188" t="s">
        <v>266</v>
      </c>
      <c r="H10" s="196"/>
      <c r="I10" s="149">
        <f>(E10*H10)+E10</f>
        <v>0</v>
      </c>
      <c r="J10" s="196">
        <v>0</v>
      </c>
      <c r="K10" s="149">
        <f>(I10*J10)+I10</f>
        <v>0</v>
      </c>
      <c r="L10" s="196">
        <v>0</v>
      </c>
      <c r="M10" s="149">
        <f>(K10*L10)+K10</f>
        <v>0</v>
      </c>
      <c r="N10" s="196">
        <v>0</v>
      </c>
      <c r="O10" s="149">
        <f>(M10*N10)+M10</f>
        <v>0</v>
      </c>
      <c r="P10" s="196">
        <v>0</v>
      </c>
      <c r="Q10" s="149">
        <f>(O10*P10)+O10</f>
        <v>0</v>
      </c>
    </row>
    <row r="11" spans="1:17" ht="15" customHeight="1">
      <c r="A11" s="197"/>
      <c r="B11" s="12"/>
      <c r="C11" s="12"/>
      <c r="D11" s="12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17" s="19" customFormat="1" ht="26.25" customHeight="1">
      <c r="A12" s="288" t="s">
        <v>77</v>
      </c>
      <c r="B12" s="289"/>
      <c r="C12" s="290"/>
      <c r="D12" s="78" t="s">
        <v>86</v>
      </c>
      <c r="E12" s="77" t="s">
        <v>89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</row>
    <row r="13" spans="1:17" ht="15" customHeight="1">
      <c r="A13" s="283" t="s">
        <v>4</v>
      </c>
      <c r="B13" s="284"/>
      <c r="C13" s="284"/>
      <c r="D13" s="189">
        <v>0</v>
      </c>
      <c r="E13" s="199">
        <f>SUM($E$10*D13)</f>
        <v>0</v>
      </c>
      <c r="G13" s="188" t="s">
        <v>267</v>
      </c>
      <c r="H13" s="196"/>
      <c r="I13" s="200">
        <f>(E13*H13)+E13</f>
        <v>0</v>
      </c>
      <c r="J13" s="201"/>
      <c r="K13" s="200">
        <f>(I13*J13)+I13</f>
        <v>0</v>
      </c>
      <c r="L13" s="201"/>
      <c r="M13" s="200">
        <f>(K13*L13)+K13</f>
        <v>0</v>
      </c>
      <c r="N13" s="201"/>
      <c r="O13" s="200">
        <f>(M13*N13)+M13</f>
        <v>0</v>
      </c>
      <c r="P13" s="201"/>
      <c r="Q13" s="200">
        <f>(O13*P13)+O13</f>
        <v>0</v>
      </c>
    </row>
    <row r="14" spans="1:17" ht="15" customHeight="1">
      <c r="A14" s="284" t="s">
        <v>91</v>
      </c>
      <c r="B14" s="284"/>
      <c r="C14" s="284"/>
      <c r="D14" s="189">
        <v>0</v>
      </c>
      <c r="E14" s="199">
        <f>SUM($E$10*D14)</f>
        <v>0</v>
      </c>
      <c r="G14" s="188" t="s">
        <v>267</v>
      </c>
      <c r="H14" s="196"/>
      <c r="I14" s="200">
        <f>(E14*H14)+E14</f>
        <v>0</v>
      </c>
      <c r="J14" s="201"/>
      <c r="K14" s="200">
        <f>(I14*J14)+I14</f>
        <v>0</v>
      </c>
      <c r="L14" s="201"/>
      <c r="M14" s="200">
        <f>(K14*L14)+K14</f>
        <v>0</v>
      </c>
      <c r="N14" s="201"/>
      <c r="O14" s="200">
        <f>(M14*N14)+M14</f>
        <v>0</v>
      </c>
      <c r="P14" s="201"/>
      <c r="Q14" s="200">
        <f>(O14*P14)+O14</f>
        <v>0</v>
      </c>
    </row>
    <row r="15" spans="1:17" ht="15" customHeight="1">
      <c r="A15" s="284" t="s">
        <v>5</v>
      </c>
      <c r="B15" s="284"/>
      <c r="C15" s="284"/>
      <c r="D15" s="189">
        <v>0</v>
      </c>
      <c r="E15" s="199">
        <f>SUM($E$10*D15)</f>
        <v>0</v>
      </c>
      <c r="G15" s="188" t="s">
        <v>267</v>
      </c>
      <c r="H15" s="196"/>
      <c r="I15" s="200">
        <f>(E15*H15)+E15</f>
        <v>0</v>
      </c>
      <c r="J15" s="201"/>
      <c r="K15" s="200">
        <f>(I15*J15)+I15</f>
        <v>0</v>
      </c>
      <c r="L15" s="201"/>
      <c r="M15" s="200">
        <f>(K15*L15)+K15</f>
        <v>0</v>
      </c>
      <c r="N15" s="201"/>
      <c r="O15" s="200">
        <f>(M15*N15)+M15</f>
        <v>0</v>
      </c>
      <c r="P15" s="201"/>
      <c r="Q15" s="200">
        <f>(O15*P15)+O15</f>
        <v>0</v>
      </c>
    </row>
    <row r="16" spans="1:17" ht="15" customHeight="1">
      <c r="A16" s="284" t="s">
        <v>6</v>
      </c>
      <c r="B16" s="284"/>
      <c r="C16" s="284"/>
      <c r="D16" s="189">
        <v>0</v>
      </c>
      <c r="E16" s="199">
        <f>SUM($E$10*D16)</f>
        <v>0</v>
      </c>
      <c r="G16" s="188" t="s">
        <v>267</v>
      </c>
      <c r="H16" s="196"/>
      <c r="I16" s="200">
        <f>(E16*H16)+E16</f>
        <v>0</v>
      </c>
      <c r="J16" s="201"/>
      <c r="K16" s="200">
        <f>(I16*J16)+I16</f>
        <v>0</v>
      </c>
      <c r="L16" s="201"/>
      <c r="M16" s="200">
        <f>(K16*L16)+K16</f>
        <v>0</v>
      </c>
      <c r="N16" s="201"/>
      <c r="O16" s="200">
        <f>(M16*N16)+M16</f>
        <v>0</v>
      </c>
      <c r="P16" s="201"/>
      <c r="Q16" s="200">
        <f>(O16*P16)+O16</f>
        <v>0</v>
      </c>
    </row>
    <row r="17" spans="1:17" ht="15" customHeight="1">
      <c r="A17" s="291" t="s">
        <v>94</v>
      </c>
      <c r="B17" s="292"/>
      <c r="C17" s="293"/>
      <c r="D17" s="189">
        <v>0</v>
      </c>
      <c r="E17" s="199">
        <f>SUM($E$10*D17)</f>
        <v>0</v>
      </c>
      <c r="G17" s="188" t="s">
        <v>267</v>
      </c>
      <c r="H17" s="196"/>
      <c r="I17" s="200">
        <f>(E17*H17)+E17</f>
        <v>0</v>
      </c>
      <c r="J17" s="201"/>
      <c r="K17" s="200">
        <f>(I17*J17)+I17</f>
        <v>0</v>
      </c>
      <c r="L17" s="201"/>
      <c r="M17" s="200">
        <f>(K17*L17)+K17</f>
        <v>0</v>
      </c>
      <c r="N17" s="201"/>
      <c r="O17" s="200">
        <f>(M17*N17)+M17</f>
        <v>0</v>
      </c>
      <c r="P17" s="201"/>
      <c r="Q17" s="200">
        <f>(O17*P17)+O17</f>
        <v>0</v>
      </c>
    </row>
    <row r="18" spans="1:17" ht="15" customHeight="1">
      <c r="A18" s="294" t="s">
        <v>83</v>
      </c>
      <c r="B18" s="294"/>
      <c r="C18" s="294"/>
      <c r="D18" s="150"/>
      <c r="E18" s="151">
        <f>SUM(E13:E17)</f>
        <v>0</v>
      </c>
      <c r="G18" s="188"/>
      <c r="H18" s="188"/>
      <c r="I18" s="151">
        <f>SUM(I13:I17)</f>
        <v>0</v>
      </c>
      <c r="J18" s="188"/>
      <c r="K18" s="151">
        <f>SUM(K13:K17)</f>
        <v>0</v>
      </c>
      <c r="L18" s="188"/>
      <c r="M18" s="151">
        <f>SUM(M13:M17)</f>
        <v>0</v>
      </c>
      <c r="N18" s="188"/>
      <c r="O18" s="151">
        <f>SUM(O13:O17)</f>
        <v>0</v>
      </c>
      <c r="P18" s="188"/>
      <c r="Q18" s="151">
        <f>SUM(Q13:Q17)</f>
        <v>0</v>
      </c>
    </row>
    <row r="19" spans="1:17" ht="15" customHeight="1">
      <c r="D19" s="202"/>
      <c r="E19" s="203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19" customFormat="1" ht="26.25" customHeight="1">
      <c r="A20" s="288" t="s">
        <v>78</v>
      </c>
      <c r="B20" s="289"/>
      <c r="C20" s="290"/>
      <c r="D20" s="78" t="s">
        <v>87</v>
      </c>
      <c r="E20" s="77" t="s">
        <v>89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 ht="15" customHeight="1">
      <c r="A21" s="284" t="s">
        <v>7</v>
      </c>
      <c r="B21" s="284"/>
      <c r="C21" s="284"/>
      <c r="D21" s="204" t="e">
        <f>E21/$E$35</f>
        <v>#DIV/0!</v>
      </c>
      <c r="E21" s="205">
        <v>0</v>
      </c>
      <c r="G21" s="188" t="s">
        <v>267</v>
      </c>
      <c r="H21" s="196"/>
      <c r="I21" s="200">
        <f>(E21*H21)+E21</f>
        <v>0</v>
      </c>
      <c r="J21" s="201"/>
      <c r="K21" s="200">
        <f>(I21*J21)+I21</f>
        <v>0</v>
      </c>
      <c r="L21" s="201"/>
      <c r="M21" s="200">
        <f>(K21*L21)+K21</f>
        <v>0</v>
      </c>
      <c r="N21" s="201"/>
      <c r="O21" s="200">
        <f>(M21*N21)+M21</f>
        <v>0</v>
      </c>
      <c r="P21" s="201"/>
      <c r="Q21" s="200">
        <f>(O21*P21)+O21</f>
        <v>0</v>
      </c>
    </row>
    <row r="22" spans="1:17" ht="15" customHeight="1">
      <c r="A22" s="283" t="s">
        <v>8</v>
      </c>
      <c r="B22" s="284"/>
      <c r="C22" s="284"/>
      <c r="D22" s="204" t="e">
        <f>E22/$E$35</f>
        <v>#DIV/0!</v>
      </c>
      <c r="E22" s="205">
        <v>0</v>
      </c>
      <c r="G22" s="188" t="s">
        <v>267</v>
      </c>
      <c r="H22" s="196"/>
      <c r="I22" s="200">
        <f>(E22*H22)+E22</f>
        <v>0</v>
      </c>
      <c r="J22" s="201"/>
      <c r="K22" s="200">
        <f>(I22*J22)+I22</f>
        <v>0</v>
      </c>
      <c r="L22" s="201"/>
      <c r="M22" s="200">
        <f>(K22*L22)+K22</f>
        <v>0</v>
      </c>
      <c r="N22" s="201"/>
      <c r="O22" s="200">
        <f>(M22*N22)+M22</f>
        <v>0</v>
      </c>
      <c r="P22" s="201"/>
      <c r="Q22" s="200">
        <f>(O22*P22)+O22</f>
        <v>0</v>
      </c>
    </row>
    <row r="23" spans="1:17" ht="15" customHeight="1">
      <c r="A23" s="284" t="s">
        <v>9</v>
      </c>
      <c r="B23" s="284"/>
      <c r="C23" s="284"/>
      <c r="D23" s="204" t="e">
        <f>E23/$E$35</f>
        <v>#DIV/0!</v>
      </c>
      <c r="E23" s="205">
        <v>0</v>
      </c>
      <c r="G23" s="188" t="s">
        <v>267</v>
      </c>
      <c r="H23" s="196"/>
      <c r="I23" s="206">
        <f>(E23*H23)+E23</f>
        <v>0</v>
      </c>
      <c r="J23" s="201"/>
      <c r="K23" s="200">
        <f>(I23*J23)+I23</f>
        <v>0</v>
      </c>
      <c r="L23" s="201"/>
      <c r="M23" s="200">
        <f>(K23*L23)+K23</f>
        <v>0</v>
      </c>
      <c r="N23" s="201"/>
      <c r="O23" s="200">
        <f>(M23*N23)+M23</f>
        <v>0</v>
      </c>
      <c r="P23" s="201"/>
      <c r="Q23" s="200">
        <f>(O23*P23)+O23</f>
        <v>0</v>
      </c>
    </row>
    <row r="24" spans="1:17" ht="15" customHeight="1">
      <c r="A24" s="280" t="s">
        <v>10</v>
      </c>
      <c r="B24" s="281"/>
      <c r="C24" s="282"/>
      <c r="D24" s="189">
        <v>0</v>
      </c>
      <c r="E24" s="207">
        <f>D24*$E$10</f>
        <v>0</v>
      </c>
      <c r="G24" s="188" t="s">
        <v>266</v>
      </c>
      <c r="H24" s="196"/>
      <c r="I24" s="200">
        <f>(E24*H24)+E24</f>
        <v>0</v>
      </c>
      <c r="J24" s="201"/>
      <c r="K24" s="200">
        <f>(I24*J24)+I24</f>
        <v>0</v>
      </c>
      <c r="L24" s="201"/>
      <c r="M24" s="200">
        <f>(K24*L24)+K24</f>
        <v>0</v>
      </c>
      <c r="N24" s="201"/>
      <c r="O24" s="200">
        <f>(M24*N24)+M24</f>
        <v>0</v>
      </c>
      <c r="P24" s="201"/>
      <c r="Q24" s="200">
        <f>(O24*P24)+O24</f>
        <v>0</v>
      </c>
    </row>
    <row r="25" spans="1:17" ht="15" customHeight="1">
      <c r="A25" s="291" t="s">
        <v>92</v>
      </c>
      <c r="B25" s="292"/>
      <c r="C25" s="293"/>
      <c r="D25" s="204" t="e">
        <f>E25/$E$35</f>
        <v>#DIV/0!</v>
      </c>
      <c r="E25" s="205">
        <v>0</v>
      </c>
      <c r="G25" s="188" t="s">
        <v>267</v>
      </c>
      <c r="H25" s="196"/>
      <c r="I25" s="206">
        <f>(E25*H25)+E25</f>
        <v>0</v>
      </c>
      <c r="J25" s="201"/>
      <c r="K25" s="200">
        <f>(I25*J25)+I25</f>
        <v>0</v>
      </c>
      <c r="L25" s="201"/>
      <c r="M25" s="200">
        <f>(K25*L25)+K25</f>
        <v>0</v>
      </c>
      <c r="N25" s="201"/>
      <c r="O25" s="200">
        <f>(M25*N25)+M25</f>
        <v>0</v>
      </c>
      <c r="P25" s="201"/>
      <c r="Q25" s="200">
        <f>(O25*P25)+O25</f>
        <v>0</v>
      </c>
    </row>
    <row r="26" spans="1:17" ht="15" customHeight="1">
      <c r="A26" s="294" t="s">
        <v>84</v>
      </c>
      <c r="B26" s="294"/>
      <c r="C26" s="294"/>
      <c r="D26" s="147" t="s">
        <v>3</v>
      </c>
      <c r="E26" s="149">
        <f>SUM(E21:E25)</f>
        <v>0</v>
      </c>
      <c r="G26" s="188"/>
      <c r="H26" s="188"/>
      <c r="I26" s="149">
        <f>SUM(I21:I25)</f>
        <v>0</v>
      </c>
      <c r="J26" s="188"/>
      <c r="K26" s="149">
        <f>SUM(K21:K25)</f>
        <v>0</v>
      </c>
      <c r="L26" s="188"/>
      <c r="M26" s="149">
        <f>SUM(M21:M25)</f>
        <v>0</v>
      </c>
      <c r="N26" s="188"/>
      <c r="O26" s="149">
        <f>SUM(O21:O25)</f>
        <v>0</v>
      </c>
      <c r="P26" s="188"/>
      <c r="Q26" s="149">
        <f>SUM(Q21:Q25)</f>
        <v>0</v>
      </c>
    </row>
    <row r="27" spans="1:17" ht="15" customHeight="1">
      <c r="A27" s="24"/>
      <c r="B27" s="24"/>
      <c r="C27" s="24"/>
      <c r="D27" s="208"/>
      <c r="E27" s="209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</row>
    <row r="28" spans="1:17" s="19" customFormat="1" ht="26.25" customHeight="1">
      <c r="A28" s="288" t="s">
        <v>79</v>
      </c>
      <c r="B28" s="289"/>
      <c r="C28" s="290"/>
      <c r="D28" s="78" t="s">
        <v>87</v>
      </c>
      <c r="E28" s="77" t="s">
        <v>89</v>
      </c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 ht="15" customHeight="1">
      <c r="A29" s="283" t="s">
        <v>11</v>
      </c>
      <c r="B29" s="284"/>
      <c r="C29" s="284"/>
      <c r="D29" s="189">
        <v>0</v>
      </c>
      <c r="E29" s="207">
        <f>D29*($E$18+$E$10)</f>
        <v>0</v>
      </c>
      <c r="G29" s="188" t="s">
        <v>267</v>
      </c>
      <c r="H29" s="196"/>
      <c r="I29" s="200">
        <f>(E29*H29)+E29</f>
        <v>0</v>
      </c>
      <c r="J29" s="201"/>
      <c r="K29" s="200">
        <f>(I29*J29)+I29</f>
        <v>0</v>
      </c>
      <c r="L29" s="201"/>
      <c r="M29" s="200">
        <f>(K29*L29)+K29</f>
        <v>0</v>
      </c>
      <c r="N29" s="201"/>
      <c r="O29" s="200">
        <f>(M29*N29)+M29</f>
        <v>0</v>
      </c>
      <c r="P29" s="201"/>
      <c r="Q29" s="200">
        <f>(O29*P29)+O29</f>
        <v>0</v>
      </c>
    </row>
    <row r="30" spans="1:17" ht="15" customHeight="1">
      <c r="A30" s="283" t="s">
        <v>80</v>
      </c>
      <c r="B30" s="284"/>
      <c r="C30" s="284"/>
      <c r="D30" s="210" t="e">
        <f>E30/$E$35</f>
        <v>#DIV/0!</v>
      </c>
      <c r="E30" s="205">
        <v>0</v>
      </c>
      <c r="G30" s="188" t="s">
        <v>267</v>
      </c>
      <c r="H30" s="196"/>
      <c r="I30" s="206">
        <f>(E30*H30)+E30</f>
        <v>0</v>
      </c>
      <c r="J30" s="201"/>
      <c r="K30" s="200">
        <f>(I30*J30)+I30</f>
        <v>0</v>
      </c>
      <c r="L30" s="201"/>
      <c r="M30" s="200">
        <f>(K30*L30)+K30</f>
        <v>0</v>
      </c>
      <c r="N30" s="201"/>
      <c r="O30" s="200">
        <f>(M30*N30)+M30</f>
        <v>0</v>
      </c>
      <c r="P30" s="201"/>
      <c r="Q30" s="200">
        <f>(O30*P30)+O30</f>
        <v>0</v>
      </c>
    </row>
    <row r="31" spans="1:17" ht="15" customHeight="1">
      <c r="A31" s="291" t="s">
        <v>93</v>
      </c>
      <c r="B31" s="292"/>
      <c r="C31" s="293"/>
      <c r="D31" s="204" t="e">
        <f>E31/$E$35</f>
        <v>#DIV/0!</v>
      </c>
      <c r="E31" s="205">
        <v>0</v>
      </c>
      <c r="G31" s="188" t="s">
        <v>267</v>
      </c>
      <c r="H31" s="196"/>
      <c r="I31" s="206">
        <f>(E31*H31)+E31</f>
        <v>0</v>
      </c>
      <c r="J31" s="201"/>
      <c r="K31" s="200">
        <f>(I31*J31)+I31</f>
        <v>0</v>
      </c>
      <c r="L31" s="201"/>
      <c r="M31" s="200">
        <f>(K31*L31)+K31</f>
        <v>0</v>
      </c>
      <c r="N31" s="201"/>
      <c r="O31" s="200">
        <f>(M31*N31)+M31</f>
        <v>0</v>
      </c>
      <c r="P31" s="201"/>
      <c r="Q31" s="200">
        <f>(O31*P31)+O31</f>
        <v>0</v>
      </c>
    </row>
    <row r="32" spans="1:17" ht="15" customHeight="1">
      <c r="A32" s="284" t="s">
        <v>81</v>
      </c>
      <c r="B32" s="284"/>
      <c r="C32" s="284"/>
      <c r="D32" s="210" t="e">
        <f>E32/$E$35</f>
        <v>#DIV/0!</v>
      </c>
      <c r="E32" s="205">
        <v>0</v>
      </c>
      <c r="G32" s="188"/>
      <c r="H32" s="188"/>
      <c r="I32" s="206">
        <f>(E32*H32)+E32</f>
        <v>0</v>
      </c>
      <c r="J32" s="201"/>
      <c r="K32" s="200">
        <f>(I32*J32)+I32</f>
        <v>0</v>
      </c>
      <c r="L32" s="201"/>
      <c r="M32" s="200">
        <f>(K32*L32)+K32</f>
        <v>0</v>
      </c>
      <c r="N32" s="201"/>
      <c r="O32" s="200">
        <f>(M32*N32)+M32</f>
        <v>0</v>
      </c>
      <c r="P32" s="201"/>
      <c r="Q32" s="200">
        <f>(O32*P32)+O32</f>
        <v>0</v>
      </c>
    </row>
    <row r="33" spans="1:17" ht="15" customHeight="1">
      <c r="A33" s="294" t="s">
        <v>85</v>
      </c>
      <c r="B33" s="294"/>
      <c r="C33" s="294"/>
      <c r="D33" s="147"/>
      <c r="E33" s="148">
        <f>SUM(E29:E32)</f>
        <v>0</v>
      </c>
      <c r="G33" s="188"/>
      <c r="H33" s="188"/>
      <c r="I33" s="148">
        <f>SUM(I29:I32)</f>
        <v>0</v>
      </c>
      <c r="J33" s="188"/>
      <c r="K33" s="148">
        <f>SUM(K29:K32)</f>
        <v>0</v>
      </c>
      <c r="L33" s="188"/>
      <c r="M33" s="148">
        <f>SUM(M29:M32)</f>
        <v>0</v>
      </c>
      <c r="N33" s="188"/>
      <c r="O33" s="148">
        <f>SUM(O29:O32)</f>
        <v>0</v>
      </c>
      <c r="P33" s="188"/>
      <c r="Q33" s="148">
        <f>SUM(Q29:Q32)</f>
        <v>0</v>
      </c>
    </row>
    <row r="34" spans="1:17" ht="15" customHeight="1">
      <c r="A34" s="24"/>
      <c r="B34" s="24"/>
      <c r="C34" s="24"/>
      <c r="D34" s="208"/>
      <c r="E34" s="211"/>
      <c r="H34" s="188"/>
      <c r="I34" s="188"/>
      <c r="J34" s="188"/>
      <c r="K34" s="188"/>
      <c r="L34" s="188"/>
      <c r="M34" s="188"/>
      <c r="N34" s="188"/>
      <c r="O34" s="188"/>
      <c r="P34" s="188"/>
      <c r="Q34" s="188"/>
    </row>
    <row r="35" spans="1:17" ht="26.25" customHeight="1">
      <c r="A35" s="285" t="s">
        <v>104</v>
      </c>
      <c r="B35" s="286"/>
      <c r="C35" s="286"/>
      <c r="D35" s="287"/>
      <c r="E35" s="146">
        <f>E33+E26+E18+E10</f>
        <v>0</v>
      </c>
      <c r="G35" s="108"/>
      <c r="H35" s="188"/>
      <c r="I35" s="146">
        <f>I33+I26+I18+I10</f>
        <v>0</v>
      </c>
      <c r="J35" s="188"/>
      <c r="K35" s="146">
        <f>K33+K26+K18+K10</f>
        <v>0</v>
      </c>
      <c r="L35" s="188"/>
      <c r="M35" s="146">
        <f>M33+M26+M18+M10</f>
        <v>0</v>
      </c>
      <c r="N35" s="188"/>
      <c r="O35" s="146">
        <f>O33+O26+O18+O10</f>
        <v>0</v>
      </c>
      <c r="P35" s="188"/>
      <c r="Q35" s="146">
        <f>Q33+Q26+Q18+Q10</f>
        <v>0</v>
      </c>
    </row>
    <row r="36" spans="1:17" ht="15" customHeight="1">
      <c r="D36" s="202"/>
      <c r="E36" s="203"/>
    </row>
    <row r="37" spans="1:17" ht="26.25" customHeight="1">
      <c r="A37" s="79" t="s">
        <v>88</v>
      </c>
      <c r="B37" s="80"/>
      <c r="C37" s="78" t="s">
        <v>103</v>
      </c>
      <c r="D37" s="78" t="s">
        <v>101</v>
      </c>
      <c r="E37" s="78" t="s">
        <v>102</v>
      </c>
      <c r="H37" s="78" t="s">
        <v>268</v>
      </c>
      <c r="I37" s="212" t="e">
        <f>(I35/E35)-100%</f>
        <v>#DIV/0!</v>
      </c>
      <c r="J37" s="78"/>
      <c r="K37" s="212" t="e">
        <f>(K35/I35)-100%</f>
        <v>#DIV/0!</v>
      </c>
      <c r="L37" s="78"/>
      <c r="M37" s="212" t="e">
        <f>(M35/K35)-100%</f>
        <v>#DIV/0!</v>
      </c>
      <c r="N37" s="78"/>
      <c r="O37" s="212" t="e">
        <f>(O35/M35)-100%</f>
        <v>#DIV/0!</v>
      </c>
      <c r="P37" s="78"/>
      <c r="Q37" s="212" t="e">
        <f>(Q35/O35)-100%</f>
        <v>#DIV/0!</v>
      </c>
    </row>
    <row r="38" spans="1:17" ht="15" customHeight="1">
      <c r="A38" s="188" t="s">
        <v>90</v>
      </c>
      <c r="B38" s="188" t="s">
        <v>96</v>
      </c>
      <c r="C38" s="13">
        <v>0</v>
      </c>
      <c r="D38" s="14">
        <f>+E35</f>
        <v>0</v>
      </c>
      <c r="E38" s="15">
        <f>D38*121%</f>
        <v>0</v>
      </c>
      <c r="F38" s="108"/>
      <c r="H38" s="188"/>
      <c r="I38" s="11" t="e">
        <f>(D38*$I$37)+D38</f>
        <v>#DIV/0!</v>
      </c>
      <c r="J38" s="188"/>
      <c r="K38" s="11" t="e">
        <f>(I38*$K$37)+I38</f>
        <v>#DIV/0!</v>
      </c>
      <c r="L38" s="188"/>
      <c r="M38" s="11" t="e">
        <f>(K38*$M$37)+K38</f>
        <v>#DIV/0!</v>
      </c>
      <c r="N38" s="188"/>
      <c r="O38" s="11" t="e">
        <f>(M38*$O$37)+M38</f>
        <v>#DIV/0!</v>
      </c>
      <c r="P38" s="188"/>
      <c r="Q38" s="11" t="e">
        <f>(O38*$Q$37)+O38</f>
        <v>#DIV/0!</v>
      </c>
    </row>
    <row r="39" spans="1:17" ht="15" customHeight="1">
      <c r="A39" s="188" t="s">
        <v>95</v>
      </c>
      <c r="B39" s="188" t="s">
        <v>97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08"/>
      <c r="H39" s="11"/>
      <c r="I39" s="11" t="e">
        <f>(D39*$I$37)+D39</f>
        <v>#DIV/0!</v>
      </c>
      <c r="J39" s="188"/>
      <c r="K39" s="11" t="e">
        <f>(I39*$K$37)+I39</f>
        <v>#DIV/0!</v>
      </c>
      <c r="L39" s="188"/>
      <c r="M39" s="11" t="e">
        <f>(K39*$M$37)+K39</f>
        <v>#DIV/0!</v>
      </c>
      <c r="N39" s="188"/>
      <c r="O39" s="11" t="e">
        <f>(M39*$O$37)+M39</f>
        <v>#DIV/0!</v>
      </c>
      <c r="P39" s="188"/>
      <c r="Q39" s="11" t="e">
        <f>(O39*$Q$37)+O39</f>
        <v>#DIV/0!</v>
      </c>
    </row>
    <row r="40" spans="1:17" ht="15" customHeight="1">
      <c r="A40" s="188" t="s">
        <v>24</v>
      </c>
      <c r="B40" s="188" t="s">
        <v>98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08"/>
      <c r="H40" s="188"/>
      <c r="I40" s="11" t="e">
        <f>(D40*$I$37)+D40</f>
        <v>#DIV/0!</v>
      </c>
      <c r="J40" s="188"/>
      <c r="K40" s="11" t="e">
        <f>(I40*$K$37)+I40</f>
        <v>#DIV/0!</v>
      </c>
      <c r="L40" s="188"/>
      <c r="M40" s="11" t="e">
        <f>(K40*$M$37)+K40</f>
        <v>#DIV/0!</v>
      </c>
      <c r="N40" s="188"/>
      <c r="O40" s="11" t="e">
        <f>(M40*$O$37)+M40</f>
        <v>#DIV/0!</v>
      </c>
      <c r="P40" s="188"/>
      <c r="Q40" s="11" t="e">
        <f>(O40*$Q$37)+O40</f>
        <v>#DIV/0!</v>
      </c>
    </row>
    <row r="41" spans="1:17" ht="15" customHeight="1">
      <c r="A41" s="188" t="s">
        <v>99</v>
      </c>
      <c r="B41" s="16" t="s">
        <v>100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08"/>
      <c r="H41" s="188"/>
      <c r="I41" s="11" t="e">
        <f>(D41*$I$37)+D41</f>
        <v>#DIV/0!</v>
      </c>
      <c r="J41" s="188"/>
      <c r="K41" s="11" t="e">
        <f>(I41*$K$37)+I41</f>
        <v>#DIV/0!</v>
      </c>
      <c r="L41" s="188"/>
      <c r="M41" s="11" t="e">
        <f>(K41*$M$37)+K41</f>
        <v>#DIV/0!</v>
      </c>
      <c r="N41" s="188"/>
      <c r="O41" s="11" t="e">
        <f>(M41*$O$37)+M41</f>
        <v>#DIV/0!</v>
      </c>
      <c r="P41" s="188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0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2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activeCell="B7" sqref="B7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08" t="s">
        <v>123</v>
      </c>
      <c r="B1" s="308"/>
      <c r="C1" s="308"/>
      <c r="D1" s="308"/>
      <c r="E1" s="308"/>
      <c r="F1" s="308"/>
    </row>
    <row r="2" spans="1:10" s="7" customFormat="1" ht="15" customHeight="1">
      <c r="A2" s="306" t="s">
        <v>222</v>
      </c>
      <c r="B2" s="307"/>
      <c r="C2" s="307"/>
      <c r="D2" s="307"/>
      <c r="E2" s="307"/>
      <c r="F2" s="307"/>
    </row>
    <row r="3" spans="1:10" s="61" customFormat="1" ht="15" customHeight="1">
      <c r="A3" s="62"/>
      <c r="E3" s="74"/>
      <c r="F3" s="74"/>
      <c r="G3" s="62"/>
      <c r="H3" s="62"/>
    </row>
    <row r="4" spans="1:10" s="61" customFormat="1" ht="15" customHeight="1">
      <c r="A4" s="62"/>
      <c r="E4" s="74"/>
      <c r="F4" s="74"/>
      <c r="G4" s="62"/>
      <c r="H4" s="62"/>
    </row>
    <row r="5" spans="1:10" s="61" customFormat="1" ht="26.25" customHeight="1">
      <c r="A5" s="75" t="s">
        <v>245</v>
      </c>
      <c r="B5" s="75"/>
      <c r="C5" s="75"/>
      <c r="D5" s="75"/>
      <c r="E5" s="71"/>
      <c r="F5" s="71"/>
      <c r="G5" s="62"/>
      <c r="H5" s="62"/>
    </row>
    <row r="6" spans="1:10" s="61" customFormat="1" ht="26.25" customHeight="1" thickBot="1">
      <c r="A6" s="111" t="s">
        <v>34</v>
      </c>
      <c r="B6" s="112" t="s">
        <v>150</v>
      </c>
      <c r="C6" s="109" t="s">
        <v>110</v>
      </c>
      <c r="D6" s="113" t="s">
        <v>69</v>
      </c>
      <c r="E6" s="114" t="s">
        <v>68</v>
      </c>
      <c r="F6" s="4" t="s">
        <v>30</v>
      </c>
      <c r="G6" s="62"/>
      <c r="H6" s="62"/>
    </row>
    <row r="7" spans="1:10" s="61" customFormat="1" ht="15" customHeight="1" thickTop="1">
      <c r="A7" s="116">
        <v>1</v>
      </c>
      <c r="B7" s="115" t="s">
        <v>461</v>
      </c>
      <c r="C7" s="110">
        <v>1</v>
      </c>
      <c r="D7" s="171" t="s">
        <v>462</v>
      </c>
      <c r="E7" s="171" t="s">
        <v>463</v>
      </c>
      <c r="F7" s="171" t="s">
        <v>464</v>
      </c>
      <c r="G7" s="62"/>
      <c r="H7" s="62"/>
    </row>
    <row r="8" spans="1:10" s="61" customFormat="1" ht="15" customHeight="1">
      <c r="A8" s="62"/>
      <c r="E8" s="74"/>
      <c r="F8" s="74"/>
      <c r="G8" s="62"/>
      <c r="H8" s="62"/>
    </row>
    <row r="9" spans="1:10" s="61" customFormat="1" ht="26.25" customHeight="1">
      <c r="A9" s="82" t="s">
        <v>246</v>
      </c>
      <c r="B9" s="71"/>
      <c r="C9" s="71"/>
      <c r="D9" s="71"/>
      <c r="E9" s="74"/>
      <c r="F9" s="74"/>
      <c r="G9" s="62"/>
      <c r="H9" s="62"/>
    </row>
    <row r="10" spans="1:10" s="61" customFormat="1" ht="26.25" customHeight="1">
      <c r="A10" s="81" t="s">
        <v>34</v>
      </c>
      <c r="B10" s="17" t="s">
        <v>108</v>
      </c>
      <c r="C10" s="19" t="s">
        <v>107</v>
      </c>
      <c r="D10" s="81" t="s">
        <v>216</v>
      </c>
      <c r="E10" s="74"/>
      <c r="F10" s="74"/>
      <c r="G10" s="62"/>
      <c r="H10" s="62"/>
    </row>
    <row r="11" spans="1:10" s="61" customFormat="1" ht="15" customHeight="1">
      <c r="A11" s="18">
        <v>1</v>
      </c>
      <c r="B11" s="7" t="s">
        <v>60</v>
      </c>
      <c r="C11" s="83">
        <v>0</v>
      </c>
      <c r="D11" s="153" t="s">
        <v>239</v>
      </c>
      <c r="E11" s="74"/>
      <c r="F11" s="74"/>
      <c r="G11" s="62"/>
      <c r="H11" s="62"/>
    </row>
    <row r="12" spans="1:10" s="71" customFormat="1" ht="15" customHeight="1">
      <c r="A12" s="18">
        <v>2</v>
      </c>
      <c r="B12" s="7" t="s">
        <v>61</v>
      </c>
      <c r="C12" s="83">
        <v>0</v>
      </c>
      <c r="D12" s="153" t="s">
        <v>242</v>
      </c>
      <c r="G12" s="76"/>
      <c r="H12" s="76"/>
      <c r="I12" s="76"/>
    </row>
    <row r="13" spans="1:10" s="20" customFormat="1" ht="15" customHeight="1">
      <c r="A13" s="18">
        <v>3</v>
      </c>
      <c r="B13" s="7" t="s">
        <v>62</v>
      </c>
      <c r="C13" s="83">
        <v>0</v>
      </c>
      <c r="D13" s="153" t="s">
        <v>239</v>
      </c>
      <c r="E13" s="63"/>
      <c r="F13" s="63"/>
      <c r="G13" s="121"/>
      <c r="H13" s="121"/>
      <c r="I13" s="121"/>
      <c r="J13" s="121"/>
    </row>
    <row r="14" spans="1:10" s="4" customFormat="1" ht="15" customHeight="1">
      <c r="A14" s="18">
        <v>4</v>
      </c>
      <c r="B14" s="7" t="s">
        <v>63</v>
      </c>
      <c r="C14" s="83">
        <v>0</v>
      </c>
      <c r="D14" s="153" t="s">
        <v>242</v>
      </c>
      <c r="E14" s="85"/>
      <c r="F14" s="71"/>
      <c r="G14" s="76"/>
      <c r="H14" s="76"/>
      <c r="I14" s="76"/>
      <c r="J14" s="76"/>
    </row>
    <row r="15" spans="1:10" s="4" customFormat="1" ht="15" customHeight="1">
      <c r="A15" s="18">
        <v>5</v>
      </c>
      <c r="B15" s="7" t="s">
        <v>22</v>
      </c>
      <c r="C15" s="83">
        <v>0</v>
      </c>
      <c r="D15" s="153" t="s">
        <v>240</v>
      </c>
      <c r="E15" s="85"/>
      <c r="F15" s="71"/>
      <c r="G15" s="76"/>
      <c r="H15" s="76"/>
      <c r="I15" s="76"/>
      <c r="J15" s="76"/>
    </row>
    <row r="16" spans="1:10" s="4" customFormat="1" ht="15" customHeight="1">
      <c r="A16" s="18">
        <v>6</v>
      </c>
      <c r="B16" s="7" t="s">
        <v>64</v>
      </c>
      <c r="C16" s="83">
        <v>0</v>
      </c>
      <c r="D16" s="153" t="s">
        <v>239</v>
      </c>
      <c r="E16" s="85"/>
      <c r="F16" s="71"/>
      <c r="G16" s="76"/>
      <c r="H16" s="76"/>
      <c r="I16" s="76"/>
      <c r="J16" s="76"/>
    </row>
    <row r="17" spans="1:10" s="4" customFormat="1" ht="15" customHeight="1">
      <c r="A17" s="18">
        <v>7</v>
      </c>
      <c r="B17" s="7" t="s">
        <v>41</v>
      </c>
      <c r="C17" s="83">
        <v>0</v>
      </c>
      <c r="D17" s="153" t="s">
        <v>239</v>
      </c>
      <c r="E17" s="85"/>
      <c r="F17" s="71"/>
      <c r="G17" s="76"/>
      <c r="H17" s="76"/>
      <c r="I17" s="76"/>
      <c r="J17" s="76"/>
    </row>
    <row r="18" spans="1:10" s="4" customFormat="1" ht="15" customHeight="1">
      <c r="A18" s="18">
        <v>8</v>
      </c>
      <c r="B18" s="7" t="s">
        <v>651</v>
      </c>
      <c r="C18" s="83">
        <v>0</v>
      </c>
      <c r="D18" s="153" t="s">
        <v>242</v>
      </c>
      <c r="E18" s="85"/>
      <c r="F18" s="88"/>
      <c r="G18" s="76"/>
      <c r="H18" s="76"/>
      <c r="I18" s="76"/>
      <c r="J18" s="76"/>
    </row>
    <row r="19" spans="1:10" s="4" customFormat="1" ht="15" customHeight="1">
      <c r="A19" s="18">
        <v>9</v>
      </c>
      <c r="B19" s="7" t="s">
        <v>652</v>
      </c>
      <c r="C19" s="83">
        <v>0</v>
      </c>
      <c r="D19" s="153" t="s">
        <v>241</v>
      </c>
      <c r="E19" s="85"/>
      <c r="F19" s="88"/>
      <c r="G19" s="76"/>
      <c r="H19" s="76"/>
      <c r="I19" s="76"/>
      <c r="J19" s="76"/>
    </row>
    <row r="20" spans="1:10" s="4" customFormat="1" ht="15" customHeight="1">
      <c r="A20" s="18">
        <v>10</v>
      </c>
      <c r="B20" s="7" t="s">
        <v>65</v>
      </c>
      <c r="C20" s="83">
        <v>0</v>
      </c>
      <c r="D20" s="153" t="s">
        <v>239</v>
      </c>
      <c r="E20" s="88"/>
      <c r="F20" s="71"/>
      <c r="G20" s="76"/>
      <c r="H20" s="76"/>
      <c r="I20" s="76"/>
      <c r="J20" s="71"/>
    </row>
    <row r="21" spans="1:10" s="4" customFormat="1" ht="15" customHeight="1">
      <c r="A21" s="18">
        <v>11</v>
      </c>
      <c r="B21" s="7" t="s">
        <v>653</v>
      </c>
      <c r="C21" s="83">
        <v>0</v>
      </c>
      <c r="D21" s="153" t="s">
        <v>239</v>
      </c>
      <c r="E21" s="88"/>
      <c r="F21" s="71"/>
      <c r="G21" s="76"/>
      <c r="H21" s="76"/>
      <c r="I21" s="76"/>
      <c r="J21" s="71"/>
    </row>
    <row r="22" spans="1:10" s="4" customFormat="1" ht="15" customHeight="1">
      <c r="A22" s="18">
        <v>12</v>
      </c>
      <c r="B22" s="7" t="s">
        <v>38</v>
      </c>
      <c r="C22" s="83">
        <v>0</v>
      </c>
      <c r="D22" s="153" t="s">
        <v>239</v>
      </c>
      <c r="E22" s="88"/>
      <c r="F22" s="71"/>
      <c r="G22" s="76"/>
      <c r="H22" s="76"/>
      <c r="I22" s="76"/>
      <c r="J22" s="71"/>
    </row>
    <row r="23" spans="1:10" s="4" customFormat="1" ht="15" customHeight="1">
      <c r="A23" s="18">
        <v>13</v>
      </c>
      <c r="B23" s="7" t="s">
        <v>654</v>
      </c>
      <c r="C23" s="83">
        <v>0</v>
      </c>
      <c r="D23" s="153" t="s">
        <v>239</v>
      </c>
      <c r="E23" s="88"/>
      <c r="F23" s="71"/>
      <c r="G23" s="76"/>
      <c r="H23" s="76"/>
      <c r="I23" s="76"/>
      <c r="J23" s="71"/>
    </row>
    <row r="24" spans="1:10" s="4" customFormat="1" ht="15" customHeight="1">
      <c r="A24" s="18">
        <v>14</v>
      </c>
      <c r="B24" s="7" t="s">
        <v>238</v>
      </c>
      <c r="C24" s="83">
        <v>0</v>
      </c>
      <c r="D24" s="153" t="s">
        <v>241</v>
      </c>
      <c r="E24" s="88"/>
      <c r="F24" s="71"/>
      <c r="G24" s="76"/>
      <c r="H24" s="76"/>
      <c r="I24" s="71"/>
      <c r="J24" s="71"/>
    </row>
    <row r="25" spans="1:10" s="4" customFormat="1" ht="15" customHeight="1">
      <c r="A25" s="18">
        <v>15</v>
      </c>
      <c r="B25" s="7" t="s">
        <v>66</v>
      </c>
      <c r="C25" s="83">
        <v>0</v>
      </c>
      <c r="D25" s="153" t="s">
        <v>239</v>
      </c>
      <c r="E25" s="88"/>
      <c r="F25" s="71"/>
      <c r="G25" s="76"/>
      <c r="H25" s="76"/>
      <c r="I25" s="71"/>
      <c r="J25" s="71"/>
    </row>
    <row r="26" spans="1:10" s="4" customFormat="1" ht="15" customHeight="1">
      <c r="A26" s="18">
        <v>16</v>
      </c>
      <c r="B26" s="7" t="s">
        <v>237</v>
      </c>
      <c r="C26" s="83">
        <v>0</v>
      </c>
      <c r="D26" s="153" t="s">
        <v>241</v>
      </c>
      <c r="E26" s="88"/>
      <c r="F26" s="71"/>
      <c r="G26" s="76"/>
      <c r="H26" s="76"/>
      <c r="I26" s="71"/>
      <c r="J26" s="71"/>
    </row>
    <row r="27" spans="1:10" s="4" customFormat="1" ht="15" customHeight="1">
      <c r="A27" s="18">
        <v>17</v>
      </c>
      <c r="B27" s="7" t="s">
        <v>71</v>
      </c>
      <c r="C27" s="83">
        <v>0</v>
      </c>
      <c r="D27" s="153" t="s">
        <v>239</v>
      </c>
      <c r="E27" s="88"/>
      <c r="F27" s="71"/>
      <c r="G27" s="76"/>
      <c r="H27" s="76"/>
      <c r="I27" s="71"/>
      <c r="J27" s="71"/>
    </row>
    <row r="28" spans="1:10" s="4" customFormat="1" ht="15" customHeight="1">
      <c r="A28" s="18">
        <v>18</v>
      </c>
      <c r="B28" s="7" t="s">
        <v>70</v>
      </c>
      <c r="C28" s="83">
        <v>0</v>
      </c>
      <c r="D28" s="153" t="s">
        <v>243</v>
      </c>
      <c r="E28" s="88"/>
      <c r="F28" s="71"/>
      <c r="G28" s="76"/>
      <c r="H28" s="76"/>
      <c r="I28" s="71"/>
      <c r="J28" s="71"/>
    </row>
    <row r="29" spans="1:10" s="4" customFormat="1" ht="15" customHeight="1">
      <c r="A29" s="18">
        <v>19</v>
      </c>
      <c r="B29" s="7" t="s">
        <v>655</v>
      </c>
      <c r="C29" s="83">
        <v>0</v>
      </c>
      <c r="D29" s="153" t="s">
        <v>240</v>
      </c>
      <c r="E29" s="88"/>
      <c r="F29" s="71"/>
      <c r="G29" s="76"/>
      <c r="H29" s="76"/>
      <c r="I29" s="71"/>
      <c r="J29" s="71"/>
    </row>
    <row r="30" spans="1:10" s="4" customFormat="1" ht="15" customHeight="1">
      <c r="A30" s="18">
        <v>20</v>
      </c>
      <c r="B30" s="7" t="s">
        <v>67</v>
      </c>
      <c r="C30" s="84"/>
      <c r="D30" s="84"/>
      <c r="E30" s="88"/>
      <c r="F30" s="71"/>
      <c r="G30" s="76"/>
      <c r="H30" s="76"/>
      <c r="I30" s="71"/>
      <c r="J30" s="71"/>
    </row>
    <row r="31" spans="1:10" s="4" customFormat="1" ht="15" customHeight="1">
      <c r="A31" s="71"/>
      <c r="B31" s="71"/>
      <c r="C31" s="71"/>
      <c r="D31" s="71"/>
      <c r="E31" s="88"/>
      <c r="F31" s="71"/>
      <c r="G31" s="76"/>
      <c r="H31" s="76"/>
      <c r="I31" s="71"/>
      <c r="J31" s="71"/>
    </row>
    <row r="32" spans="1:10" s="4" customFormat="1" ht="26.25" customHeight="1">
      <c r="A32" s="75" t="s">
        <v>247</v>
      </c>
      <c r="B32" s="75"/>
      <c r="C32" s="71"/>
      <c r="D32" s="71"/>
      <c r="E32" s="88"/>
      <c r="F32" s="71"/>
      <c r="G32" s="76"/>
      <c r="H32" s="76"/>
      <c r="I32" s="71"/>
      <c r="J32" s="71"/>
    </row>
    <row r="33" spans="1:12" s="4" customFormat="1" ht="26.25" customHeight="1">
      <c r="A33" s="21" t="s">
        <v>34</v>
      </c>
      <c r="B33" s="117" t="s">
        <v>136</v>
      </c>
      <c r="C33" s="22" t="s">
        <v>110</v>
      </c>
      <c r="D33" s="19" t="s">
        <v>109</v>
      </c>
      <c r="E33" s="124" t="s">
        <v>215</v>
      </c>
      <c r="F33" s="125" t="s">
        <v>176</v>
      </c>
      <c r="G33" s="76"/>
      <c r="H33" s="76"/>
      <c r="I33" s="76"/>
      <c r="J33" s="76"/>
      <c r="K33" s="71"/>
      <c r="L33" s="71"/>
    </row>
    <row r="34" spans="1:12" s="4" customFormat="1" ht="15" customHeight="1">
      <c r="A34" s="86" t="s">
        <v>112</v>
      </c>
      <c r="B34" s="18" t="s">
        <v>137</v>
      </c>
      <c r="C34" s="87">
        <v>1</v>
      </c>
      <c r="D34" s="7" t="s">
        <v>115</v>
      </c>
      <c r="E34" s="7"/>
      <c r="F34" s="7"/>
      <c r="G34" s="76"/>
      <c r="H34" s="76"/>
      <c r="I34" s="76"/>
      <c r="J34" s="76"/>
      <c r="K34" s="71"/>
      <c r="L34" s="71"/>
    </row>
    <row r="35" spans="1:12" s="4" customFormat="1" ht="15" customHeight="1">
      <c r="A35" s="86" t="s">
        <v>111</v>
      </c>
      <c r="B35" s="18" t="s">
        <v>39</v>
      </c>
      <c r="C35" s="87">
        <v>1</v>
      </c>
      <c r="D35" s="7" t="s">
        <v>116</v>
      </c>
      <c r="E35" s="7"/>
      <c r="F35" s="7"/>
      <c r="G35" s="76"/>
      <c r="H35" s="76"/>
      <c r="I35" s="76"/>
      <c r="J35" s="76"/>
      <c r="K35" s="71"/>
      <c r="L35" s="71"/>
    </row>
    <row r="36" spans="1:12" s="4" customFormat="1" ht="15" customHeight="1">
      <c r="A36" s="86" t="s">
        <v>113</v>
      </c>
      <c r="B36" s="18" t="s">
        <v>133</v>
      </c>
      <c r="C36" s="87">
        <v>1</v>
      </c>
      <c r="D36" s="7" t="s">
        <v>117</v>
      </c>
      <c r="E36" s="7"/>
      <c r="F36" s="7"/>
      <c r="G36" s="76"/>
      <c r="H36" s="76"/>
      <c r="I36" s="76"/>
      <c r="J36" s="76"/>
      <c r="K36" s="71"/>
      <c r="L36" s="71"/>
    </row>
    <row r="37" spans="1:12" s="4" customFormat="1" ht="15" customHeight="1">
      <c r="A37" s="86" t="s">
        <v>114</v>
      </c>
      <c r="B37" s="18" t="s">
        <v>134</v>
      </c>
      <c r="C37" s="87">
        <v>1</v>
      </c>
      <c r="D37" s="7" t="s">
        <v>118</v>
      </c>
      <c r="E37" s="7"/>
      <c r="F37" s="7"/>
      <c r="G37" s="76"/>
      <c r="H37" s="76"/>
      <c r="I37" s="76"/>
      <c r="J37" s="76"/>
      <c r="K37" s="71"/>
      <c r="L37" s="71"/>
    </row>
    <row r="38" spans="1:12" s="4" customFormat="1" ht="15" customHeight="1">
      <c r="A38" s="71"/>
      <c r="B38" s="71"/>
      <c r="C38" s="71"/>
      <c r="D38" s="71"/>
      <c r="E38" s="88"/>
      <c r="F38" s="71"/>
      <c r="G38" s="76"/>
      <c r="H38" s="76"/>
      <c r="I38" s="71"/>
      <c r="J38" s="71"/>
    </row>
    <row r="39" spans="1:12" s="61" customFormat="1" ht="26.25" customHeight="1">
      <c r="A39" s="75" t="s">
        <v>119</v>
      </c>
      <c r="B39" s="71"/>
      <c r="C39" s="71"/>
      <c r="D39" s="76"/>
      <c r="G39" s="62"/>
    </row>
    <row r="40" spans="1:12" ht="26.25" customHeight="1">
      <c r="A40" s="21" t="s">
        <v>34</v>
      </c>
      <c r="B40" s="19" t="s">
        <v>120</v>
      </c>
      <c r="C40" s="22" t="s">
        <v>110</v>
      </c>
      <c r="D40" s="61"/>
      <c r="E40" s="61"/>
      <c r="F40" s="122"/>
      <c r="G40" s="61"/>
      <c r="H40" s="61"/>
    </row>
    <row r="41" spans="1:12" ht="15" customHeight="1">
      <c r="A41" s="43" t="s">
        <v>19</v>
      </c>
      <c r="B41" s="44" t="s">
        <v>29</v>
      </c>
      <c r="C41" s="87">
        <v>1</v>
      </c>
      <c r="D41" s="61"/>
      <c r="E41" s="61"/>
      <c r="F41" s="122"/>
      <c r="G41" s="61"/>
      <c r="H41" s="61"/>
    </row>
    <row r="42" spans="1:12" ht="15" customHeight="1">
      <c r="A42" s="45" t="s">
        <v>2</v>
      </c>
      <c r="B42" s="46" t="s">
        <v>1</v>
      </c>
      <c r="C42" s="87">
        <v>1</v>
      </c>
      <c r="D42" s="61"/>
      <c r="E42" s="61"/>
      <c r="F42" s="122"/>
      <c r="G42" s="61"/>
      <c r="H42" s="61"/>
    </row>
    <row r="43" spans="1:12" ht="15" customHeight="1">
      <c r="A43" s="43" t="s">
        <v>20</v>
      </c>
      <c r="B43" s="44" t="s">
        <v>21</v>
      </c>
      <c r="C43" s="87">
        <v>1</v>
      </c>
      <c r="D43" s="61"/>
      <c r="E43" s="61"/>
      <c r="F43" s="122"/>
      <c r="G43" s="61"/>
      <c r="H43" s="61"/>
    </row>
    <row r="44" spans="1:12" ht="15" customHeight="1">
      <c r="A44" s="45" t="s">
        <v>18</v>
      </c>
      <c r="B44" s="46" t="s">
        <v>12</v>
      </c>
      <c r="C44" s="87">
        <v>1</v>
      </c>
      <c r="D44" s="61"/>
      <c r="E44" s="61"/>
      <c r="F44" s="122"/>
      <c r="G44" s="61"/>
      <c r="H44" s="61"/>
    </row>
    <row r="45" spans="1:12" ht="15" customHeight="1">
      <c r="A45" s="43" t="s">
        <v>121</v>
      </c>
      <c r="B45" s="44" t="s">
        <v>122</v>
      </c>
      <c r="C45" s="87">
        <v>1</v>
      </c>
      <c r="D45" s="61"/>
      <c r="E45" s="61"/>
      <c r="F45" s="122"/>
      <c r="G45" s="61"/>
      <c r="H45" s="61"/>
    </row>
    <row r="46" spans="1:12" ht="15" customHeight="1">
      <c r="A46" s="45" t="s">
        <v>17</v>
      </c>
      <c r="B46" s="46" t="s">
        <v>14</v>
      </c>
      <c r="C46" s="87">
        <v>1</v>
      </c>
      <c r="D46" s="61"/>
      <c r="E46" s="61"/>
      <c r="F46" s="122"/>
      <c r="G46" s="61"/>
      <c r="H46" s="61"/>
    </row>
    <row r="47" spans="1:12" ht="15" customHeight="1">
      <c r="A47" s="43" t="s">
        <v>15</v>
      </c>
      <c r="B47" s="44" t="s">
        <v>13</v>
      </c>
      <c r="C47" s="87">
        <v>1</v>
      </c>
      <c r="D47" s="61"/>
      <c r="E47" s="61"/>
      <c r="F47" s="122"/>
      <c r="G47" s="61"/>
      <c r="H47" s="61"/>
    </row>
    <row r="48" spans="1:12" ht="15" customHeight="1">
      <c r="A48" s="45" t="s">
        <v>25</v>
      </c>
      <c r="B48" s="46" t="s">
        <v>28</v>
      </c>
      <c r="C48" s="87">
        <v>1</v>
      </c>
      <c r="D48" s="61"/>
      <c r="E48" s="61"/>
      <c r="F48" s="122"/>
      <c r="G48" s="61"/>
      <c r="H48" s="61"/>
    </row>
    <row r="49" spans="1:10" ht="15" customHeight="1">
      <c r="A49" s="43" t="s">
        <v>26</v>
      </c>
      <c r="B49" s="44" t="s">
        <v>27</v>
      </c>
      <c r="C49" s="87">
        <v>1</v>
      </c>
      <c r="D49" s="61"/>
      <c r="E49" s="61"/>
      <c r="F49" s="122"/>
      <c r="G49" s="61"/>
      <c r="H49" s="61"/>
    </row>
    <row r="50" spans="1:10" ht="15" customHeight="1">
      <c r="A50" s="45" t="s">
        <v>16</v>
      </c>
      <c r="B50" s="46" t="s">
        <v>0</v>
      </c>
      <c r="C50" s="87">
        <v>1</v>
      </c>
      <c r="D50" s="61"/>
      <c r="E50" s="61"/>
      <c r="F50" s="122"/>
      <c r="G50" s="61"/>
      <c r="H50" s="61"/>
    </row>
    <row r="51" spans="1:10" ht="15" customHeight="1">
      <c r="A51" s="89"/>
      <c r="B51" s="76"/>
      <c r="C51" s="76"/>
      <c r="D51" s="76"/>
      <c r="E51" s="61"/>
      <c r="F51" s="61"/>
      <c r="G51" s="62"/>
      <c r="H51" s="61"/>
      <c r="I51" s="61"/>
      <c r="J51" s="61"/>
    </row>
    <row r="52" spans="1:10" ht="15" customHeight="1">
      <c r="A52" s="123"/>
      <c r="B52" s="61"/>
      <c r="C52" s="61"/>
      <c r="D52" s="74"/>
      <c r="E52" s="61"/>
      <c r="F52" s="61"/>
      <c r="G52" s="62"/>
      <c r="H52" s="61"/>
      <c r="I52" s="61"/>
      <c r="J52" s="61"/>
    </row>
    <row r="53" spans="1:10" ht="15" customHeight="1">
      <c r="A53" s="123"/>
      <c r="B53" s="61"/>
      <c r="C53" s="61"/>
      <c r="D53" s="74"/>
      <c r="E53" s="61"/>
      <c r="F53" s="61"/>
      <c r="G53" s="62"/>
      <c r="H53" s="61"/>
      <c r="I53" s="61"/>
      <c r="J53" s="61"/>
    </row>
    <row r="54" spans="1:10" ht="15" customHeight="1">
      <c r="A54" s="123"/>
      <c r="B54" s="61"/>
      <c r="C54" s="61"/>
      <c r="D54" s="74"/>
      <c r="E54" s="61"/>
      <c r="F54" s="61"/>
      <c r="G54" s="62"/>
      <c r="H54" s="61"/>
      <c r="I54" s="61"/>
      <c r="J54" s="61"/>
    </row>
    <row r="55" spans="1:10" ht="15" customHeight="1">
      <c r="A55" s="123"/>
      <c r="B55" s="61"/>
      <c r="C55" s="61"/>
      <c r="D55" s="74"/>
      <c r="E55" s="61"/>
      <c r="F55" s="61"/>
      <c r="G55" s="62"/>
      <c r="H55" s="61"/>
      <c r="I55" s="61"/>
      <c r="J55" s="61"/>
    </row>
    <row r="56" spans="1:10" ht="15" customHeight="1">
      <c r="F56" s="61"/>
      <c r="G56" s="62"/>
      <c r="H56" s="61"/>
      <c r="I56" s="61"/>
      <c r="J56" s="61"/>
    </row>
    <row r="57" spans="1:10" ht="15" customHeight="1">
      <c r="F57" s="61"/>
      <c r="G57" s="62"/>
      <c r="H57" s="61"/>
      <c r="I57" s="61"/>
      <c r="J57" s="61"/>
    </row>
    <row r="58" spans="1:10" ht="15" customHeight="1">
      <c r="F58" s="61"/>
      <c r="G58" s="62"/>
      <c r="H58" s="61"/>
      <c r="I58" s="61"/>
      <c r="J58" s="61"/>
    </row>
    <row r="59" spans="1:10" ht="15" customHeight="1">
      <c r="F59" s="61"/>
      <c r="G59" s="62"/>
      <c r="H59" s="61"/>
      <c r="I59" s="61"/>
      <c r="J59" s="61"/>
    </row>
    <row r="60" spans="1:10" ht="15" customHeight="1">
      <c r="F60" s="61"/>
      <c r="G60" s="62"/>
      <c r="H60" s="61"/>
      <c r="I60" s="61"/>
      <c r="J60" s="61"/>
    </row>
    <row r="61" spans="1:10" ht="15" customHeight="1">
      <c r="F61" s="61"/>
      <c r="G61" s="62"/>
      <c r="H61" s="61"/>
      <c r="I61" s="61"/>
      <c r="J61" s="61"/>
    </row>
    <row r="62" spans="1:10" ht="15" customHeight="1">
      <c r="F62" s="61"/>
      <c r="G62" s="62"/>
      <c r="H62" s="61"/>
      <c r="I62" s="61"/>
      <c r="J62" s="61"/>
    </row>
    <row r="63" spans="1:10" ht="15" customHeight="1">
      <c r="F63" s="61"/>
      <c r="G63" s="62"/>
      <c r="H63" s="61"/>
      <c r="I63" s="61"/>
      <c r="J63" s="61"/>
    </row>
    <row r="64" spans="1:10" ht="15" customHeight="1">
      <c r="F64" s="61"/>
      <c r="G64" s="62"/>
      <c r="H64" s="61"/>
      <c r="I64" s="61"/>
      <c r="J64" s="61"/>
    </row>
    <row r="65" spans="6:10" ht="15" customHeight="1">
      <c r="F65" s="61"/>
      <c r="G65" s="62"/>
      <c r="H65" s="61"/>
      <c r="I65" s="61"/>
      <c r="J65" s="61"/>
    </row>
    <row r="66" spans="6:10" ht="15" customHeight="1">
      <c r="F66" s="61"/>
      <c r="G66" s="62"/>
      <c r="H66" s="61"/>
      <c r="I66" s="61"/>
      <c r="J66" s="61"/>
    </row>
    <row r="67" spans="6:10" ht="15" customHeight="1">
      <c r="F67" s="61"/>
      <c r="G67" s="62"/>
      <c r="H67" s="61"/>
      <c r="I67" s="61"/>
      <c r="J67" s="61"/>
    </row>
    <row r="68" spans="6:10" ht="15" customHeight="1">
      <c r="F68" s="61"/>
      <c r="G68" s="62"/>
      <c r="H68" s="61"/>
      <c r="I68" s="61"/>
      <c r="J68" s="61"/>
    </row>
    <row r="69" spans="6:10" ht="15" customHeight="1">
      <c r="F69" s="61"/>
      <c r="G69" s="62"/>
      <c r="H69" s="61"/>
      <c r="I69" s="61"/>
      <c r="J69" s="61"/>
    </row>
    <row r="70" spans="6:10" ht="15" customHeight="1">
      <c r="F70" s="61"/>
      <c r="G70" s="62"/>
      <c r="H70" s="61"/>
      <c r="I70" s="61"/>
      <c r="J70" s="61"/>
    </row>
    <row r="71" spans="6:10" ht="15" customHeight="1">
      <c r="F71" s="61"/>
      <c r="G71" s="62"/>
      <c r="H71" s="61"/>
      <c r="I71" s="61"/>
      <c r="J71" s="61"/>
    </row>
    <row r="72" spans="6:10" ht="15" customHeight="1">
      <c r="F72" s="61"/>
      <c r="G72" s="62"/>
      <c r="H72" s="61"/>
      <c r="I72" s="61"/>
      <c r="J72" s="61"/>
    </row>
    <row r="73" spans="6:10" ht="15" customHeight="1">
      <c r="F73" s="61"/>
      <c r="G73" s="62"/>
      <c r="H73" s="61"/>
      <c r="I73" s="61"/>
      <c r="J73" s="61"/>
    </row>
    <row r="74" spans="6:10" ht="15" customHeight="1">
      <c r="F74" s="61"/>
      <c r="G74" s="62"/>
      <c r="H74" s="61"/>
      <c r="I74" s="61"/>
      <c r="J74" s="61"/>
    </row>
    <row r="75" spans="6:10" ht="15" customHeight="1">
      <c r="F75" s="61"/>
      <c r="G75" s="62"/>
      <c r="H75" s="61"/>
      <c r="I75" s="61"/>
      <c r="J75" s="61"/>
    </row>
    <row r="76" spans="6:10" ht="15" customHeight="1">
      <c r="F76" s="61"/>
      <c r="G76" s="62"/>
      <c r="H76" s="61"/>
      <c r="I76" s="61"/>
      <c r="J76" s="61"/>
    </row>
    <row r="77" spans="6:10" ht="15" customHeight="1">
      <c r="F77" s="61"/>
      <c r="G77" s="62"/>
      <c r="H77" s="61"/>
      <c r="I77" s="61"/>
      <c r="J77" s="61"/>
    </row>
    <row r="78" spans="6:10" ht="15" customHeight="1">
      <c r="F78" s="61"/>
      <c r="G78" s="62"/>
      <c r="H78" s="61"/>
      <c r="I78" s="61"/>
      <c r="J78" s="61"/>
    </row>
    <row r="79" spans="6:10" ht="15" customHeight="1">
      <c r="F79" s="61"/>
      <c r="G79" s="62"/>
      <c r="H79" s="61"/>
      <c r="I79" s="61"/>
      <c r="J79" s="61"/>
    </row>
    <row r="80" spans="6:10" ht="15" customHeight="1">
      <c r="F80" s="61"/>
      <c r="G80" s="62"/>
      <c r="H80" s="61"/>
      <c r="I80" s="61"/>
      <c r="J80" s="61"/>
    </row>
    <row r="81" spans="6:10" ht="15" customHeight="1">
      <c r="F81" s="61"/>
      <c r="G81" s="62"/>
      <c r="H81" s="61"/>
      <c r="I81" s="61"/>
      <c r="J81" s="61"/>
    </row>
    <row r="82" spans="6:10" ht="15" customHeight="1">
      <c r="F82" s="61"/>
      <c r="G82" s="62"/>
      <c r="H82" s="61"/>
      <c r="I82" s="61"/>
      <c r="J82" s="61"/>
    </row>
    <row r="83" spans="6:10" ht="15" customHeight="1">
      <c r="F83" s="61"/>
      <c r="G83" s="62"/>
      <c r="H83" s="61"/>
      <c r="I83" s="61"/>
      <c r="J83" s="61"/>
    </row>
    <row r="84" spans="6:10" ht="15" customHeight="1">
      <c r="F84" s="61"/>
      <c r="G84" s="62"/>
      <c r="H84" s="61"/>
      <c r="I84" s="61"/>
      <c r="J84" s="61"/>
    </row>
    <row r="85" spans="6:10" ht="15" customHeight="1">
      <c r="F85" s="61"/>
      <c r="G85" s="62"/>
      <c r="H85" s="61"/>
      <c r="I85" s="61"/>
      <c r="J85" s="61"/>
    </row>
    <row r="86" spans="6:10" ht="15" customHeight="1">
      <c r="F86" s="61"/>
      <c r="G86" s="62"/>
      <c r="H86" s="61"/>
      <c r="I86" s="61"/>
      <c r="J86" s="61"/>
    </row>
    <row r="87" spans="6:10" ht="15" customHeight="1">
      <c r="F87" s="61"/>
      <c r="G87" s="62"/>
      <c r="H87" s="61"/>
      <c r="I87" s="61"/>
      <c r="J87" s="61"/>
    </row>
    <row r="88" spans="6:10" ht="15" customHeight="1">
      <c r="F88" s="61"/>
      <c r="G88" s="62"/>
      <c r="H88" s="61"/>
      <c r="I88" s="61"/>
      <c r="J88" s="61"/>
    </row>
    <row r="89" spans="6:10" ht="15" customHeight="1">
      <c r="F89" s="61"/>
      <c r="G89" s="62"/>
      <c r="H89" s="61"/>
      <c r="I89" s="61"/>
      <c r="J89" s="61"/>
    </row>
    <row r="90" spans="6:10" ht="15" customHeight="1">
      <c r="F90" s="61"/>
      <c r="G90" s="62"/>
      <c r="H90" s="61"/>
      <c r="I90" s="61"/>
      <c r="J90" s="61"/>
    </row>
    <row r="91" spans="6:10" ht="15" customHeight="1">
      <c r="F91" s="61"/>
      <c r="G91" s="62"/>
      <c r="H91" s="61"/>
      <c r="I91" s="61"/>
      <c r="J91" s="61"/>
    </row>
    <row r="92" spans="6:10" ht="15" customHeight="1">
      <c r="F92" s="61"/>
      <c r="G92" s="62"/>
      <c r="H92" s="61"/>
      <c r="I92" s="61"/>
      <c r="J92" s="61"/>
    </row>
    <row r="93" spans="6:10" ht="15" customHeight="1">
      <c r="F93" s="61"/>
      <c r="G93" s="62"/>
      <c r="H93" s="61"/>
      <c r="I93" s="61"/>
      <c r="J93" s="61"/>
    </row>
    <row r="94" spans="6:10" ht="15" customHeight="1">
      <c r="F94" s="61"/>
      <c r="G94" s="62"/>
      <c r="H94" s="61"/>
      <c r="I94" s="61"/>
      <c r="J94" s="61"/>
    </row>
    <row r="95" spans="6:10" ht="15" customHeight="1">
      <c r="F95" s="61"/>
      <c r="G95" s="62"/>
      <c r="H95" s="61"/>
      <c r="I95" s="61"/>
      <c r="J95" s="61"/>
    </row>
    <row r="96" spans="6:10" ht="15" customHeight="1">
      <c r="F96" s="61"/>
      <c r="G96" s="62"/>
      <c r="H96" s="61"/>
      <c r="I96" s="61"/>
      <c r="J96" s="61"/>
    </row>
    <row r="97" spans="6:10" ht="15" customHeight="1">
      <c r="F97" s="61"/>
      <c r="G97" s="62"/>
      <c r="H97" s="61"/>
      <c r="I97" s="61"/>
      <c r="J97" s="61"/>
    </row>
    <row r="98" spans="6:10" ht="15" customHeight="1">
      <c r="F98" s="61"/>
      <c r="G98" s="62"/>
      <c r="H98" s="61"/>
      <c r="I98" s="61"/>
      <c r="J98" s="61"/>
    </row>
    <row r="99" spans="6:10" ht="15" customHeight="1">
      <c r="F99" s="61"/>
      <c r="G99" s="62"/>
      <c r="H99" s="61"/>
      <c r="I99" s="61"/>
      <c r="J99" s="61"/>
    </row>
    <row r="100" spans="6:10" ht="15" customHeight="1">
      <c r="F100" s="61"/>
      <c r="G100" s="62"/>
      <c r="H100" s="61"/>
      <c r="I100" s="61"/>
      <c r="J100" s="61"/>
    </row>
    <row r="101" spans="6:10" ht="15" customHeight="1">
      <c r="F101" s="61"/>
      <c r="G101" s="62"/>
      <c r="H101" s="61"/>
      <c r="I101" s="61"/>
      <c r="J101" s="61"/>
    </row>
    <row r="102" spans="6:10" ht="15" customHeight="1">
      <c r="F102" s="61"/>
      <c r="G102" s="62"/>
      <c r="H102" s="61"/>
      <c r="I102" s="61"/>
      <c r="J102" s="61"/>
    </row>
    <row r="103" spans="6:10" ht="15" customHeight="1">
      <c r="F103" s="61"/>
      <c r="G103" s="62"/>
      <c r="H103" s="61"/>
      <c r="I103" s="61"/>
      <c r="J103" s="61"/>
    </row>
    <row r="104" spans="6:10" ht="15" customHeight="1">
      <c r="F104" s="61"/>
      <c r="G104" s="62"/>
      <c r="H104" s="61"/>
      <c r="I104" s="61"/>
      <c r="J104" s="61"/>
    </row>
    <row r="105" spans="6:10" ht="15" customHeight="1">
      <c r="F105" s="61"/>
      <c r="G105" s="62"/>
      <c r="H105" s="61"/>
      <c r="I105" s="61"/>
      <c r="J105" s="61"/>
    </row>
    <row r="106" spans="6:10" ht="15" customHeight="1">
      <c r="F106" s="61"/>
      <c r="G106" s="62"/>
      <c r="H106" s="61"/>
      <c r="I106" s="61"/>
      <c r="J106" s="61"/>
    </row>
    <row r="107" spans="6:10" ht="15" customHeight="1">
      <c r="F107" s="61"/>
      <c r="G107" s="62"/>
      <c r="H107" s="61"/>
      <c r="I107" s="61"/>
      <c r="J107" s="61"/>
    </row>
    <row r="108" spans="6:10" ht="15" customHeight="1">
      <c r="F108" s="61"/>
      <c r="G108" s="62"/>
      <c r="H108" s="61"/>
      <c r="I108" s="61"/>
      <c r="J108" s="61"/>
    </row>
    <row r="109" spans="6:10" ht="15" customHeight="1">
      <c r="F109" s="61"/>
      <c r="G109" s="62"/>
      <c r="H109" s="61"/>
      <c r="I109" s="61"/>
      <c r="J109" s="61"/>
    </row>
    <row r="110" spans="6:10" ht="15" customHeight="1">
      <c r="F110" s="61"/>
      <c r="G110" s="62"/>
      <c r="H110" s="61"/>
      <c r="I110" s="61"/>
      <c r="J110" s="61"/>
    </row>
    <row r="111" spans="6:10" ht="15" customHeight="1">
      <c r="F111" s="61"/>
      <c r="G111" s="62"/>
      <c r="H111" s="61"/>
      <c r="I111" s="61"/>
      <c r="J111" s="61"/>
    </row>
    <row r="112" spans="6:10" ht="15" customHeight="1">
      <c r="F112" s="61"/>
      <c r="G112" s="62"/>
      <c r="H112" s="61"/>
      <c r="I112" s="61"/>
      <c r="J112" s="61"/>
    </row>
    <row r="113" spans="6:10" ht="15" customHeight="1">
      <c r="F113" s="61"/>
      <c r="G113" s="62"/>
      <c r="H113" s="61"/>
      <c r="I113" s="61"/>
      <c r="J113" s="61"/>
    </row>
    <row r="114" spans="6:10" ht="15" customHeight="1">
      <c r="F114" s="61"/>
      <c r="G114" s="62"/>
      <c r="H114" s="61"/>
      <c r="I114" s="61"/>
      <c r="J114" s="61"/>
    </row>
    <row r="115" spans="6:10" ht="15" customHeight="1">
      <c r="F115" s="61"/>
      <c r="G115" s="62"/>
      <c r="H115" s="61"/>
      <c r="I115" s="61"/>
      <c r="J115" s="61"/>
    </row>
    <row r="116" spans="6:10" ht="15" customHeight="1">
      <c r="F116" s="61"/>
      <c r="G116" s="62"/>
      <c r="H116" s="61"/>
      <c r="I116" s="61"/>
      <c r="J116" s="61"/>
    </row>
    <row r="117" spans="6:10" ht="15" customHeight="1">
      <c r="F117" s="61"/>
      <c r="G117" s="62"/>
      <c r="H117" s="61"/>
      <c r="I117" s="61"/>
      <c r="J117" s="61"/>
    </row>
    <row r="118" spans="6:10" ht="15" customHeight="1">
      <c r="F118" s="61"/>
      <c r="G118" s="62"/>
      <c r="H118" s="61"/>
      <c r="I118" s="61"/>
      <c r="J118" s="61"/>
    </row>
    <row r="119" spans="6:10" ht="15" customHeight="1">
      <c r="F119" s="61"/>
      <c r="G119" s="62"/>
      <c r="H119" s="61"/>
      <c r="I119" s="61"/>
      <c r="J119" s="61"/>
    </row>
    <row r="120" spans="6:10" ht="15" customHeight="1">
      <c r="F120" s="61"/>
      <c r="G120" s="62"/>
      <c r="H120" s="61"/>
      <c r="I120" s="61"/>
      <c r="J120" s="61"/>
    </row>
    <row r="121" spans="6:10" ht="15" customHeight="1">
      <c r="F121" s="61"/>
      <c r="G121" s="62"/>
      <c r="H121" s="61"/>
      <c r="I121" s="61"/>
      <c r="J121" s="61"/>
    </row>
    <row r="122" spans="6:10" ht="15" customHeight="1">
      <c r="F122" s="61"/>
      <c r="G122" s="62"/>
      <c r="H122" s="61"/>
      <c r="I122" s="61"/>
      <c r="J122" s="61"/>
    </row>
    <row r="123" spans="6:10" ht="15" customHeight="1">
      <c r="F123" s="61"/>
      <c r="G123" s="62"/>
      <c r="H123" s="61"/>
      <c r="I123" s="61"/>
      <c r="J123" s="61"/>
    </row>
    <row r="124" spans="6:10" ht="15" customHeight="1">
      <c r="F124" s="61"/>
      <c r="G124" s="62"/>
      <c r="H124" s="61"/>
      <c r="I124" s="61"/>
      <c r="J124" s="61"/>
    </row>
    <row r="125" spans="6:10" ht="15" customHeight="1">
      <c r="F125" s="61"/>
      <c r="G125" s="62"/>
      <c r="H125" s="61"/>
      <c r="I125" s="61"/>
      <c r="J125" s="61"/>
    </row>
    <row r="126" spans="6:10" ht="15" customHeight="1">
      <c r="F126" s="61"/>
      <c r="G126" s="62"/>
      <c r="H126" s="61"/>
      <c r="I126" s="61"/>
      <c r="J126" s="61"/>
    </row>
    <row r="127" spans="6:10" ht="15" customHeight="1">
      <c r="F127" s="61"/>
      <c r="G127" s="62"/>
      <c r="H127" s="61"/>
      <c r="I127" s="61"/>
      <c r="J127" s="61"/>
    </row>
    <row r="128" spans="6:10" ht="15" customHeight="1">
      <c r="F128" s="61"/>
      <c r="G128" s="62"/>
      <c r="H128" s="61"/>
      <c r="I128" s="61"/>
      <c r="J128" s="61"/>
    </row>
    <row r="129" spans="6:10" ht="15" customHeight="1">
      <c r="F129" s="61"/>
      <c r="G129" s="62"/>
      <c r="H129" s="61"/>
      <c r="I129" s="61"/>
      <c r="J129" s="61"/>
    </row>
    <row r="130" spans="6:10" ht="15" customHeight="1">
      <c r="F130" s="61"/>
      <c r="G130" s="62"/>
      <c r="H130" s="61"/>
      <c r="I130" s="61"/>
      <c r="J130" s="61"/>
    </row>
    <row r="131" spans="6:10" ht="15" customHeight="1">
      <c r="F131" s="61"/>
      <c r="G131" s="62"/>
      <c r="H131" s="61"/>
      <c r="I131" s="61"/>
      <c r="J131" s="61"/>
    </row>
    <row r="132" spans="6:10" ht="15" customHeight="1">
      <c r="F132" s="61"/>
      <c r="G132" s="62"/>
      <c r="H132" s="61"/>
      <c r="I132" s="61"/>
      <c r="J132" s="61"/>
    </row>
    <row r="133" spans="6:10" ht="15" customHeight="1">
      <c r="F133" s="61"/>
      <c r="G133" s="62"/>
      <c r="H133" s="61"/>
      <c r="I133" s="61"/>
      <c r="J133" s="61"/>
    </row>
    <row r="134" spans="6:10" ht="15" customHeight="1">
      <c r="F134" s="61"/>
      <c r="G134" s="62"/>
      <c r="H134" s="61"/>
      <c r="I134" s="61"/>
      <c r="J134" s="61"/>
    </row>
    <row r="135" spans="6:10" ht="15" customHeight="1">
      <c r="F135" s="61"/>
      <c r="G135" s="62"/>
      <c r="H135" s="61"/>
      <c r="I135" s="61"/>
      <c r="J135" s="61"/>
    </row>
    <row r="136" spans="6:10" ht="15" customHeight="1">
      <c r="F136" s="61"/>
      <c r="G136" s="62"/>
      <c r="H136" s="61"/>
      <c r="I136" s="61"/>
      <c r="J136" s="61"/>
    </row>
    <row r="137" spans="6:10" ht="15" customHeight="1">
      <c r="F137" s="61"/>
      <c r="G137" s="62"/>
      <c r="H137" s="61"/>
      <c r="I137" s="61"/>
      <c r="J137" s="61"/>
    </row>
    <row r="138" spans="6:10" ht="15" customHeight="1">
      <c r="F138" s="61"/>
      <c r="G138" s="62"/>
      <c r="H138" s="61"/>
      <c r="I138" s="61"/>
      <c r="J138" s="61"/>
    </row>
    <row r="139" spans="6:10" ht="15" customHeight="1">
      <c r="F139" s="61"/>
      <c r="G139" s="62"/>
      <c r="H139" s="61"/>
      <c r="I139" s="61"/>
      <c r="J139" s="61"/>
    </row>
    <row r="140" spans="6:10" ht="15" customHeight="1">
      <c r="F140" s="61"/>
      <c r="G140" s="62"/>
      <c r="H140" s="61"/>
      <c r="I140" s="61"/>
      <c r="J140" s="61"/>
    </row>
    <row r="141" spans="6:10" ht="15" customHeight="1">
      <c r="F141" s="61"/>
      <c r="G141" s="62"/>
      <c r="H141" s="61"/>
      <c r="I141" s="61"/>
      <c r="J141" s="61"/>
    </row>
    <row r="142" spans="6:10" ht="15" customHeight="1">
      <c r="F142" s="61"/>
      <c r="G142" s="62"/>
      <c r="H142" s="61"/>
      <c r="I142" s="61"/>
      <c r="J142" s="61"/>
    </row>
    <row r="143" spans="6:10" ht="15" customHeight="1">
      <c r="F143" s="61"/>
      <c r="G143" s="62"/>
      <c r="H143" s="61"/>
      <c r="I143" s="61"/>
      <c r="J143" s="61"/>
    </row>
    <row r="144" spans="6:10" ht="15" customHeight="1">
      <c r="F144" s="61"/>
      <c r="G144" s="62"/>
      <c r="H144" s="61"/>
      <c r="I144" s="61"/>
      <c r="J144" s="61"/>
    </row>
    <row r="145" spans="6:10" ht="15" customHeight="1">
      <c r="F145" s="61"/>
      <c r="G145" s="62"/>
      <c r="H145" s="61"/>
      <c r="I145" s="61"/>
      <c r="J145" s="61"/>
    </row>
    <row r="146" spans="6:10" ht="15" customHeight="1">
      <c r="F146" s="61"/>
      <c r="G146" s="62"/>
      <c r="H146" s="61"/>
      <c r="I146" s="61"/>
      <c r="J146" s="61"/>
    </row>
    <row r="147" spans="6:10" ht="15" customHeight="1">
      <c r="F147" s="61"/>
      <c r="G147" s="62"/>
      <c r="H147" s="61"/>
      <c r="I147" s="61"/>
      <c r="J147" s="61"/>
    </row>
    <row r="148" spans="6:10" ht="15" customHeight="1">
      <c r="F148" s="61"/>
      <c r="G148" s="62"/>
      <c r="H148" s="61"/>
      <c r="I148" s="61"/>
      <c r="J148" s="61"/>
    </row>
    <row r="149" spans="6:10" ht="15" customHeight="1">
      <c r="F149" s="61"/>
      <c r="G149" s="62"/>
      <c r="H149" s="61"/>
      <c r="I149" s="61"/>
      <c r="J149" s="61"/>
    </row>
    <row r="150" spans="6:10" ht="15" customHeight="1">
      <c r="F150" s="61"/>
      <c r="G150" s="62"/>
      <c r="H150" s="61"/>
      <c r="I150" s="61"/>
      <c r="J150" s="61"/>
    </row>
    <row r="151" spans="6:10" ht="15" customHeight="1">
      <c r="F151" s="61"/>
      <c r="G151" s="62"/>
      <c r="H151" s="61"/>
      <c r="I151" s="61"/>
      <c r="J151" s="61"/>
    </row>
    <row r="152" spans="6:10" ht="15" customHeight="1">
      <c r="F152" s="61"/>
      <c r="G152" s="62"/>
      <c r="H152" s="61"/>
      <c r="I152" s="61"/>
      <c r="J152" s="61"/>
    </row>
    <row r="153" spans="6:10" ht="15" customHeight="1">
      <c r="F153" s="61"/>
      <c r="G153" s="62"/>
      <c r="H153" s="61"/>
      <c r="I153" s="61"/>
      <c r="J153" s="6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AH134"/>
  <sheetViews>
    <sheetView view="pageBreakPreview" zoomScale="90" zoomScaleNormal="40" zoomScaleSheetLayoutView="90" workbookViewId="0">
      <pane ySplit="4" topLeftCell="A107" activePane="bottomLeft" state="frozen"/>
      <selection pane="bottomLeft" activeCell="AF16" sqref="AF16"/>
    </sheetView>
  </sheetViews>
  <sheetFormatPr defaultColWidth="10.28515625" defaultRowHeight="15" customHeight="1"/>
  <cols>
    <col min="1" max="1" width="6.140625" style="4" customWidth="1"/>
    <col min="2" max="2" width="19.5703125" style="4" bestFit="1" customWidth="1"/>
    <col min="3" max="3" width="12.7109375" style="4" bestFit="1" customWidth="1"/>
    <col min="4" max="4" width="12" style="4" customWidth="1"/>
    <col min="5" max="5" width="11.7109375" style="4" bestFit="1" customWidth="1"/>
    <col min="6" max="6" width="11.28515625" style="4" customWidth="1"/>
    <col min="7" max="7" width="7.28515625" style="4" customWidth="1"/>
    <col min="8" max="8" width="15.28515625" style="4" bestFit="1" customWidth="1"/>
    <col min="9" max="9" width="11.42578125" style="24" customWidth="1"/>
    <col min="10" max="10" width="28.85546875" style="66" bestFit="1" customWidth="1"/>
    <col min="11" max="11" width="9.28515625" style="24" customWidth="1"/>
    <col min="12" max="12" width="23.140625" style="66" bestFit="1" customWidth="1"/>
    <col min="13" max="13" width="9.28515625" style="24" customWidth="1"/>
    <col min="14" max="14" width="15.42578125" style="102" bestFit="1" customWidth="1"/>
    <col min="15" max="15" width="14.5703125" style="102" customWidth="1"/>
    <col min="16" max="16" width="14.5703125" style="103" customWidth="1"/>
    <col min="17" max="17" width="13.7109375" style="103" customWidth="1"/>
    <col min="18" max="18" width="17.42578125" style="4" bestFit="1" customWidth="1"/>
    <col min="19" max="19" width="12.85546875" style="4" customWidth="1"/>
    <col min="20" max="20" width="12.5703125" style="12" customWidth="1"/>
    <col min="21" max="21" width="16.42578125" style="12" customWidth="1"/>
    <col min="22" max="22" width="16.42578125" style="105" customWidth="1"/>
    <col min="23" max="23" width="18" style="106" customWidth="1"/>
    <col min="24" max="24" width="16.42578125" style="104" customWidth="1"/>
    <col min="25" max="25" width="16.42578125" style="12" customWidth="1"/>
    <col min="26" max="26" width="16.42578125" style="105" customWidth="1"/>
    <col min="27" max="27" width="16.42578125" style="106" customWidth="1"/>
    <col min="28" max="28" width="16.42578125" style="104" customWidth="1"/>
    <col min="29" max="30" width="16.42578125" style="4" customWidth="1"/>
    <col min="31" max="32" width="16.42578125" style="107" customWidth="1"/>
    <col min="33" max="33" width="16.42578125" style="108" customWidth="1"/>
    <col min="34" max="34" width="16.42578125" style="71" customWidth="1"/>
    <col min="35" max="16384" width="10.28515625" style="4"/>
  </cols>
  <sheetData>
    <row r="1" spans="1:34" ht="15" customHeight="1">
      <c r="A1" s="297" t="s">
        <v>168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 t="s">
        <v>168</v>
      </c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</row>
    <row r="2" spans="1:34" ht="15" customHeight="1">
      <c r="A2" s="71"/>
      <c r="B2" s="71"/>
      <c r="C2" s="71"/>
      <c r="D2" s="71"/>
      <c r="E2" s="71"/>
      <c r="F2" s="71"/>
      <c r="G2" s="71"/>
      <c r="H2" s="71"/>
      <c r="I2" s="76"/>
      <c r="J2" s="120"/>
      <c r="K2" s="76"/>
      <c r="L2" s="120"/>
      <c r="M2" s="76"/>
      <c r="N2" s="90"/>
      <c r="O2" s="90"/>
      <c r="P2" s="91"/>
      <c r="Q2" s="9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4" s="71" customFormat="1" ht="15" customHeight="1">
      <c r="I3" s="76"/>
      <c r="J3" s="120"/>
      <c r="K3" s="76"/>
      <c r="L3" s="120"/>
      <c r="M3" s="76"/>
      <c r="N3" s="90"/>
      <c r="O3" s="90"/>
      <c r="P3" s="91"/>
      <c r="Q3" s="91"/>
      <c r="T3" s="309" t="s">
        <v>253</v>
      </c>
      <c r="U3" s="310"/>
      <c r="V3" s="310"/>
      <c r="W3" s="310"/>
      <c r="X3" s="310"/>
      <c r="Y3" s="311"/>
      <c r="Z3" s="312" t="s">
        <v>254</v>
      </c>
      <c r="AA3" s="313"/>
      <c r="AB3" s="313"/>
      <c r="AC3" s="313"/>
      <c r="AD3" s="313"/>
      <c r="AE3" s="314"/>
      <c r="AF3" s="315" t="s">
        <v>255</v>
      </c>
      <c r="AG3" s="316"/>
      <c r="AH3" s="317"/>
    </row>
    <row r="4" spans="1:34" s="19" customFormat="1" ht="26.25" customHeight="1">
      <c r="A4" s="119" t="s">
        <v>34</v>
      </c>
      <c r="B4" s="22" t="s">
        <v>150</v>
      </c>
      <c r="C4" s="22" t="s">
        <v>69</v>
      </c>
      <c r="D4" s="22" t="s">
        <v>68</v>
      </c>
      <c r="E4" s="22" t="s">
        <v>30</v>
      </c>
      <c r="F4" s="22" t="s">
        <v>31</v>
      </c>
      <c r="G4" s="22" t="s">
        <v>124</v>
      </c>
      <c r="H4" s="22" t="s">
        <v>685</v>
      </c>
      <c r="I4" s="22" t="s">
        <v>125</v>
      </c>
      <c r="J4" s="67" t="s">
        <v>108</v>
      </c>
      <c r="K4" s="22" t="s">
        <v>23</v>
      </c>
      <c r="L4" s="67" t="s">
        <v>126</v>
      </c>
      <c r="M4" s="22" t="s">
        <v>127</v>
      </c>
      <c r="N4" s="22" t="s">
        <v>40</v>
      </c>
      <c r="O4" s="22" t="s">
        <v>32</v>
      </c>
      <c r="P4" s="22" t="s">
        <v>138</v>
      </c>
      <c r="Q4" s="22" t="s">
        <v>72</v>
      </c>
      <c r="R4" s="22" t="s">
        <v>139</v>
      </c>
      <c r="S4" s="22" t="s">
        <v>130</v>
      </c>
      <c r="T4" s="22" t="s">
        <v>128</v>
      </c>
      <c r="U4" s="22" t="s">
        <v>142</v>
      </c>
      <c r="V4" s="22" t="s">
        <v>143</v>
      </c>
      <c r="W4" s="22" t="s">
        <v>144</v>
      </c>
      <c r="X4" s="22" t="s">
        <v>140</v>
      </c>
      <c r="Y4" s="22" t="s">
        <v>141</v>
      </c>
      <c r="Z4" s="22" t="s">
        <v>129</v>
      </c>
      <c r="AA4" s="22" t="s">
        <v>149</v>
      </c>
      <c r="AB4" s="22" t="s">
        <v>145</v>
      </c>
      <c r="AC4" s="22" t="s">
        <v>146</v>
      </c>
      <c r="AD4" s="22" t="s">
        <v>147</v>
      </c>
      <c r="AE4" s="22" t="s">
        <v>148</v>
      </c>
      <c r="AF4" s="72" t="s">
        <v>132</v>
      </c>
      <c r="AG4" s="72" t="s">
        <v>37</v>
      </c>
      <c r="AH4" s="73" t="s">
        <v>36</v>
      </c>
    </row>
    <row r="5" spans="1:34" ht="15" customHeight="1">
      <c r="A5" s="118">
        <v>1</v>
      </c>
      <c r="B5" s="24" t="str">
        <f>VLOOKUP(Ruimtestaat[[#This Row],[Code]],Locaties[#All],2,FALSE)</f>
        <v>Rembrandt College</v>
      </c>
      <c r="C5" s="24" t="str">
        <f>VLOOKUP(Ruimtestaat[[#This Row],[Code]],Locaties[#All],4,FALSE)</f>
        <v>Rembrandtlaan 2</v>
      </c>
      <c r="D5" s="24" t="str">
        <f>VLOOKUP(Ruimtestaat[[#This Row],[Code]],Locaties[#All],5,FALSE)</f>
        <v>3904 ZK</v>
      </c>
      <c r="E5" s="24" t="str">
        <f>VLOOKUP(Ruimtestaat[[#This Row],[Code]],Locaties[#All],6,FALSE)</f>
        <v>Veenendaal</v>
      </c>
      <c r="F5" s="66"/>
      <c r="G5" s="24" t="s">
        <v>465</v>
      </c>
      <c r="H5" s="24" t="s">
        <v>483</v>
      </c>
      <c r="I5" s="24" t="s">
        <v>468</v>
      </c>
      <c r="J5" s="4" t="s">
        <v>581</v>
      </c>
      <c r="K5" s="24">
        <v>8</v>
      </c>
      <c r="L5" s="66" t="str">
        <f>VLOOKUP(K5,Ruimtegroepen[],2,FALSE)</f>
        <v>Receptie</v>
      </c>
      <c r="M5" s="24" t="s">
        <v>645</v>
      </c>
      <c r="N5" s="24" t="s">
        <v>384</v>
      </c>
      <c r="O5" s="92">
        <v>17.399999999999999</v>
      </c>
      <c r="P5" s="92"/>
      <c r="Q5" s="101" t="str">
        <f>LEFT(VLOOKUP(Ruimtestaat[[#This Row],[Ruimte code]],Ruimtegroepen[#All],4,1),2)</f>
        <v xml:space="preserve">B </v>
      </c>
      <c r="R5" s="92"/>
      <c r="S5" s="93">
        <v>42</v>
      </c>
      <c r="T5" s="93" t="s">
        <v>2</v>
      </c>
      <c r="U5" s="94">
        <f>IF(S5&gt;0,IF(RIGHT(Ruimtestaat[[#This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" s="94">
        <f>IF(U5&gt;0,VLOOKUP($K5,Ruimtegroepen[],3,FALSE)*VLOOKUP($M5,Vloersoorten[],3,FALSE)*VLOOKUP($T5,Frequenties[],3,FALSE)*VLOOKUP($A5,Locaties[],3,FALSE),0)</f>
        <v>0</v>
      </c>
      <c r="W5" s="95">
        <f>Ruimtestaat[[#This Row],[Uitvoeringen werkdagen]]*Ruimtestaat[[#This Row],[Oppervlak (netto)]]</f>
        <v>3653.9999999999995</v>
      </c>
      <c r="X5" s="96">
        <f>IF(V5&gt;0,Ruimtestaat[[#This Row],[Prest. (m2 /jaar) werkdagen]]/Ruimtestaat[[#This Row],[Norm (m2/uur) werkdagen]],0)</f>
        <v>0</v>
      </c>
      <c r="Y5" s="97">
        <f>Ruimtestaat[[#This Row],[uren / jaar werkdagen]]*Tariefsopbouw!$E$35</f>
        <v>0</v>
      </c>
      <c r="Z5" s="94"/>
      <c r="AA5" s="98">
        <f>IF(Ruimtestaat[[#This Row],[Frequentie weekend]]&gt;0,VALUE(LEFT(Z5,1))*S5,0)</f>
        <v>0</v>
      </c>
      <c r="AB5" s="94">
        <f>IF($AA5&gt;0,VLOOKUP($K5,Ruimtegroepen[],3,FALSE)*VLOOKUP($M5,Vloersoorten[],3,FALSE)*VLOOKUP($Z5,Frequenties[],3,FALSE)*VLOOKUP(#REF!,Locaties[],3,FALSE),0)</f>
        <v>0</v>
      </c>
      <c r="AC5" s="96">
        <f>Ruimtestaat[[#This Row],[Uitvoeringen weekend]]*Ruimtestaat[[#This Row],[Oppervlak (netto)]]</f>
        <v>0</v>
      </c>
      <c r="AD5" s="99">
        <f>IF(AC5&gt;0,Ruimtestaat[[#This Row],[Prest. (m2 /jaar) weekend]]/Ruimtestaat[[#This Row],[Norm (m2/uur) weekend]],0)</f>
        <v>0</v>
      </c>
      <c r="AE5" s="100">
        <f>Ruimtestaat[[#This Row],[uren / jaar weekend]]*Tariefsopbouw!$D$40</f>
        <v>0</v>
      </c>
      <c r="AF5" s="72">
        <f>Ruimtestaat[[#This Row],[Prest. (m2 /jaar) weekend]]+Ruimtestaat[[#This Row],[Prest. (m2 /jaar) werkdagen]]</f>
        <v>3653.9999999999995</v>
      </c>
      <c r="AG5" s="72">
        <f>Ruimtestaat[[#This Row],[uren / jaar weekend]]+Ruimtestaat[[#This Row],[uren / jaar werkdagen]]</f>
        <v>0</v>
      </c>
      <c r="AH5" s="73">
        <f>Ruimtestaat[[#This Row],[kosten / jaar weekend]]+Ruimtestaat[[#This Row],[kosten / jaar werkdagen]]</f>
        <v>0</v>
      </c>
    </row>
    <row r="6" spans="1:34" ht="15" customHeight="1">
      <c r="A6" s="118">
        <v>1</v>
      </c>
      <c r="B6" s="24" t="str">
        <f>VLOOKUP(Ruimtestaat[[#This Row],[Code]],Locaties[#All],2,FALSE)</f>
        <v>Rembrandt College</v>
      </c>
      <c r="C6" s="24" t="str">
        <f>VLOOKUP(Ruimtestaat[[#This Row],[Code]],Locaties[#All],4,FALSE)</f>
        <v>Rembrandtlaan 2</v>
      </c>
      <c r="D6" s="24" t="str">
        <f>VLOOKUP(Ruimtestaat[[#This Row],[Code]],Locaties[#All],5,FALSE)</f>
        <v>3904 ZK</v>
      </c>
      <c r="E6" s="24" t="str">
        <f>VLOOKUP(Ruimtestaat[[#This Row],[Code]],Locaties[#All],6,FALSE)</f>
        <v>Veenendaal</v>
      </c>
      <c r="F6" s="66"/>
      <c r="G6" s="24" t="s">
        <v>465</v>
      </c>
      <c r="H6" s="24" t="s">
        <v>487</v>
      </c>
      <c r="I6" s="24" t="s">
        <v>469</v>
      </c>
      <c r="J6" s="4" t="s">
        <v>582</v>
      </c>
      <c r="K6" s="24">
        <v>3</v>
      </c>
      <c r="L6" s="66" t="str">
        <f>VLOOKUP(K6,Ruimtegroepen[],2,FALSE)</f>
        <v>Reproruimte</v>
      </c>
      <c r="M6" s="24" t="s">
        <v>645</v>
      </c>
      <c r="N6" s="24" t="s">
        <v>384</v>
      </c>
      <c r="O6" s="92">
        <v>31.5</v>
      </c>
      <c r="P6" s="92"/>
      <c r="Q6" s="101" t="str">
        <f>LEFT(VLOOKUP(Ruimtestaat[[#This Row],[Ruimte code]],Ruimtegroepen[#All],4,1),2)</f>
        <v xml:space="preserve">V </v>
      </c>
      <c r="R6" s="92"/>
      <c r="S6" s="93">
        <v>42</v>
      </c>
      <c r="T6" s="93" t="s">
        <v>2</v>
      </c>
      <c r="U6" s="94">
        <f>IF(S6&gt;0,IF(RIGHT(Ruimtestaat[[#This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6" s="94">
        <f>IF(U6&gt;0,VLOOKUP($K6,Ruimtegroepen[],3,FALSE)*VLOOKUP($M6,Vloersoorten[],3,FALSE)*VLOOKUP($T6,Frequenties[],3,FALSE)*VLOOKUP($A6,Locaties[],3,FALSE),0)</f>
        <v>0</v>
      </c>
      <c r="W6" s="95">
        <f>Ruimtestaat[[#This Row],[Uitvoeringen werkdagen]]*Ruimtestaat[[#This Row],[Oppervlak (netto)]]</f>
        <v>6615</v>
      </c>
      <c r="X6" s="96">
        <f>IF(V6&gt;0,Ruimtestaat[[#This Row],[Prest. (m2 /jaar) werkdagen]]/Ruimtestaat[[#This Row],[Norm (m2/uur) werkdagen]],0)</f>
        <v>0</v>
      </c>
      <c r="Y6" s="97">
        <f>Ruimtestaat[[#This Row],[uren / jaar werkdagen]]*Tariefsopbouw!$E$35</f>
        <v>0</v>
      </c>
      <c r="Z6" s="94"/>
      <c r="AA6" s="98">
        <f>IF(Ruimtestaat[[#This Row],[Frequentie weekend]]&gt;0,VALUE(LEFT(Z6,1))*S6,0)</f>
        <v>0</v>
      </c>
      <c r="AB6" s="94">
        <f>IF($AA6&gt;0,VLOOKUP($K6,Ruimtegroepen[],3,FALSE)*VLOOKUP($M6,Vloersoorten[],3,FALSE)*VLOOKUP($Z6,Frequenties[],3,FALSE)*VLOOKUP($A1,Locaties[],3,FALSE),0)</f>
        <v>0</v>
      </c>
      <c r="AC6" s="96">
        <f>Ruimtestaat[[#This Row],[Uitvoeringen weekend]]*Ruimtestaat[[#This Row],[Oppervlak (netto)]]</f>
        <v>0</v>
      </c>
      <c r="AD6" s="99">
        <f>IF(AC6&gt;0,Ruimtestaat[[#This Row],[Prest. (m2 /jaar) weekend]]/Ruimtestaat[[#This Row],[Norm (m2/uur) weekend]],0)</f>
        <v>0</v>
      </c>
      <c r="AE6" s="100">
        <f>Ruimtestaat[[#This Row],[uren / jaar weekend]]*Tariefsopbouw!$D$40</f>
        <v>0</v>
      </c>
      <c r="AF6" s="72">
        <f>Ruimtestaat[[#This Row],[Prest. (m2 /jaar) weekend]]+Ruimtestaat[[#This Row],[Prest. (m2 /jaar) werkdagen]]</f>
        <v>6615</v>
      </c>
      <c r="AG6" s="72">
        <f>Ruimtestaat[[#This Row],[uren / jaar weekend]]+Ruimtestaat[[#This Row],[uren / jaar werkdagen]]</f>
        <v>0</v>
      </c>
      <c r="AH6" s="73">
        <f>Ruimtestaat[[#This Row],[kosten / jaar weekend]]+Ruimtestaat[[#This Row],[kosten / jaar werkdagen]]</f>
        <v>0</v>
      </c>
    </row>
    <row r="7" spans="1:34" ht="15" customHeight="1">
      <c r="A7" s="118">
        <v>1</v>
      </c>
      <c r="B7" s="24" t="str">
        <f>VLOOKUP(Ruimtestaat[[#This Row],[Code]],Locaties[#All],2,FALSE)</f>
        <v>Rembrandt College</v>
      </c>
      <c r="C7" s="24" t="str">
        <f>VLOOKUP(Ruimtestaat[[#This Row],[Code]],Locaties[#All],4,FALSE)</f>
        <v>Rembrandtlaan 2</v>
      </c>
      <c r="D7" s="24" t="str">
        <f>VLOOKUP(Ruimtestaat[[#This Row],[Code]],Locaties[#All],5,FALSE)</f>
        <v>3904 ZK</v>
      </c>
      <c r="E7" s="24" t="str">
        <f>VLOOKUP(Ruimtestaat[[#This Row],[Code]],Locaties[#All],6,FALSE)</f>
        <v>Veenendaal</v>
      </c>
      <c r="F7" s="66"/>
      <c r="G7" s="24" t="s">
        <v>465</v>
      </c>
      <c r="H7" s="24"/>
      <c r="I7" s="24" t="s">
        <v>470</v>
      </c>
      <c r="J7" s="4" t="s">
        <v>583</v>
      </c>
      <c r="K7" s="24">
        <v>15</v>
      </c>
      <c r="L7" s="66" t="str">
        <f>VLOOKUP(K7,Ruimtegroepen[],2,FALSE)</f>
        <v>Keuken/pantry</v>
      </c>
      <c r="M7" s="24" t="s">
        <v>645</v>
      </c>
      <c r="N7" s="24" t="s">
        <v>384</v>
      </c>
      <c r="O7" s="92">
        <v>11.2</v>
      </c>
      <c r="P7" s="92"/>
      <c r="Q7" s="101" t="str">
        <f>LEFT(VLOOKUP(Ruimtestaat[[#This Row],[Ruimte code]],Ruimtegroepen[#All],4,1),2)</f>
        <v xml:space="preserve">V </v>
      </c>
      <c r="R7" s="92"/>
      <c r="S7" s="93">
        <v>42</v>
      </c>
      <c r="T7" s="93" t="s">
        <v>2</v>
      </c>
      <c r="U7" s="94">
        <f>IF(S7&gt;0,IF(RIGHT(Ruimtestaat[[#This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7" s="94">
        <f>IF(U7&gt;0,VLOOKUP($K7,Ruimtegroepen[],3,FALSE)*VLOOKUP($M7,Vloersoorten[],3,FALSE)*VLOOKUP($T7,Frequenties[],3,FALSE)*VLOOKUP($A7,Locaties[],3,FALSE),0)</f>
        <v>0</v>
      </c>
      <c r="W7" s="95">
        <f>Ruimtestaat[[#This Row],[Uitvoeringen werkdagen]]*Ruimtestaat[[#This Row],[Oppervlak (netto)]]</f>
        <v>2352</v>
      </c>
      <c r="X7" s="96">
        <f>IF(V7&gt;0,Ruimtestaat[[#This Row],[Prest. (m2 /jaar) werkdagen]]/Ruimtestaat[[#This Row],[Norm (m2/uur) werkdagen]],0)</f>
        <v>0</v>
      </c>
      <c r="Y7" s="97">
        <f>Ruimtestaat[[#This Row],[uren / jaar werkdagen]]*Tariefsopbouw!$E$35</f>
        <v>0</v>
      </c>
      <c r="Z7" s="94"/>
      <c r="AA7" s="98">
        <f>IF(Ruimtestaat[[#This Row],[Frequentie weekend]]&gt;0,VALUE(LEFT(Z7,1))*S7,0)</f>
        <v>0</v>
      </c>
      <c r="AB7" s="94">
        <f>IF($AA7&gt;0,VLOOKUP($K7,Ruimtegroepen[],3,FALSE)*VLOOKUP($M7,Vloersoorten[],3,FALSE)*VLOOKUP($Z7,Frequenties[],3,FALSE)*VLOOKUP($A2,Locaties[],3,FALSE),0)</f>
        <v>0</v>
      </c>
      <c r="AC7" s="96">
        <f>Ruimtestaat[[#This Row],[Uitvoeringen weekend]]*Ruimtestaat[[#This Row],[Oppervlak (netto)]]</f>
        <v>0</v>
      </c>
      <c r="AD7" s="99">
        <f>IF(AC7&gt;0,Ruimtestaat[[#This Row],[Prest. (m2 /jaar) weekend]]/Ruimtestaat[[#This Row],[Norm (m2/uur) weekend]],0)</f>
        <v>0</v>
      </c>
      <c r="AE7" s="100">
        <f>Ruimtestaat[[#This Row],[uren / jaar weekend]]*Tariefsopbouw!$D$40</f>
        <v>0</v>
      </c>
      <c r="AF7" s="72">
        <f>Ruimtestaat[[#This Row],[Prest. (m2 /jaar) weekend]]+Ruimtestaat[[#This Row],[Prest. (m2 /jaar) werkdagen]]</f>
        <v>2352</v>
      </c>
      <c r="AG7" s="72">
        <f>Ruimtestaat[[#This Row],[uren / jaar weekend]]+Ruimtestaat[[#This Row],[uren / jaar werkdagen]]</f>
        <v>0</v>
      </c>
      <c r="AH7" s="73">
        <f>Ruimtestaat[[#This Row],[kosten / jaar weekend]]+Ruimtestaat[[#This Row],[kosten / jaar werkdagen]]</f>
        <v>0</v>
      </c>
    </row>
    <row r="8" spans="1:34" ht="15" customHeight="1">
      <c r="A8" s="118">
        <v>1</v>
      </c>
      <c r="B8" s="24" t="str">
        <f>VLOOKUP(Ruimtestaat[[#This Row],[Code]],Locaties[#All],2,FALSE)</f>
        <v>Rembrandt College</v>
      </c>
      <c r="C8" s="24" t="str">
        <f>VLOOKUP(Ruimtestaat[[#This Row],[Code]],Locaties[#All],4,FALSE)</f>
        <v>Rembrandtlaan 2</v>
      </c>
      <c r="D8" s="24" t="str">
        <f>VLOOKUP(Ruimtestaat[[#This Row],[Code]],Locaties[#All],5,FALSE)</f>
        <v>3904 ZK</v>
      </c>
      <c r="E8" s="24" t="str">
        <f>VLOOKUP(Ruimtestaat[[#This Row],[Code]],Locaties[#All],6,FALSE)</f>
        <v>Veenendaal</v>
      </c>
      <c r="F8" s="66"/>
      <c r="G8" s="24" t="s">
        <v>465</v>
      </c>
      <c r="H8" s="24" t="s">
        <v>481</v>
      </c>
      <c r="I8" s="24" t="s">
        <v>471</v>
      </c>
      <c r="J8" s="4" t="s">
        <v>584</v>
      </c>
      <c r="K8" s="24">
        <v>2</v>
      </c>
      <c r="L8" s="66" t="str">
        <f>VLOOKUP(K8,Ruimtegroepen[],2,FALSE)</f>
        <v>Kantoren</v>
      </c>
      <c r="M8" s="24" t="s">
        <v>645</v>
      </c>
      <c r="N8" s="24" t="s">
        <v>384</v>
      </c>
      <c r="O8" s="92">
        <v>60</v>
      </c>
      <c r="P8" s="92"/>
      <c r="Q8" s="101" t="str">
        <f>LEFT(VLOOKUP(Ruimtestaat[[#This Row],[Ruimte code]],Ruimtegroepen[#All],4,1),2)</f>
        <v xml:space="preserve">B </v>
      </c>
      <c r="R8" s="92"/>
      <c r="S8" s="93">
        <v>42</v>
      </c>
      <c r="T8" s="93" t="s">
        <v>18</v>
      </c>
      <c r="U8" s="94">
        <f>IF(S8&gt;0,IF(RIGHT(Ruimtestaat[[#This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8" s="94">
        <f>IF(U8&gt;0,VLOOKUP($K8,Ruimtegroepen[],3,FALSE)*VLOOKUP($M8,Vloersoorten[],3,FALSE)*VLOOKUP($T8,Frequenties[],3,FALSE)*VLOOKUP($A8,Locaties[],3,FALSE),0)</f>
        <v>0</v>
      </c>
      <c r="W8" s="95">
        <f>Ruimtestaat[[#This Row],[Uitvoeringen werkdagen]]*Ruimtestaat[[#This Row],[Oppervlak (netto)]]</f>
        <v>7560</v>
      </c>
      <c r="X8" s="96">
        <f>IF(V8&gt;0,Ruimtestaat[[#This Row],[Prest. (m2 /jaar) werkdagen]]/Ruimtestaat[[#This Row],[Norm (m2/uur) werkdagen]],0)</f>
        <v>0</v>
      </c>
      <c r="Y8" s="97">
        <f>Ruimtestaat[[#This Row],[uren / jaar werkdagen]]*Tariefsopbouw!$E$35</f>
        <v>0</v>
      </c>
      <c r="Z8" s="94"/>
      <c r="AA8" s="98">
        <f>IF(Ruimtestaat[[#This Row],[Frequentie weekend]]&gt;0,VALUE(LEFT(Z8,1))*S8,0)</f>
        <v>0</v>
      </c>
      <c r="AB8" s="94">
        <f>IF($AA8&gt;0,VLOOKUP($K8,Ruimtegroepen[],3,FALSE)*VLOOKUP($M8,Vloersoorten[],3,FALSE)*VLOOKUP($Z8,Frequenties[],3,FALSE)*VLOOKUP($A3,Locaties[],3,FALSE),0)</f>
        <v>0</v>
      </c>
      <c r="AC8" s="96">
        <f>Ruimtestaat[[#This Row],[Uitvoeringen weekend]]*Ruimtestaat[[#This Row],[Oppervlak (netto)]]</f>
        <v>0</v>
      </c>
      <c r="AD8" s="99">
        <f>IF(AC8&gt;0,Ruimtestaat[[#This Row],[Prest. (m2 /jaar) weekend]]/Ruimtestaat[[#This Row],[Norm (m2/uur) weekend]],0)</f>
        <v>0</v>
      </c>
      <c r="AE8" s="100">
        <f>Ruimtestaat[[#This Row],[uren / jaar weekend]]*Tariefsopbouw!$D$40</f>
        <v>0</v>
      </c>
      <c r="AF8" s="72">
        <f>Ruimtestaat[[#This Row],[Prest. (m2 /jaar) weekend]]+Ruimtestaat[[#This Row],[Prest. (m2 /jaar) werkdagen]]</f>
        <v>7560</v>
      </c>
      <c r="AG8" s="72">
        <f>Ruimtestaat[[#This Row],[uren / jaar weekend]]+Ruimtestaat[[#This Row],[uren / jaar werkdagen]]</f>
        <v>0</v>
      </c>
      <c r="AH8" s="73">
        <f>Ruimtestaat[[#This Row],[kosten / jaar weekend]]+Ruimtestaat[[#This Row],[kosten / jaar werkdagen]]</f>
        <v>0</v>
      </c>
    </row>
    <row r="9" spans="1:34" ht="15" customHeight="1">
      <c r="A9" s="118">
        <v>1</v>
      </c>
      <c r="B9" s="24" t="str">
        <f>VLOOKUP(Ruimtestaat[[#This Row],[Code]],Locaties[#All],2,FALSE)</f>
        <v>Rembrandt College</v>
      </c>
      <c r="C9" s="24" t="str">
        <f>VLOOKUP(Ruimtestaat[[#This Row],[Code]],Locaties[#All],4,FALSE)</f>
        <v>Rembrandtlaan 2</v>
      </c>
      <c r="D9" s="24" t="str">
        <f>VLOOKUP(Ruimtestaat[[#This Row],[Code]],Locaties[#All],5,FALSE)</f>
        <v>3904 ZK</v>
      </c>
      <c r="E9" s="24" t="str">
        <f>VLOOKUP(Ruimtestaat[[#This Row],[Code]],Locaties[#All],6,FALSE)</f>
        <v>Veenendaal</v>
      </c>
      <c r="F9" s="66"/>
      <c r="G9" s="24" t="s">
        <v>465</v>
      </c>
      <c r="H9" s="24" t="s">
        <v>686</v>
      </c>
      <c r="I9" s="24" t="s">
        <v>472</v>
      </c>
      <c r="J9" s="4" t="s">
        <v>585</v>
      </c>
      <c r="K9" s="24">
        <v>2</v>
      </c>
      <c r="L9" s="66" t="str">
        <f>VLOOKUP(K9,Ruimtegroepen[],2,FALSE)</f>
        <v>Kantoren</v>
      </c>
      <c r="M9" s="24" t="s">
        <v>645</v>
      </c>
      <c r="N9" s="24" t="s">
        <v>384</v>
      </c>
      <c r="O9" s="92">
        <v>23.6</v>
      </c>
      <c r="P9" s="92"/>
      <c r="Q9" s="101" t="str">
        <f>LEFT(VLOOKUP(Ruimtestaat[[#This Row],[Ruimte code]],Ruimtegroepen[#All],4,1),2)</f>
        <v xml:space="preserve">B </v>
      </c>
      <c r="R9" s="92"/>
      <c r="S9" s="93">
        <v>42</v>
      </c>
      <c r="T9" s="93" t="s">
        <v>18</v>
      </c>
      <c r="U9" s="94">
        <f>IF(S9&gt;0,IF(RIGHT(Ruimtestaat[[#This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9" s="94">
        <f>IF(U9&gt;0,VLOOKUP($K9,Ruimtegroepen[],3,FALSE)*VLOOKUP($M9,Vloersoorten[],3,FALSE)*VLOOKUP($T9,Frequenties[],3,FALSE)*VLOOKUP($A9,Locaties[],3,FALSE),0)</f>
        <v>0</v>
      </c>
      <c r="W9" s="95">
        <f>Ruimtestaat[[#This Row],[Uitvoeringen werkdagen]]*Ruimtestaat[[#This Row],[Oppervlak (netto)]]</f>
        <v>2973.6000000000004</v>
      </c>
      <c r="X9" s="96">
        <f>IF(V9&gt;0,Ruimtestaat[[#This Row],[Prest. (m2 /jaar) werkdagen]]/Ruimtestaat[[#This Row],[Norm (m2/uur) werkdagen]],0)</f>
        <v>0</v>
      </c>
      <c r="Y9" s="97">
        <f>Ruimtestaat[[#This Row],[uren / jaar werkdagen]]*Tariefsopbouw!$E$35</f>
        <v>0</v>
      </c>
      <c r="Z9" s="94"/>
      <c r="AA9" s="98">
        <f>IF(Ruimtestaat[[#This Row],[Frequentie weekend]]&gt;0,VALUE(LEFT(Z9,1))*S9,0)</f>
        <v>0</v>
      </c>
      <c r="AB9" s="94">
        <f>IF($AA9&gt;0,VLOOKUP($K9,Ruimtegroepen[],3,FALSE)*VLOOKUP($M9,Vloersoorten[],3,FALSE)*VLOOKUP($Z9,Frequenties[],3,FALSE)*VLOOKUP($A4,Locaties[],3,FALSE),0)</f>
        <v>0</v>
      </c>
      <c r="AC9" s="96">
        <f>Ruimtestaat[[#This Row],[Uitvoeringen weekend]]*Ruimtestaat[[#This Row],[Oppervlak (netto)]]</f>
        <v>0</v>
      </c>
      <c r="AD9" s="99">
        <f>IF(AC9&gt;0,Ruimtestaat[[#This Row],[Prest. (m2 /jaar) weekend]]/Ruimtestaat[[#This Row],[Norm (m2/uur) weekend]],0)</f>
        <v>0</v>
      </c>
      <c r="AE9" s="100">
        <f>Ruimtestaat[[#This Row],[uren / jaar weekend]]*Tariefsopbouw!$D$40</f>
        <v>0</v>
      </c>
      <c r="AF9" s="72">
        <f>Ruimtestaat[[#This Row],[Prest. (m2 /jaar) weekend]]+Ruimtestaat[[#This Row],[Prest. (m2 /jaar) werkdagen]]</f>
        <v>2973.6000000000004</v>
      </c>
      <c r="AG9" s="72">
        <f>Ruimtestaat[[#This Row],[uren / jaar weekend]]+Ruimtestaat[[#This Row],[uren / jaar werkdagen]]</f>
        <v>0</v>
      </c>
      <c r="AH9" s="73">
        <f>Ruimtestaat[[#This Row],[kosten / jaar weekend]]+Ruimtestaat[[#This Row],[kosten / jaar werkdagen]]</f>
        <v>0</v>
      </c>
    </row>
    <row r="10" spans="1:34" ht="15" customHeight="1">
      <c r="A10" s="118">
        <v>1</v>
      </c>
      <c r="B10" s="24" t="str">
        <f>VLOOKUP(Ruimtestaat[[#This Row],[Code]],Locaties[#All],2,FALSE)</f>
        <v>Rembrandt College</v>
      </c>
      <c r="C10" s="24" t="str">
        <f>VLOOKUP(Ruimtestaat[[#This Row],[Code]],Locaties[#All],4,FALSE)</f>
        <v>Rembrandtlaan 2</v>
      </c>
      <c r="D10" s="24" t="str">
        <f>VLOOKUP(Ruimtestaat[[#This Row],[Code]],Locaties[#All],5,FALSE)</f>
        <v>3904 ZK</v>
      </c>
      <c r="E10" s="24" t="str">
        <f>VLOOKUP(Ruimtestaat[[#This Row],[Code]],Locaties[#All],6,FALSE)</f>
        <v>Veenendaal</v>
      </c>
      <c r="F10" s="66"/>
      <c r="G10" s="24" t="s">
        <v>465</v>
      </c>
      <c r="H10" s="24" t="s">
        <v>687</v>
      </c>
      <c r="I10" s="24" t="s">
        <v>473</v>
      </c>
      <c r="J10" s="4" t="s">
        <v>586</v>
      </c>
      <c r="K10" s="24">
        <v>2</v>
      </c>
      <c r="L10" s="66" t="str">
        <f>VLOOKUP(K10,Ruimtegroepen[],2,FALSE)</f>
        <v>Kantoren</v>
      </c>
      <c r="M10" s="24" t="s">
        <v>645</v>
      </c>
      <c r="N10" s="24" t="s">
        <v>384</v>
      </c>
      <c r="O10" s="92">
        <v>22.4</v>
      </c>
      <c r="P10" s="92"/>
      <c r="Q10" s="101" t="str">
        <f>LEFT(VLOOKUP(Ruimtestaat[[#This Row],[Ruimte code]],Ruimtegroepen[#All],4,1),2)</f>
        <v xml:space="preserve">B </v>
      </c>
      <c r="R10" s="92"/>
      <c r="S10" s="93">
        <v>42</v>
      </c>
      <c r="T10" s="93" t="s">
        <v>18</v>
      </c>
      <c r="U10" s="94">
        <f>IF(S10&gt;0,IF(RIGHT(Ruimtestaat[[#This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10" s="94">
        <f>IF(U10&gt;0,VLOOKUP($K10,Ruimtegroepen[],3,FALSE)*VLOOKUP($M10,Vloersoorten[],3,FALSE)*VLOOKUP($T10,Frequenties[],3,FALSE)*VLOOKUP($A10,Locaties[],3,FALSE),0)</f>
        <v>0</v>
      </c>
      <c r="W10" s="95">
        <f>Ruimtestaat[[#This Row],[Uitvoeringen werkdagen]]*Ruimtestaat[[#This Row],[Oppervlak (netto)]]</f>
        <v>2822.3999999999996</v>
      </c>
      <c r="X10" s="96">
        <f>IF(V10&gt;0,Ruimtestaat[[#This Row],[Prest. (m2 /jaar) werkdagen]]/Ruimtestaat[[#This Row],[Norm (m2/uur) werkdagen]],0)</f>
        <v>0</v>
      </c>
      <c r="Y10" s="97">
        <f>Ruimtestaat[[#This Row],[uren / jaar werkdagen]]*Tariefsopbouw!$E$35</f>
        <v>0</v>
      </c>
      <c r="Z10" s="94"/>
      <c r="AA10" s="98">
        <f>IF(Ruimtestaat[[#This Row],[Frequentie weekend]]&gt;0,VALUE(LEFT(Z10,1))*S10,0)</f>
        <v>0</v>
      </c>
      <c r="AB10" s="94">
        <f>IF($AA10&gt;0,VLOOKUP($K10,Ruimtegroepen[],3,FALSE)*VLOOKUP($M10,Vloersoorten[],3,FALSE)*VLOOKUP($Z10,Frequenties[],3,FALSE)*VLOOKUP($A6,Locaties[],3,FALSE),0)</f>
        <v>0</v>
      </c>
      <c r="AC10" s="96">
        <f>Ruimtestaat[[#This Row],[Uitvoeringen weekend]]*Ruimtestaat[[#This Row],[Oppervlak (netto)]]</f>
        <v>0</v>
      </c>
      <c r="AD10" s="99">
        <f>IF(AC10&gt;0,Ruimtestaat[[#This Row],[Prest. (m2 /jaar) weekend]]/Ruimtestaat[[#This Row],[Norm (m2/uur) weekend]],0)</f>
        <v>0</v>
      </c>
      <c r="AE10" s="100">
        <f>Ruimtestaat[[#This Row],[uren / jaar weekend]]*Tariefsopbouw!$D$40</f>
        <v>0</v>
      </c>
      <c r="AF10" s="72">
        <f>Ruimtestaat[[#This Row],[Prest. (m2 /jaar) weekend]]+Ruimtestaat[[#This Row],[Prest. (m2 /jaar) werkdagen]]</f>
        <v>2822.3999999999996</v>
      </c>
      <c r="AG10" s="72">
        <f>Ruimtestaat[[#This Row],[uren / jaar weekend]]+Ruimtestaat[[#This Row],[uren / jaar werkdagen]]</f>
        <v>0</v>
      </c>
      <c r="AH10" s="73">
        <f>Ruimtestaat[[#This Row],[kosten / jaar weekend]]+Ruimtestaat[[#This Row],[kosten / jaar werkdagen]]</f>
        <v>0</v>
      </c>
    </row>
    <row r="11" spans="1:34" ht="15" customHeight="1">
      <c r="A11" s="118">
        <v>1</v>
      </c>
      <c r="B11" s="24" t="str">
        <f>VLOOKUP(Ruimtestaat[[#This Row],[Code]],Locaties[#All],2,FALSE)</f>
        <v>Rembrandt College</v>
      </c>
      <c r="C11" s="24" t="str">
        <f>VLOOKUP(Ruimtestaat[[#This Row],[Code]],Locaties[#All],4,FALSE)</f>
        <v>Rembrandtlaan 2</v>
      </c>
      <c r="D11" s="24" t="str">
        <f>VLOOKUP(Ruimtestaat[[#This Row],[Code]],Locaties[#All],5,FALSE)</f>
        <v>3904 ZK</v>
      </c>
      <c r="E11" s="24" t="str">
        <f>VLOOKUP(Ruimtestaat[[#This Row],[Code]],Locaties[#All],6,FALSE)</f>
        <v>Veenendaal</v>
      </c>
      <c r="F11" s="66"/>
      <c r="G11" s="24" t="s">
        <v>465</v>
      </c>
      <c r="H11" s="24" t="s">
        <v>688</v>
      </c>
      <c r="I11" s="24" t="s">
        <v>474</v>
      </c>
      <c r="J11" s="4" t="s">
        <v>587</v>
      </c>
      <c r="K11" s="24">
        <v>2</v>
      </c>
      <c r="L11" s="66" t="str">
        <f>VLOOKUP(K11,Ruimtegroepen[],2,FALSE)</f>
        <v>Kantoren</v>
      </c>
      <c r="M11" s="24" t="s">
        <v>645</v>
      </c>
      <c r="N11" s="24" t="s">
        <v>384</v>
      </c>
      <c r="O11" s="92">
        <v>24.3</v>
      </c>
      <c r="P11" s="92"/>
      <c r="Q11" s="101" t="str">
        <f>LEFT(VLOOKUP(Ruimtestaat[[#This Row],[Ruimte code]],Ruimtegroepen[#All],4,1),2)</f>
        <v xml:space="preserve">B </v>
      </c>
      <c r="R11" s="92"/>
      <c r="S11" s="93">
        <v>42</v>
      </c>
      <c r="T11" s="93" t="s">
        <v>18</v>
      </c>
      <c r="U11" s="94">
        <f>IF(S11&gt;0,IF(RIGHT(Ruimtestaat[[#This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11" s="94">
        <f>IF(U11&gt;0,VLOOKUP($K11,Ruimtegroepen[],3,FALSE)*VLOOKUP($M11,Vloersoorten[],3,FALSE)*VLOOKUP($T11,Frequenties[],3,FALSE)*VLOOKUP($A11,Locaties[],3,FALSE),0)</f>
        <v>0</v>
      </c>
      <c r="W11" s="95">
        <f>Ruimtestaat[[#This Row],[Uitvoeringen werkdagen]]*Ruimtestaat[[#This Row],[Oppervlak (netto)]]</f>
        <v>3061.8</v>
      </c>
      <c r="X11" s="96">
        <f>IF(V11&gt;0,Ruimtestaat[[#This Row],[Prest. (m2 /jaar) werkdagen]]/Ruimtestaat[[#This Row],[Norm (m2/uur) werkdagen]],0)</f>
        <v>0</v>
      </c>
      <c r="Y11" s="97">
        <f>Ruimtestaat[[#This Row],[uren / jaar werkdagen]]*Tariefsopbouw!$E$35</f>
        <v>0</v>
      </c>
      <c r="Z11" s="94"/>
      <c r="AA11" s="98">
        <f>IF(Ruimtestaat[[#This Row],[Frequentie weekend]]&gt;0,VALUE(LEFT(Z11,1))*S11,0)</f>
        <v>0</v>
      </c>
      <c r="AB11" s="94">
        <f>IF($AA11&gt;0,VLOOKUP($K11,Ruimtegroepen[],3,FALSE)*VLOOKUP($M11,Vloersoorten[],3,FALSE)*VLOOKUP($Z11,Frequenties[],3,FALSE)*VLOOKUP($A7,Locaties[],3,FALSE),0)</f>
        <v>0</v>
      </c>
      <c r="AC11" s="96">
        <f>Ruimtestaat[[#This Row],[Uitvoeringen weekend]]*Ruimtestaat[[#This Row],[Oppervlak (netto)]]</f>
        <v>0</v>
      </c>
      <c r="AD11" s="99">
        <f>IF(AC11&gt;0,Ruimtestaat[[#This Row],[Prest. (m2 /jaar) weekend]]/Ruimtestaat[[#This Row],[Norm (m2/uur) weekend]],0)</f>
        <v>0</v>
      </c>
      <c r="AE11" s="100">
        <f>Ruimtestaat[[#This Row],[uren / jaar weekend]]*Tariefsopbouw!$D$40</f>
        <v>0</v>
      </c>
      <c r="AF11" s="72">
        <f>Ruimtestaat[[#This Row],[Prest. (m2 /jaar) weekend]]+Ruimtestaat[[#This Row],[Prest. (m2 /jaar) werkdagen]]</f>
        <v>3061.8</v>
      </c>
      <c r="AG11" s="72">
        <f>Ruimtestaat[[#This Row],[uren / jaar weekend]]+Ruimtestaat[[#This Row],[uren / jaar werkdagen]]</f>
        <v>0</v>
      </c>
      <c r="AH11" s="73">
        <f>Ruimtestaat[[#This Row],[kosten / jaar weekend]]+Ruimtestaat[[#This Row],[kosten / jaar werkdagen]]</f>
        <v>0</v>
      </c>
    </row>
    <row r="12" spans="1:34" ht="15" customHeight="1">
      <c r="A12" s="118">
        <v>1</v>
      </c>
      <c r="B12" s="24" t="str">
        <f>VLOOKUP(Ruimtestaat[[#This Row],[Code]],Locaties[#All],2,FALSE)</f>
        <v>Rembrandt College</v>
      </c>
      <c r="C12" s="24" t="str">
        <f>VLOOKUP(Ruimtestaat[[#This Row],[Code]],Locaties[#All],4,FALSE)</f>
        <v>Rembrandtlaan 2</v>
      </c>
      <c r="D12" s="24" t="str">
        <f>VLOOKUP(Ruimtestaat[[#This Row],[Code]],Locaties[#All],5,FALSE)</f>
        <v>3904 ZK</v>
      </c>
      <c r="E12" s="24" t="str">
        <f>VLOOKUP(Ruimtestaat[[#This Row],[Code]],Locaties[#All],6,FALSE)</f>
        <v>Veenendaal</v>
      </c>
      <c r="F12" s="66"/>
      <c r="G12" s="24" t="s">
        <v>465</v>
      </c>
      <c r="H12" s="24" t="s">
        <v>689</v>
      </c>
      <c r="I12" s="24" t="s">
        <v>475</v>
      </c>
      <c r="J12" s="4" t="s">
        <v>588</v>
      </c>
      <c r="K12" s="24">
        <v>4</v>
      </c>
      <c r="L12" s="66" t="str">
        <f>VLOOKUP(K12,Ruimtegroepen[],2,FALSE)</f>
        <v>Vergader/spreekkamers</v>
      </c>
      <c r="M12" s="24" t="s">
        <v>645</v>
      </c>
      <c r="N12" s="24" t="s">
        <v>384</v>
      </c>
      <c r="O12" s="92">
        <v>23.6</v>
      </c>
      <c r="P12" s="92"/>
      <c r="Q12" s="101" t="str">
        <f>LEFT(VLOOKUP(Ruimtestaat[[#This Row],[Ruimte code]],Ruimtegroepen[#All],4,1),2)</f>
        <v xml:space="preserve">B </v>
      </c>
      <c r="R12" s="92"/>
      <c r="S12" s="93">
        <v>40</v>
      </c>
      <c r="T12" s="93" t="s">
        <v>18</v>
      </c>
      <c r="U12" s="94">
        <f>IF(S12&gt;0,IF(RIGHT(Ruimtestaat[[#This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2" s="94">
        <f>IF(U12&gt;0,VLOOKUP($K12,Ruimtegroepen[],3,FALSE)*VLOOKUP($M12,Vloersoorten[],3,FALSE)*VLOOKUP($T12,Frequenties[],3,FALSE)*VLOOKUP($A12,Locaties[],3,FALSE),0)</f>
        <v>0</v>
      </c>
      <c r="W12" s="95">
        <f>Ruimtestaat[[#This Row],[Uitvoeringen werkdagen]]*Ruimtestaat[[#This Row],[Oppervlak (netto)]]</f>
        <v>2832</v>
      </c>
      <c r="X12" s="96">
        <f>IF(V12&gt;0,Ruimtestaat[[#This Row],[Prest. (m2 /jaar) werkdagen]]/Ruimtestaat[[#This Row],[Norm (m2/uur) werkdagen]],0)</f>
        <v>0</v>
      </c>
      <c r="Y12" s="97">
        <f>Ruimtestaat[[#This Row],[uren / jaar werkdagen]]*Tariefsopbouw!$E$35</f>
        <v>0</v>
      </c>
      <c r="Z12" s="94"/>
      <c r="AA12" s="98">
        <f>IF(Ruimtestaat[[#This Row],[Frequentie weekend]]&gt;0,VALUE(LEFT(Z12,1))*S12,0)</f>
        <v>0</v>
      </c>
      <c r="AB12" s="94">
        <f>IF($AA12&gt;0,VLOOKUP($K12,Ruimtegroepen[],3,FALSE)*VLOOKUP($M12,Vloersoorten[],3,FALSE)*VLOOKUP($Z12,Frequenties[],3,FALSE)*VLOOKUP($A8,Locaties[],3,FALSE),0)</f>
        <v>0</v>
      </c>
      <c r="AC12" s="96">
        <f>Ruimtestaat[[#This Row],[Uitvoeringen weekend]]*Ruimtestaat[[#This Row],[Oppervlak (netto)]]</f>
        <v>0</v>
      </c>
      <c r="AD12" s="99">
        <f>IF(AC12&gt;0,Ruimtestaat[[#This Row],[Prest. (m2 /jaar) weekend]]/Ruimtestaat[[#This Row],[Norm (m2/uur) weekend]],0)</f>
        <v>0</v>
      </c>
      <c r="AE12" s="100">
        <f>Ruimtestaat[[#This Row],[uren / jaar weekend]]*Tariefsopbouw!$D$40</f>
        <v>0</v>
      </c>
      <c r="AF12" s="72">
        <f>Ruimtestaat[[#This Row],[Prest. (m2 /jaar) weekend]]+Ruimtestaat[[#This Row],[Prest. (m2 /jaar) werkdagen]]</f>
        <v>2832</v>
      </c>
      <c r="AG12" s="72">
        <f>Ruimtestaat[[#This Row],[uren / jaar weekend]]+Ruimtestaat[[#This Row],[uren / jaar werkdagen]]</f>
        <v>0</v>
      </c>
      <c r="AH12" s="73">
        <f>Ruimtestaat[[#This Row],[kosten / jaar weekend]]+Ruimtestaat[[#This Row],[kosten / jaar werkdagen]]</f>
        <v>0</v>
      </c>
    </row>
    <row r="13" spans="1:34" ht="15" customHeight="1">
      <c r="A13" s="118">
        <v>1</v>
      </c>
      <c r="B13" s="24" t="str">
        <f>VLOOKUP(Ruimtestaat[[#This Row],[Code]],Locaties[#All],2,FALSE)</f>
        <v>Rembrandt College</v>
      </c>
      <c r="C13" s="24" t="str">
        <f>VLOOKUP(Ruimtestaat[[#This Row],[Code]],Locaties[#All],4,FALSE)</f>
        <v>Rembrandtlaan 2</v>
      </c>
      <c r="D13" s="24" t="str">
        <f>VLOOKUP(Ruimtestaat[[#This Row],[Code]],Locaties[#All],5,FALSE)</f>
        <v>3904 ZK</v>
      </c>
      <c r="E13" s="24" t="str">
        <f>VLOOKUP(Ruimtestaat[[#This Row],[Code]],Locaties[#All],6,FALSE)</f>
        <v>Veenendaal</v>
      </c>
      <c r="F13" s="66"/>
      <c r="G13" s="24" t="s">
        <v>465</v>
      </c>
      <c r="H13" s="24"/>
      <c r="I13" s="24" t="s">
        <v>476</v>
      </c>
      <c r="J13" s="4" t="s">
        <v>589</v>
      </c>
      <c r="K13" s="24">
        <v>5</v>
      </c>
      <c r="L13" s="66" t="str">
        <f>VLOOKUP(K13,Ruimtegroepen[],2,FALSE)</f>
        <v>Sanitair</v>
      </c>
      <c r="M13" s="24" t="s">
        <v>113</v>
      </c>
      <c r="N13" s="24" t="s">
        <v>647</v>
      </c>
      <c r="O13" s="92">
        <v>7</v>
      </c>
      <c r="P13" s="92"/>
      <c r="Q13" s="101" t="str">
        <f>LEFT(VLOOKUP(Ruimtestaat[[#This Row],[Ruimte code]],Ruimtegroepen[#All],4,1),2)</f>
        <v xml:space="preserve">S </v>
      </c>
      <c r="R13" s="92"/>
      <c r="S13" s="93">
        <v>50</v>
      </c>
      <c r="T13" s="93" t="s">
        <v>19</v>
      </c>
      <c r="U13" s="94">
        <f>IF(S13&gt;0,IF(RIGHT(Ruimtestaat[[#This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13" s="94">
        <f>IF(U13&gt;0,VLOOKUP($K13,Ruimtegroepen[],3,FALSE)*VLOOKUP($M13,Vloersoorten[],3,FALSE)*VLOOKUP($T13,Frequenties[],3,FALSE)*VLOOKUP($A13,Locaties[],3,FALSE),0)</f>
        <v>0</v>
      </c>
      <c r="W13" s="95">
        <f>Ruimtestaat[[#This Row],[Uitvoeringen werkdagen]]*Ruimtestaat[[#This Row],[Oppervlak (netto)]]</f>
        <v>3500</v>
      </c>
      <c r="X13" s="96">
        <f>IF(V13&gt;0,Ruimtestaat[[#This Row],[Prest. (m2 /jaar) werkdagen]]/Ruimtestaat[[#This Row],[Norm (m2/uur) werkdagen]],0)</f>
        <v>0</v>
      </c>
      <c r="Y13" s="97">
        <f>Ruimtestaat[[#This Row],[uren / jaar werkdagen]]*Tariefsopbouw!$E$35</f>
        <v>0</v>
      </c>
      <c r="Z13" s="94"/>
      <c r="AA13" s="98">
        <f>IF(Ruimtestaat[[#This Row],[Frequentie weekend]]&gt;0,VALUE(LEFT(Z13,1))*S13,0)</f>
        <v>0</v>
      </c>
      <c r="AB13" s="94">
        <f>IF($AA13&gt;0,VLOOKUP($K13,Ruimtegroepen[],3,FALSE)*VLOOKUP($M13,Vloersoorten[],3,FALSE)*VLOOKUP($Z13,Frequenties[],3,FALSE)*VLOOKUP($A9,Locaties[],3,FALSE),0)</f>
        <v>0</v>
      </c>
      <c r="AC13" s="96">
        <f>Ruimtestaat[[#This Row],[Uitvoeringen weekend]]*Ruimtestaat[[#This Row],[Oppervlak (netto)]]</f>
        <v>0</v>
      </c>
      <c r="AD13" s="99">
        <f>IF(AC13&gt;0,Ruimtestaat[[#This Row],[Prest. (m2 /jaar) weekend]]/Ruimtestaat[[#This Row],[Norm (m2/uur) weekend]],0)</f>
        <v>0</v>
      </c>
      <c r="AE13" s="100">
        <f>Ruimtestaat[[#This Row],[uren / jaar weekend]]*Tariefsopbouw!$D$40</f>
        <v>0</v>
      </c>
      <c r="AF13" s="72">
        <f>Ruimtestaat[[#This Row],[Prest. (m2 /jaar) weekend]]+Ruimtestaat[[#This Row],[Prest. (m2 /jaar) werkdagen]]</f>
        <v>3500</v>
      </c>
      <c r="AG13" s="72">
        <f>Ruimtestaat[[#This Row],[uren / jaar weekend]]+Ruimtestaat[[#This Row],[uren / jaar werkdagen]]</f>
        <v>0</v>
      </c>
      <c r="AH13" s="73">
        <f>Ruimtestaat[[#This Row],[kosten / jaar weekend]]+Ruimtestaat[[#This Row],[kosten / jaar werkdagen]]</f>
        <v>0</v>
      </c>
    </row>
    <row r="14" spans="1:34" ht="15" customHeight="1">
      <c r="A14" s="118">
        <v>1</v>
      </c>
      <c r="B14" s="24" t="str">
        <f>VLOOKUP(Ruimtestaat[[#This Row],[Code]],Locaties[#All],2,FALSE)</f>
        <v>Rembrandt College</v>
      </c>
      <c r="C14" s="24" t="str">
        <f>VLOOKUP(Ruimtestaat[[#This Row],[Code]],Locaties[#All],4,FALSE)</f>
        <v>Rembrandtlaan 2</v>
      </c>
      <c r="D14" s="24" t="str">
        <f>VLOOKUP(Ruimtestaat[[#This Row],[Code]],Locaties[#All],5,FALSE)</f>
        <v>3904 ZK</v>
      </c>
      <c r="E14" s="24" t="str">
        <f>VLOOKUP(Ruimtestaat[[#This Row],[Code]],Locaties[#All],6,FALSE)</f>
        <v>Veenendaal</v>
      </c>
      <c r="F14" s="66"/>
      <c r="G14" s="24" t="s">
        <v>465</v>
      </c>
      <c r="H14" s="24"/>
      <c r="I14" s="24" t="s">
        <v>477</v>
      </c>
      <c r="J14" s="4" t="s">
        <v>589</v>
      </c>
      <c r="K14" s="24">
        <v>5</v>
      </c>
      <c r="L14" s="66" t="str">
        <f>VLOOKUP(K14,Ruimtegroepen[],2,FALSE)</f>
        <v>Sanitair</v>
      </c>
      <c r="M14" s="24" t="s">
        <v>113</v>
      </c>
      <c r="N14" s="24" t="s">
        <v>647</v>
      </c>
      <c r="O14" s="92">
        <v>7</v>
      </c>
      <c r="P14" s="92"/>
      <c r="Q14" s="101" t="str">
        <f>LEFT(VLOOKUP(Ruimtestaat[[#This Row],[Ruimte code]],Ruimtegroepen[#All],4,1),2)</f>
        <v xml:space="preserve">S </v>
      </c>
      <c r="R14" s="92"/>
      <c r="S14" s="93">
        <v>50</v>
      </c>
      <c r="T14" s="93" t="s">
        <v>19</v>
      </c>
      <c r="U14" s="94">
        <f>IF(S14&gt;0,IF(RIGHT(Ruimtestaat[[#This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14" s="94">
        <f>IF(U14&gt;0,VLOOKUP($K14,Ruimtegroepen[],3,FALSE)*VLOOKUP($M14,Vloersoorten[],3,FALSE)*VLOOKUP($T14,Frequenties[],3,FALSE)*VLOOKUP($A14,Locaties[],3,FALSE),0)</f>
        <v>0</v>
      </c>
      <c r="W14" s="95">
        <f>Ruimtestaat[[#This Row],[Uitvoeringen werkdagen]]*Ruimtestaat[[#This Row],[Oppervlak (netto)]]</f>
        <v>3500</v>
      </c>
      <c r="X14" s="96">
        <f>IF(V14&gt;0,Ruimtestaat[[#This Row],[Prest. (m2 /jaar) werkdagen]]/Ruimtestaat[[#This Row],[Norm (m2/uur) werkdagen]],0)</f>
        <v>0</v>
      </c>
      <c r="Y14" s="97">
        <f>Ruimtestaat[[#This Row],[uren / jaar werkdagen]]*Tariefsopbouw!$E$35</f>
        <v>0</v>
      </c>
      <c r="Z14" s="94"/>
      <c r="AA14" s="98">
        <f>IF(Ruimtestaat[[#This Row],[Frequentie weekend]]&gt;0,VALUE(LEFT(Z14,1))*S14,0)</f>
        <v>0</v>
      </c>
      <c r="AB14" s="94">
        <f>IF($AA14&gt;0,VLOOKUP($K14,Ruimtegroepen[],3,FALSE)*VLOOKUP($M14,Vloersoorten[],3,FALSE)*VLOOKUP($Z14,Frequenties[],3,FALSE)*VLOOKUP($A10,Locaties[],3,FALSE),0)</f>
        <v>0</v>
      </c>
      <c r="AC14" s="96">
        <f>Ruimtestaat[[#This Row],[Uitvoeringen weekend]]*Ruimtestaat[[#This Row],[Oppervlak (netto)]]</f>
        <v>0</v>
      </c>
      <c r="AD14" s="99">
        <f>IF(AC14&gt;0,Ruimtestaat[[#This Row],[Prest. (m2 /jaar) weekend]]/Ruimtestaat[[#This Row],[Norm (m2/uur) weekend]],0)</f>
        <v>0</v>
      </c>
      <c r="AE14" s="100">
        <f>Ruimtestaat[[#This Row],[uren / jaar weekend]]*Tariefsopbouw!$D$40</f>
        <v>0</v>
      </c>
      <c r="AF14" s="72">
        <f>Ruimtestaat[[#This Row],[Prest. (m2 /jaar) weekend]]+Ruimtestaat[[#This Row],[Prest. (m2 /jaar) werkdagen]]</f>
        <v>3500</v>
      </c>
      <c r="AG14" s="72">
        <f>Ruimtestaat[[#This Row],[uren / jaar weekend]]+Ruimtestaat[[#This Row],[uren / jaar werkdagen]]</f>
        <v>0</v>
      </c>
      <c r="AH14" s="73">
        <f>Ruimtestaat[[#This Row],[kosten / jaar weekend]]+Ruimtestaat[[#This Row],[kosten / jaar werkdagen]]</f>
        <v>0</v>
      </c>
    </row>
    <row r="15" spans="1:34" ht="12.75" customHeight="1">
      <c r="A15" s="118">
        <v>1</v>
      </c>
      <c r="B15" s="24" t="str">
        <f>VLOOKUP(Ruimtestaat[[#This Row],[Code]],Locaties[#All],2,FALSE)</f>
        <v>Rembrandt College</v>
      </c>
      <c r="C15" s="24" t="str">
        <f>VLOOKUP(Ruimtestaat[[#This Row],[Code]],Locaties[#All],4,FALSE)</f>
        <v>Rembrandtlaan 2</v>
      </c>
      <c r="D15" s="24" t="str">
        <f>VLOOKUP(Ruimtestaat[[#This Row],[Code]],Locaties[#All],5,FALSE)</f>
        <v>3904 ZK</v>
      </c>
      <c r="E15" s="24" t="str">
        <f>VLOOKUP(Ruimtestaat[[#This Row],[Code]],Locaties[#All],6,FALSE)</f>
        <v>Veenendaal</v>
      </c>
      <c r="F15" s="66"/>
      <c r="G15" s="24" t="s">
        <v>465</v>
      </c>
      <c r="H15" s="24" t="s">
        <v>690</v>
      </c>
      <c r="I15" s="24" t="s">
        <v>478</v>
      </c>
      <c r="J15" s="4" t="s">
        <v>590</v>
      </c>
      <c r="K15" s="24">
        <v>2</v>
      </c>
      <c r="L15" s="66" t="str">
        <f>VLOOKUP(K15,Ruimtegroepen[],2,FALSE)</f>
        <v>Kantoren</v>
      </c>
      <c r="M15" s="24" t="s">
        <v>645</v>
      </c>
      <c r="N15" s="24" t="s">
        <v>384</v>
      </c>
      <c r="O15" s="92">
        <v>8.5</v>
      </c>
      <c r="P15" s="92"/>
      <c r="Q15" s="101" t="str">
        <f>LEFT(VLOOKUP(Ruimtestaat[[#This Row],[Ruimte code]],Ruimtegroepen[#All],4,1),2)</f>
        <v xml:space="preserve">B </v>
      </c>
      <c r="R15" s="92"/>
      <c r="S15" s="93">
        <v>40</v>
      </c>
      <c r="T15" s="93" t="s">
        <v>18</v>
      </c>
      <c r="U15" s="94">
        <f>IF(S15&gt;0,IF(RIGHT(Ruimtestaat[[#This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5" s="94">
        <f>IF(U15&gt;0,VLOOKUP($K15,Ruimtegroepen[],3,FALSE)*VLOOKUP($M15,Vloersoorten[],3,FALSE)*VLOOKUP($T15,Frequenties[],3,FALSE)*VLOOKUP($A15,Locaties[],3,FALSE),0)</f>
        <v>0</v>
      </c>
      <c r="W15" s="95">
        <f>Ruimtestaat[[#This Row],[Uitvoeringen werkdagen]]*Ruimtestaat[[#This Row],[Oppervlak (netto)]]</f>
        <v>1020</v>
      </c>
      <c r="X15" s="96">
        <f>IF(V15&gt;0,Ruimtestaat[[#This Row],[Prest. (m2 /jaar) werkdagen]]/Ruimtestaat[[#This Row],[Norm (m2/uur) werkdagen]],0)</f>
        <v>0</v>
      </c>
      <c r="Y15" s="97">
        <f>Ruimtestaat[[#This Row],[uren / jaar werkdagen]]*Tariefsopbouw!$E$35</f>
        <v>0</v>
      </c>
      <c r="Z15" s="94"/>
      <c r="AA15" s="98">
        <f>IF(Ruimtestaat[[#This Row],[Frequentie weekend]]&gt;0,VALUE(LEFT(Z15,1))*S15,0)</f>
        <v>0</v>
      </c>
      <c r="AB15" s="94">
        <f>IF($AA15&gt;0,VLOOKUP($K15,Ruimtegroepen[],3,FALSE)*VLOOKUP($M15,Vloersoorten[],3,FALSE)*VLOOKUP($Z15,Frequenties[],3,FALSE)*VLOOKUP($A11,Locaties[],3,FALSE),0)</f>
        <v>0</v>
      </c>
      <c r="AC15" s="96">
        <f>Ruimtestaat[[#This Row],[Uitvoeringen weekend]]*Ruimtestaat[[#This Row],[Oppervlak (netto)]]</f>
        <v>0</v>
      </c>
      <c r="AD15" s="99">
        <f>IF(AC15&gt;0,Ruimtestaat[[#This Row],[Prest. (m2 /jaar) weekend]]/Ruimtestaat[[#This Row],[Norm (m2/uur) weekend]],0)</f>
        <v>0</v>
      </c>
      <c r="AE15" s="100">
        <f>Ruimtestaat[[#This Row],[uren / jaar weekend]]*Tariefsopbouw!$D$40</f>
        <v>0</v>
      </c>
      <c r="AF15" s="72">
        <f>Ruimtestaat[[#This Row],[Prest. (m2 /jaar) weekend]]+Ruimtestaat[[#This Row],[Prest. (m2 /jaar) werkdagen]]</f>
        <v>1020</v>
      </c>
      <c r="AG15" s="72">
        <f>Ruimtestaat[[#This Row],[uren / jaar weekend]]+Ruimtestaat[[#This Row],[uren / jaar werkdagen]]</f>
        <v>0</v>
      </c>
      <c r="AH15" s="73">
        <f>Ruimtestaat[[#This Row],[kosten / jaar weekend]]+Ruimtestaat[[#This Row],[kosten / jaar werkdagen]]</f>
        <v>0</v>
      </c>
    </row>
    <row r="16" spans="1:34" ht="15" customHeight="1">
      <c r="A16" s="118">
        <v>1</v>
      </c>
      <c r="B16" s="24" t="str">
        <f>VLOOKUP(Ruimtestaat[[#This Row],[Code]],Locaties[#All],2,FALSE)</f>
        <v>Rembrandt College</v>
      </c>
      <c r="C16" s="24" t="str">
        <f>VLOOKUP(Ruimtestaat[[#This Row],[Code]],Locaties[#All],4,FALSE)</f>
        <v>Rembrandtlaan 2</v>
      </c>
      <c r="D16" s="24" t="str">
        <f>VLOOKUP(Ruimtestaat[[#This Row],[Code]],Locaties[#All],5,FALSE)</f>
        <v>3904 ZK</v>
      </c>
      <c r="E16" s="24" t="str">
        <f>VLOOKUP(Ruimtestaat[[#This Row],[Code]],Locaties[#All],6,FALSE)</f>
        <v>Veenendaal</v>
      </c>
      <c r="F16" s="66"/>
      <c r="G16" s="24" t="s">
        <v>465</v>
      </c>
      <c r="H16" s="24" t="s">
        <v>691</v>
      </c>
      <c r="I16" s="24" t="s">
        <v>479</v>
      </c>
      <c r="J16" s="4" t="s">
        <v>590</v>
      </c>
      <c r="K16" s="24">
        <v>2</v>
      </c>
      <c r="L16" s="66" t="str">
        <f>VLOOKUP(K16,Ruimtegroepen[],2,FALSE)</f>
        <v>Kantoren</v>
      </c>
      <c r="M16" s="24" t="s">
        <v>645</v>
      </c>
      <c r="N16" s="24" t="s">
        <v>384</v>
      </c>
      <c r="O16" s="92">
        <v>11.2</v>
      </c>
      <c r="P16" s="92"/>
      <c r="Q16" s="101" t="str">
        <f>LEFT(VLOOKUP(Ruimtestaat[[#This Row],[Ruimte code]],Ruimtegroepen[#All],4,1),2)</f>
        <v xml:space="preserve">B </v>
      </c>
      <c r="R16" s="92"/>
      <c r="S16" s="93">
        <v>40</v>
      </c>
      <c r="T16" s="93" t="s">
        <v>18</v>
      </c>
      <c r="U16" s="94">
        <f>IF(S16&gt;0,IF(RIGHT(Ruimtestaat[[#This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6" s="94">
        <f>IF(U16&gt;0,VLOOKUP($K16,Ruimtegroepen[],3,FALSE)*VLOOKUP($M16,Vloersoorten[],3,FALSE)*VLOOKUP($T16,Frequenties[],3,FALSE)*VLOOKUP($A16,Locaties[],3,FALSE),0)</f>
        <v>0</v>
      </c>
      <c r="W16" s="95">
        <f>Ruimtestaat[[#This Row],[Uitvoeringen werkdagen]]*Ruimtestaat[[#This Row],[Oppervlak (netto)]]</f>
        <v>1344</v>
      </c>
      <c r="X16" s="96">
        <f>IF(V16&gt;0,Ruimtestaat[[#This Row],[Prest. (m2 /jaar) werkdagen]]/Ruimtestaat[[#This Row],[Norm (m2/uur) werkdagen]],0)</f>
        <v>0</v>
      </c>
      <c r="Y16" s="97">
        <f>Ruimtestaat[[#This Row],[uren / jaar werkdagen]]*Tariefsopbouw!$E$35</f>
        <v>0</v>
      </c>
      <c r="Z16" s="94"/>
      <c r="AA16" s="98">
        <f>IF(Ruimtestaat[[#This Row],[Frequentie weekend]]&gt;0,VALUE(LEFT(Z16,1))*S16,0)</f>
        <v>0</v>
      </c>
      <c r="AB16" s="94">
        <f>IF($AA16&gt;0,VLOOKUP($K16,Ruimtegroepen[],3,FALSE)*VLOOKUP($M16,Vloersoorten[],3,FALSE)*VLOOKUP($Z16,Frequenties[],3,FALSE)*VLOOKUP($A12,Locaties[],3,FALSE),0)</f>
        <v>0</v>
      </c>
      <c r="AC16" s="96">
        <f>Ruimtestaat[[#This Row],[Uitvoeringen weekend]]*Ruimtestaat[[#This Row],[Oppervlak (netto)]]</f>
        <v>0</v>
      </c>
      <c r="AD16" s="99">
        <f>IF(AC16&gt;0,Ruimtestaat[[#This Row],[Prest. (m2 /jaar) weekend]]/Ruimtestaat[[#This Row],[Norm (m2/uur) weekend]],0)</f>
        <v>0</v>
      </c>
      <c r="AE16" s="100">
        <f>Ruimtestaat[[#This Row],[uren / jaar weekend]]*Tariefsopbouw!$D$40</f>
        <v>0</v>
      </c>
      <c r="AF16" s="72">
        <f>Ruimtestaat[[#This Row],[Prest. (m2 /jaar) weekend]]+Ruimtestaat[[#This Row],[Prest. (m2 /jaar) werkdagen]]</f>
        <v>1344</v>
      </c>
      <c r="AG16" s="72">
        <f>Ruimtestaat[[#This Row],[uren / jaar weekend]]+Ruimtestaat[[#This Row],[uren / jaar werkdagen]]</f>
        <v>0</v>
      </c>
      <c r="AH16" s="73">
        <f>Ruimtestaat[[#This Row],[kosten / jaar weekend]]+Ruimtestaat[[#This Row],[kosten / jaar werkdagen]]</f>
        <v>0</v>
      </c>
    </row>
    <row r="17" spans="1:34" ht="15" customHeight="1">
      <c r="A17" s="118">
        <v>1</v>
      </c>
      <c r="B17" s="24" t="str">
        <f>VLOOKUP(Ruimtestaat[[#This Row],[Code]],Locaties[#All],2,FALSE)</f>
        <v>Rembrandt College</v>
      </c>
      <c r="C17" s="24" t="str">
        <f>VLOOKUP(Ruimtestaat[[#This Row],[Code]],Locaties[#All],4,FALSE)</f>
        <v>Rembrandtlaan 2</v>
      </c>
      <c r="D17" s="24" t="str">
        <f>VLOOKUP(Ruimtestaat[[#This Row],[Code]],Locaties[#All],5,FALSE)</f>
        <v>3904 ZK</v>
      </c>
      <c r="E17" s="24" t="str">
        <f>VLOOKUP(Ruimtestaat[[#This Row],[Code]],Locaties[#All],6,FALSE)</f>
        <v>Veenendaal</v>
      </c>
      <c r="F17" s="66"/>
      <c r="G17" s="24" t="s">
        <v>465</v>
      </c>
      <c r="H17" s="24" t="s">
        <v>480</v>
      </c>
      <c r="I17" s="24" t="s">
        <v>480</v>
      </c>
      <c r="J17" s="4" t="s">
        <v>591</v>
      </c>
      <c r="K17" s="24">
        <v>14</v>
      </c>
      <c r="L17" s="66" t="str">
        <f>VLOOKUP(K17,Ruimtegroepen[],2,FALSE)</f>
        <v>Praktijklokalen binas/zorg</v>
      </c>
      <c r="M17" s="24" t="s">
        <v>114</v>
      </c>
      <c r="N17" s="24" t="s">
        <v>648</v>
      </c>
      <c r="O17" s="92">
        <v>53</v>
      </c>
      <c r="P17" s="92"/>
      <c r="Q17" s="101" t="str">
        <f>LEFT(VLOOKUP(Ruimtestaat[[#This Row],[Ruimte code]],Ruimtegroepen[#All],4,1),2)</f>
        <v xml:space="preserve">L </v>
      </c>
      <c r="R17" s="92"/>
      <c r="S17" s="93">
        <v>40</v>
      </c>
      <c r="T17" s="93" t="s">
        <v>2</v>
      </c>
      <c r="U17" s="94">
        <f>IF(S17&gt;0,IF(RIGHT(Ruimtestaat[[#This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" s="94">
        <f>IF(U17&gt;0,VLOOKUP($K17,Ruimtegroepen[],3,FALSE)*VLOOKUP($M17,Vloersoorten[],3,FALSE)*VLOOKUP($T17,Frequenties[],3,FALSE)*VLOOKUP($A17,Locaties[],3,FALSE),0)</f>
        <v>0</v>
      </c>
      <c r="W17" s="95">
        <f>Ruimtestaat[[#This Row],[Uitvoeringen werkdagen]]*Ruimtestaat[[#This Row],[Oppervlak (netto)]]</f>
        <v>10600</v>
      </c>
      <c r="X17" s="96">
        <f>IF(V17&gt;0,Ruimtestaat[[#This Row],[Prest. (m2 /jaar) werkdagen]]/Ruimtestaat[[#This Row],[Norm (m2/uur) werkdagen]],0)</f>
        <v>0</v>
      </c>
      <c r="Y17" s="97">
        <f>Ruimtestaat[[#This Row],[uren / jaar werkdagen]]*Tariefsopbouw!$E$35</f>
        <v>0</v>
      </c>
      <c r="Z17" s="94"/>
      <c r="AA17" s="98">
        <f>IF(Ruimtestaat[[#This Row],[Frequentie weekend]]&gt;0,VALUE(LEFT(Z17,1))*S17,0)</f>
        <v>0</v>
      </c>
      <c r="AB17" s="94">
        <f>IF($AA17&gt;0,VLOOKUP($K17,Ruimtegroepen[],3,FALSE)*VLOOKUP($M17,Vloersoorten[],3,FALSE)*VLOOKUP($Z17,Frequenties[],3,FALSE)*VLOOKUP($A13,Locaties[],3,FALSE),0)</f>
        <v>0</v>
      </c>
      <c r="AC17" s="96">
        <f>Ruimtestaat[[#This Row],[Uitvoeringen weekend]]*Ruimtestaat[[#This Row],[Oppervlak (netto)]]</f>
        <v>0</v>
      </c>
      <c r="AD17" s="99">
        <f>IF(AC17&gt;0,Ruimtestaat[[#This Row],[Prest. (m2 /jaar) weekend]]/Ruimtestaat[[#This Row],[Norm (m2/uur) weekend]],0)</f>
        <v>0</v>
      </c>
      <c r="AE17" s="100">
        <f>Ruimtestaat[[#This Row],[uren / jaar weekend]]*Tariefsopbouw!$D$40</f>
        <v>0</v>
      </c>
      <c r="AF17" s="72">
        <f>Ruimtestaat[[#This Row],[Prest. (m2 /jaar) weekend]]+Ruimtestaat[[#This Row],[Prest. (m2 /jaar) werkdagen]]</f>
        <v>10600</v>
      </c>
      <c r="AG17" s="72">
        <f>Ruimtestaat[[#This Row],[uren / jaar weekend]]+Ruimtestaat[[#This Row],[uren / jaar werkdagen]]</f>
        <v>0</v>
      </c>
      <c r="AH17" s="73">
        <f>Ruimtestaat[[#This Row],[kosten / jaar weekend]]+Ruimtestaat[[#This Row],[kosten / jaar werkdagen]]</f>
        <v>0</v>
      </c>
    </row>
    <row r="18" spans="1:34" ht="15" customHeight="1">
      <c r="A18" s="118">
        <v>1</v>
      </c>
      <c r="B18" s="24" t="str">
        <f>VLOOKUP(Ruimtestaat[[#This Row],[Code]],Locaties[#All],2,FALSE)</f>
        <v>Rembrandt College</v>
      </c>
      <c r="C18" s="24" t="str">
        <f>VLOOKUP(Ruimtestaat[[#This Row],[Code]],Locaties[#All],4,FALSE)</f>
        <v>Rembrandtlaan 2</v>
      </c>
      <c r="D18" s="24" t="str">
        <f>VLOOKUP(Ruimtestaat[[#This Row],[Code]],Locaties[#All],5,FALSE)</f>
        <v>3904 ZK</v>
      </c>
      <c r="E18" s="24" t="str">
        <f>VLOOKUP(Ruimtestaat[[#This Row],[Code]],Locaties[#All],6,FALSE)</f>
        <v>Veenendaal</v>
      </c>
      <c r="F18" s="66"/>
      <c r="G18" s="24" t="s">
        <v>465</v>
      </c>
      <c r="H18" s="24" t="s">
        <v>479</v>
      </c>
      <c r="J18" s="4" t="s">
        <v>592</v>
      </c>
      <c r="K18" s="24">
        <v>2</v>
      </c>
      <c r="L18" s="66" t="str">
        <f>VLOOKUP(K18,Ruimtegroepen[],2,FALSE)</f>
        <v>Kantoren</v>
      </c>
      <c r="M18" s="24" t="s">
        <v>645</v>
      </c>
      <c r="N18" s="24" t="s">
        <v>384</v>
      </c>
      <c r="O18" s="92">
        <v>80</v>
      </c>
      <c r="P18" s="92"/>
      <c r="Q18" s="101" t="str">
        <f>LEFT(VLOOKUP(Ruimtestaat[[#This Row],[Ruimte code]],Ruimtegroepen[#All],4,1),2)</f>
        <v xml:space="preserve">B </v>
      </c>
      <c r="R18" s="92"/>
      <c r="S18" s="93">
        <v>40</v>
      </c>
      <c r="T18" s="93" t="s">
        <v>18</v>
      </c>
      <c r="U18" s="94">
        <f>IF(S18&gt;0,IF(RIGHT(Ruimtestaat[[#This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8" s="94">
        <f>IF(U18&gt;0,VLOOKUP($K18,Ruimtegroepen[],3,FALSE)*VLOOKUP($M18,Vloersoorten[],3,FALSE)*VLOOKUP($T18,Frequenties[],3,FALSE)*VLOOKUP($A18,Locaties[],3,FALSE),0)</f>
        <v>0</v>
      </c>
      <c r="W18" s="95">
        <f>Ruimtestaat[[#This Row],[Uitvoeringen werkdagen]]*Ruimtestaat[[#This Row],[Oppervlak (netto)]]</f>
        <v>9600</v>
      </c>
      <c r="X18" s="96">
        <f>IF(V18&gt;0,Ruimtestaat[[#This Row],[Prest. (m2 /jaar) werkdagen]]/Ruimtestaat[[#This Row],[Norm (m2/uur) werkdagen]],0)</f>
        <v>0</v>
      </c>
      <c r="Y18" s="97">
        <f>Ruimtestaat[[#This Row],[uren / jaar werkdagen]]*Tariefsopbouw!$E$35</f>
        <v>0</v>
      </c>
      <c r="Z18" s="94"/>
      <c r="AA18" s="98">
        <f>IF(Ruimtestaat[[#This Row],[Frequentie weekend]]&gt;0,VALUE(LEFT(Z18,1))*S18,0)</f>
        <v>0</v>
      </c>
      <c r="AB18" s="94">
        <f>IF($AA18&gt;0,VLOOKUP($K18,Ruimtegroepen[],3,FALSE)*VLOOKUP($M18,Vloersoorten[],3,FALSE)*VLOOKUP($Z18,Frequenties[],3,FALSE)*VLOOKUP($A14,Locaties[],3,FALSE),0)</f>
        <v>0</v>
      </c>
      <c r="AC18" s="96">
        <f>Ruimtestaat[[#This Row],[Uitvoeringen weekend]]*Ruimtestaat[[#This Row],[Oppervlak (netto)]]</f>
        <v>0</v>
      </c>
      <c r="AD18" s="99">
        <f>IF(AC18&gt;0,Ruimtestaat[[#This Row],[Prest. (m2 /jaar) weekend]]/Ruimtestaat[[#This Row],[Norm (m2/uur) weekend]],0)</f>
        <v>0</v>
      </c>
      <c r="AE18" s="100">
        <f>Ruimtestaat[[#This Row],[uren / jaar weekend]]*Tariefsopbouw!$D$40</f>
        <v>0</v>
      </c>
      <c r="AF18" s="72">
        <f>Ruimtestaat[[#This Row],[Prest. (m2 /jaar) weekend]]+Ruimtestaat[[#This Row],[Prest. (m2 /jaar) werkdagen]]</f>
        <v>9600</v>
      </c>
      <c r="AG18" s="72">
        <f>Ruimtestaat[[#This Row],[uren / jaar weekend]]+Ruimtestaat[[#This Row],[uren / jaar werkdagen]]</f>
        <v>0</v>
      </c>
      <c r="AH18" s="73">
        <f>Ruimtestaat[[#This Row],[kosten / jaar weekend]]+Ruimtestaat[[#This Row],[kosten / jaar werkdagen]]</f>
        <v>0</v>
      </c>
    </row>
    <row r="19" spans="1:34" ht="15" customHeight="1">
      <c r="A19" s="118">
        <v>1</v>
      </c>
      <c r="B19" s="24" t="str">
        <f>VLOOKUP(Ruimtestaat[[#This Row],[Code]],Locaties[#All],2,FALSE)</f>
        <v>Rembrandt College</v>
      </c>
      <c r="C19" s="24" t="str">
        <f>VLOOKUP(Ruimtestaat[[#This Row],[Code]],Locaties[#All],4,FALSE)</f>
        <v>Rembrandtlaan 2</v>
      </c>
      <c r="D19" s="24" t="str">
        <f>VLOOKUP(Ruimtestaat[[#This Row],[Code]],Locaties[#All],5,FALSE)</f>
        <v>3904 ZK</v>
      </c>
      <c r="E19" s="24" t="str">
        <f>VLOOKUP(Ruimtestaat[[#This Row],[Code]],Locaties[#All],6,FALSE)</f>
        <v>Veenendaal</v>
      </c>
      <c r="F19" s="66"/>
      <c r="G19" s="24" t="s">
        <v>465</v>
      </c>
      <c r="H19" s="24" t="s">
        <v>478</v>
      </c>
      <c r="I19" s="24" t="s">
        <v>481</v>
      </c>
      <c r="J19" s="4" t="s">
        <v>593</v>
      </c>
      <c r="K19" s="24">
        <v>14</v>
      </c>
      <c r="L19" s="66" t="str">
        <f>VLOOKUP(K19,Ruimtegroepen[],2,FALSE)</f>
        <v>Praktijklokalen binas/zorg</v>
      </c>
      <c r="M19" s="24" t="s">
        <v>114</v>
      </c>
      <c r="N19" s="24" t="s">
        <v>648</v>
      </c>
      <c r="O19" s="92">
        <v>53</v>
      </c>
      <c r="P19" s="92"/>
      <c r="Q19" s="101" t="str">
        <f>LEFT(VLOOKUP(Ruimtestaat[[#This Row],[Ruimte code]],Ruimtegroepen[#All],4,1),2)</f>
        <v xml:space="preserve">L </v>
      </c>
      <c r="R19" s="92"/>
      <c r="S19" s="93">
        <v>40</v>
      </c>
      <c r="T19" s="93" t="s">
        <v>2</v>
      </c>
      <c r="U19" s="94">
        <f>IF(S19&gt;0,IF(RIGHT(Ruimtestaat[[#This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" s="94">
        <f>IF(U19&gt;0,VLOOKUP($K19,Ruimtegroepen[],3,FALSE)*VLOOKUP($M19,Vloersoorten[],3,FALSE)*VLOOKUP($T19,Frequenties[],3,FALSE)*VLOOKUP($A19,Locaties[],3,FALSE),0)</f>
        <v>0</v>
      </c>
      <c r="W19" s="95">
        <f>Ruimtestaat[[#This Row],[Uitvoeringen werkdagen]]*Ruimtestaat[[#This Row],[Oppervlak (netto)]]</f>
        <v>10600</v>
      </c>
      <c r="X19" s="96">
        <f>IF(V19&gt;0,Ruimtestaat[[#This Row],[Prest. (m2 /jaar) werkdagen]]/Ruimtestaat[[#This Row],[Norm (m2/uur) werkdagen]],0)</f>
        <v>0</v>
      </c>
      <c r="Y19" s="97">
        <f>Ruimtestaat[[#This Row],[uren / jaar werkdagen]]*Tariefsopbouw!$E$35</f>
        <v>0</v>
      </c>
      <c r="Z19" s="94"/>
      <c r="AA19" s="98">
        <f>IF(Ruimtestaat[[#This Row],[Frequentie weekend]]&gt;0,VALUE(LEFT(Z19,1))*S19,0)</f>
        <v>0</v>
      </c>
      <c r="AB19" s="94">
        <f>IF($AA19&gt;0,VLOOKUP($K19,Ruimtegroepen[],3,FALSE)*VLOOKUP($M19,Vloersoorten[],3,FALSE)*VLOOKUP($Z19,Frequenties[],3,FALSE)*VLOOKUP($A15,Locaties[],3,FALSE),0)</f>
        <v>0</v>
      </c>
      <c r="AC19" s="96">
        <f>Ruimtestaat[[#This Row],[Uitvoeringen weekend]]*Ruimtestaat[[#This Row],[Oppervlak (netto)]]</f>
        <v>0</v>
      </c>
      <c r="AD19" s="99">
        <f>IF(AC19&gt;0,Ruimtestaat[[#This Row],[Prest. (m2 /jaar) weekend]]/Ruimtestaat[[#This Row],[Norm (m2/uur) weekend]],0)</f>
        <v>0</v>
      </c>
      <c r="AE19" s="100">
        <f>Ruimtestaat[[#This Row],[uren / jaar weekend]]*Tariefsopbouw!$D$40</f>
        <v>0</v>
      </c>
      <c r="AF19" s="72">
        <f>Ruimtestaat[[#This Row],[Prest. (m2 /jaar) weekend]]+Ruimtestaat[[#This Row],[Prest. (m2 /jaar) werkdagen]]</f>
        <v>10600</v>
      </c>
      <c r="AG19" s="72">
        <f>Ruimtestaat[[#This Row],[uren / jaar weekend]]+Ruimtestaat[[#This Row],[uren / jaar werkdagen]]</f>
        <v>0</v>
      </c>
      <c r="AH19" s="73">
        <f>Ruimtestaat[[#This Row],[kosten / jaar weekend]]+Ruimtestaat[[#This Row],[kosten / jaar werkdagen]]</f>
        <v>0</v>
      </c>
    </row>
    <row r="20" spans="1:34" ht="15" customHeight="1">
      <c r="A20" s="118">
        <v>1</v>
      </c>
      <c r="B20" s="24" t="str">
        <f>VLOOKUP(Ruimtestaat[[#This Row],[Code]],Locaties[#All],2,FALSE)</f>
        <v>Rembrandt College</v>
      </c>
      <c r="C20" s="24" t="str">
        <f>VLOOKUP(Ruimtestaat[[#This Row],[Code]],Locaties[#All],4,FALSE)</f>
        <v>Rembrandtlaan 2</v>
      </c>
      <c r="D20" s="24" t="str">
        <f>VLOOKUP(Ruimtestaat[[#This Row],[Code]],Locaties[#All],5,FALSE)</f>
        <v>3904 ZK</v>
      </c>
      <c r="E20" s="24" t="str">
        <f>VLOOKUP(Ruimtestaat[[#This Row],[Code]],Locaties[#All],6,FALSE)</f>
        <v>Veenendaal</v>
      </c>
      <c r="F20" s="66"/>
      <c r="G20" s="24" t="s">
        <v>465</v>
      </c>
      <c r="H20" s="24" t="s">
        <v>476</v>
      </c>
      <c r="I20" s="24" t="s">
        <v>482</v>
      </c>
      <c r="J20" s="4" t="s">
        <v>593</v>
      </c>
      <c r="K20" s="24">
        <v>14</v>
      </c>
      <c r="L20" s="66" t="str">
        <f>VLOOKUP(K20,Ruimtegroepen[],2,FALSE)</f>
        <v>Praktijklokalen binas/zorg</v>
      </c>
      <c r="M20" s="24" t="s">
        <v>114</v>
      </c>
      <c r="N20" s="24" t="s">
        <v>648</v>
      </c>
      <c r="O20" s="92">
        <v>80</v>
      </c>
      <c r="P20" s="92"/>
      <c r="Q20" s="101" t="str">
        <f>LEFT(VLOOKUP(Ruimtestaat[[#This Row],[Ruimte code]],Ruimtegroepen[#All],4,1),2)</f>
        <v xml:space="preserve">L </v>
      </c>
      <c r="R20" s="92"/>
      <c r="S20" s="93">
        <v>40</v>
      </c>
      <c r="T20" s="93" t="s">
        <v>2</v>
      </c>
      <c r="U20" s="94">
        <f>IF(S20&gt;0,IF(RIGHT(Ruimtestaat[[#This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" s="94">
        <f>IF(U20&gt;0,VLOOKUP($K20,Ruimtegroepen[],3,FALSE)*VLOOKUP($M20,Vloersoorten[],3,FALSE)*VLOOKUP($T20,Frequenties[],3,FALSE)*VLOOKUP($A20,Locaties[],3,FALSE),0)</f>
        <v>0</v>
      </c>
      <c r="W20" s="95">
        <f>Ruimtestaat[[#This Row],[Uitvoeringen werkdagen]]*Ruimtestaat[[#This Row],[Oppervlak (netto)]]</f>
        <v>16000</v>
      </c>
      <c r="X20" s="96">
        <f>IF(V20&gt;0,Ruimtestaat[[#This Row],[Prest. (m2 /jaar) werkdagen]]/Ruimtestaat[[#This Row],[Norm (m2/uur) werkdagen]],0)</f>
        <v>0</v>
      </c>
      <c r="Y20" s="97">
        <f>Ruimtestaat[[#This Row],[uren / jaar werkdagen]]*Tariefsopbouw!$E$35</f>
        <v>0</v>
      </c>
      <c r="Z20" s="94"/>
      <c r="AA20" s="98">
        <f>IF(Ruimtestaat[[#This Row],[Frequentie weekend]]&gt;0,VALUE(LEFT(Z20,1))*S20,0)</f>
        <v>0</v>
      </c>
      <c r="AB20" s="94">
        <f>IF($AA20&gt;0,VLOOKUP($K20,Ruimtegroepen[],3,FALSE)*VLOOKUP($M20,Vloersoorten[],3,FALSE)*VLOOKUP($Z20,Frequenties[],3,FALSE)*VLOOKUP($A16,Locaties[],3,FALSE),0)</f>
        <v>0</v>
      </c>
      <c r="AC20" s="96">
        <f>Ruimtestaat[[#This Row],[Uitvoeringen weekend]]*Ruimtestaat[[#This Row],[Oppervlak (netto)]]</f>
        <v>0</v>
      </c>
      <c r="AD20" s="99">
        <f>IF(AC20&gt;0,Ruimtestaat[[#This Row],[Prest. (m2 /jaar) weekend]]/Ruimtestaat[[#This Row],[Norm (m2/uur) weekend]],0)</f>
        <v>0</v>
      </c>
      <c r="AE20" s="100">
        <f>Ruimtestaat[[#This Row],[uren / jaar weekend]]*Tariefsopbouw!$D$40</f>
        <v>0</v>
      </c>
      <c r="AF20" s="72">
        <f>Ruimtestaat[[#This Row],[Prest. (m2 /jaar) weekend]]+Ruimtestaat[[#This Row],[Prest. (m2 /jaar) werkdagen]]</f>
        <v>16000</v>
      </c>
      <c r="AG20" s="72">
        <f>Ruimtestaat[[#This Row],[uren / jaar weekend]]+Ruimtestaat[[#This Row],[uren / jaar werkdagen]]</f>
        <v>0</v>
      </c>
      <c r="AH20" s="73">
        <f>Ruimtestaat[[#This Row],[kosten / jaar weekend]]+Ruimtestaat[[#This Row],[kosten / jaar werkdagen]]</f>
        <v>0</v>
      </c>
    </row>
    <row r="21" spans="1:34" ht="15" customHeight="1">
      <c r="A21" s="118">
        <v>1</v>
      </c>
      <c r="B21" s="24" t="str">
        <f>VLOOKUP(Ruimtestaat[[#This Row],[Code]],Locaties[#All],2,FALSE)</f>
        <v>Rembrandt College</v>
      </c>
      <c r="C21" s="24" t="str">
        <f>VLOOKUP(Ruimtestaat[[#This Row],[Code]],Locaties[#All],4,FALSE)</f>
        <v>Rembrandtlaan 2</v>
      </c>
      <c r="D21" s="24" t="str">
        <f>VLOOKUP(Ruimtestaat[[#This Row],[Code]],Locaties[#All],5,FALSE)</f>
        <v>3904 ZK</v>
      </c>
      <c r="E21" s="24" t="str">
        <f>VLOOKUP(Ruimtestaat[[#This Row],[Code]],Locaties[#All],6,FALSE)</f>
        <v>Veenendaal</v>
      </c>
      <c r="F21" s="66"/>
      <c r="G21" s="24" t="s">
        <v>465</v>
      </c>
      <c r="H21" s="24" t="s">
        <v>475</v>
      </c>
      <c r="I21" s="24" t="s">
        <v>483</v>
      </c>
      <c r="J21" s="4" t="s">
        <v>593</v>
      </c>
      <c r="K21" s="24">
        <v>14</v>
      </c>
      <c r="L21" s="66" t="str">
        <f>VLOOKUP(K21,Ruimtegroepen[],2,FALSE)</f>
        <v>Praktijklokalen binas/zorg</v>
      </c>
      <c r="M21" s="24" t="s">
        <v>114</v>
      </c>
      <c r="N21" s="24" t="s">
        <v>648</v>
      </c>
      <c r="O21" s="92">
        <v>80</v>
      </c>
      <c r="P21" s="92"/>
      <c r="Q21" s="101" t="str">
        <f>LEFT(VLOOKUP(Ruimtestaat[[#This Row],[Ruimte code]],Ruimtegroepen[#All],4,1),2)</f>
        <v xml:space="preserve">L </v>
      </c>
      <c r="R21" s="92"/>
      <c r="S21" s="93">
        <v>40</v>
      </c>
      <c r="T21" s="93" t="s">
        <v>2</v>
      </c>
      <c r="U21" s="94">
        <f>IF(S21&gt;0,IF(RIGHT(Ruimtestaat[[#This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" s="94">
        <f>IF(U21&gt;0,VLOOKUP($K21,Ruimtegroepen[],3,FALSE)*VLOOKUP($M21,Vloersoorten[],3,FALSE)*VLOOKUP($T21,Frequenties[],3,FALSE)*VLOOKUP($A21,Locaties[],3,FALSE),0)</f>
        <v>0</v>
      </c>
      <c r="W21" s="95">
        <f>Ruimtestaat[[#This Row],[Uitvoeringen werkdagen]]*Ruimtestaat[[#This Row],[Oppervlak (netto)]]</f>
        <v>16000</v>
      </c>
      <c r="X21" s="96">
        <f>IF(V21&gt;0,Ruimtestaat[[#This Row],[Prest. (m2 /jaar) werkdagen]]/Ruimtestaat[[#This Row],[Norm (m2/uur) werkdagen]],0)</f>
        <v>0</v>
      </c>
      <c r="Y21" s="97">
        <f>Ruimtestaat[[#This Row],[uren / jaar werkdagen]]*Tariefsopbouw!$E$35</f>
        <v>0</v>
      </c>
      <c r="Z21" s="94"/>
      <c r="AA21" s="98">
        <f>IF(Ruimtestaat[[#This Row],[Frequentie weekend]]&gt;0,VALUE(LEFT(Z21,1))*S21,0)</f>
        <v>0</v>
      </c>
      <c r="AB21" s="94">
        <f>IF($AA21&gt;0,VLOOKUP($K21,Ruimtegroepen[],3,FALSE)*VLOOKUP($M21,Vloersoorten[],3,FALSE)*VLOOKUP($Z21,Frequenties[],3,FALSE)*VLOOKUP($A16,Locaties[],3,FALSE),0)</f>
        <v>0</v>
      </c>
      <c r="AC21" s="96">
        <f>Ruimtestaat[[#This Row],[Uitvoeringen weekend]]*Ruimtestaat[[#This Row],[Oppervlak (netto)]]</f>
        <v>0</v>
      </c>
      <c r="AD21" s="99">
        <f>IF(AC21&gt;0,Ruimtestaat[[#This Row],[Prest. (m2 /jaar) weekend]]/Ruimtestaat[[#This Row],[Norm (m2/uur) weekend]],0)</f>
        <v>0</v>
      </c>
      <c r="AE21" s="100">
        <f>Ruimtestaat[[#This Row],[uren / jaar weekend]]*Tariefsopbouw!$D$40</f>
        <v>0</v>
      </c>
      <c r="AF21" s="72">
        <f>Ruimtestaat[[#This Row],[Prest. (m2 /jaar) weekend]]+Ruimtestaat[[#This Row],[Prest. (m2 /jaar) werkdagen]]</f>
        <v>16000</v>
      </c>
      <c r="AG21" s="72">
        <f>Ruimtestaat[[#This Row],[uren / jaar weekend]]+Ruimtestaat[[#This Row],[uren / jaar werkdagen]]</f>
        <v>0</v>
      </c>
      <c r="AH21" s="73">
        <f>Ruimtestaat[[#This Row],[kosten / jaar weekend]]+Ruimtestaat[[#This Row],[kosten / jaar werkdagen]]</f>
        <v>0</v>
      </c>
    </row>
    <row r="22" spans="1:34" ht="15" customHeight="1">
      <c r="A22" s="118">
        <v>1</v>
      </c>
      <c r="B22" s="24" t="str">
        <f>VLOOKUP(Ruimtestaat[[#This Row],[Code]],Locaties[#All],2,FALSE)</f>
        <v>Rembrandt College</v>
      </c>
      <c r="C22" s="24" t="str">
        <f>VLOOKUP(Ruimtestaat[[#This Row],[Code]],Locaties[#All],4,FALSE)</f>
        <v>Rembrandtlaan 2</v>
      </c>
      <c r="D22" s="24" t="str">
        <f>VLOOKUP(Ruimtestaat[[#This Row],[Code]],Locaties[#All],5,FALSE)</f>
        <v>3904 ZK</v>
      </c>
      <c r="E22" s="24" t="str">
        <f>VLOOKUP(Ruimtestaat[[#This Row],[Code]],Locaties[#All],6,FALSE)</f>
        <v>Veenendaal</v>
      </c>
      <c r="F22" s="66"/>
      <c r="G22" s="24" t="s">
        <v>465</v>
      </c>
      <c r="H22" s="24" t="s">
        <v>474</v>
      </c>
      <c r="I22" s="24" t="s">
        <v>484</v>
      </c>
      <c r="J22" s="4" t="s">
        <v>593</v>
      </c>
      <c r="K22" s="24">
        <v>14</v>
      </c>
      <c r="L22" s="66" t="str">
        <f>VLOOKUP(K22,Ruimtegroepen[],2,FALSE)</f>
        <v>Praktijklokalen binas/zorg</v>
      </c>
      <c r="M22" s="24" t="s">
        <v>114</v>
      </c>
      <c r="N22" s="24" t="s">
        <v>648</v>
      </c>
      <c r="O22" s="92">
        <v>58</v>
      </c>
      <c r="P22" s="92"/>
      <c r="Q22" s="101" t="str">
        <f>LEFT(VLOOKUP(Ruimtestaat[[#This Row],[Ruimte code]],Ruimtegroepen[#All],4,1),2)</f>
        <v xml:space="preserve">L </v>
      </c>
      <c r="R22" s="92"/>
      <c r="S22" s="93">
        <v>40</v>
      </c>
      <c r="T22" s="93" t="s">
        <v>2</v>
      </c>
      <c r="U22" s="94">
        <f>IF(S22&gt;0,IF(RIGHT(Ruimtestaat[[#This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" s="94">
        <f>IF(U22&gt;0,VLOOKUP($K22,Ruimtegroepen[],3,FALSE)*VLOOKUP($M22,Vloersoorten[],3,FALSE)*VLOOKUP($T22,Frequenties[],3,FALSE)*VLOOKUP($A22,Locaties[],3,FALSE),0)</f>
        <v>0</v>
      </c>
      <c r="W22" s="95">
        <f>Ruimtestaat[[#This Row],[Uitvoeringen werkdagen]]*Ruimtestaat[[#This Row],[Oppervlak (netto)]]</f>
        <v>11600</v>
      </c>
      <c r="X22" s="96">
        <f>IF(V22&gt;0,Ruimtestaat[[#This Row],[Prest. (m2 /jaar) werkdagen]]/Ruimtestaat[[#This Row],[Norm (m2/uur) werkdagen]],0)</f>
        <v>0</v>
      </c>
      <c r="Y22" s="97">
        <f>Ruimtestaat[[#This Row],[uren / jaar werkdagen]]*Tariefsopbouw!$E$35</f>
        <v>0</v>
      </c>
      <c r="Z22" s="94"/>
      <c r="AA22" s="98">
        <f>IF(Ruimtestaat[[#This Row],[Frequentie weekend]]&gt;0,VALUE(LEFT(Z22,1))*S22,0)</f>
        <v>0</v>
      </c>
      <c r="AB22" s="94">
        <f>IF($AA22&gt;0,VLOOKUP($K22,Ruimtegroepen[],3,FALSE)*VLOOKUP($M22,Vloersoorten[],3,FALSE)*VLOOKUP($Z22,Frequenties[],3,FALSE)*VLOOKUP($A17,Locaties[],3,FALSE),0)</f>
        <v>0</v>
      </c>
      <c r="AC22" s="96">
        <f>Ruimtestaat[[#This Row],[Uitvoeringen weekend]]*Ruimtestaat[[#This Row],[Oppervlak (netto)]]</f>
        <v>0</v>
      </c>
      <c r="AD22" s="99">
        <f>IF(AC22&gt;0,Ruimtestaat[[#This Row],[Prest. (m2 /jaar) weekend]]/Ruimtestaat[[#This Row],[Norm (m2/uur) weekend]],0)</f>
        <v>0</v>
      </c>
      <c r="AE22" s="100">
        <f>Ruimtestaat[[#This Row],[uren / jaar weekend]]*Tariefsopbouw!$D$40</f>
        <v>0</v>
      </c>
      <c r="AF22" s="72">
        <f>Ruimtestaat[[#This Row],[Prest. (m2 /jaar) weekend]]+Ruimtestaat[[#This Row],[Prest. (m2 /jaar) werkdagen]]</f>
        <v>11600</v>
      </c>
      <c r="AG22" s="72">
        <f>Ruimtestaat[[#This Row],[uren / jaar weekend]]+Ruimtestaat[[#This Row],[uren / jaar werkdagen]]</f>
        <v>0</v>
      </c>
      <c r="AH22" s="73">
        <f>Ruimtestaat[[#This Row],[kosten / jaar weekend]]+Ruimtestaat[[#This Row],[kosten / jaar werkdagen]]</f>
        <v>0</v>
      </c>
    </row>
    <row r="23" spans="1:34" ht="15" customHeight="1">
      <c r="A23" s="118">
        <v>1</v>
      </c>
      <c r="B23" s="24" t="str">
        <f>VLOOKUP(Ruimtestaat[[#This Row],[Code]],Locaties[#All],2,FALSE)</f>
        <v>Rembrandt College</v>
      </c>
      <c r="C23" s="24" t="str">
        <f>VLOOKUP(Ruimtestaat[[#This Row],[Code]],Locaties[#All],4,FALSE)</f>
        <v>Rembrandtlaan 2</v>
      </c>
      <c r="D23" s="24" t="str">
        <f>VLOOKUP(Ruimtestaat[[#This Row],[Code]],Locaties[#All],5,FALSE)</f>
        <v>3904 ZK</v>
      </c>
      <c r="E23" s="24" t="str">
        <f>VLOOKUP(Ruimtestaat[[#This Row],[Code]],Locaties[#All],6,FALSE)</f>
        <v>Veenendaal</v>
      </c>
      <c r="F23" s="66"/>
      <c r="G23" s="24" t="s">
        <v>465</v>
      </c>
      <c r="H23" s="24" t="s">
        <v>473</v>
      </c>
      <c r="J23" s="4" t="s">
        <v>594</v>
      </c>
      <c r="K23" s="24">
        <v>14</v>
      </c>
      <c r="L23" s="66" t="str">
        <f>VLOOKUP(K23,Ruimtegroepen[],2,FALSE)</f>
        <v>Praktijklokalen binas/zorg</v>
      </c>
      <c r="M23" s="24" t="s">
        <v>114</v>
      </c>
      <c r="N23" s="24" t="s">
        <v>648</v>
      </c>
      <c r="O23" s="92">
        <v>72</v>
      </c>
      <c r="P23" s="92"/>
      <c r="Q23" s="101" t="str">
        <f>LEFT(VLOOKUP(Ruimtestaat[[#This Row],[Ruimte code]],Ruimtegroepen[#All],4,1),2)</f>
        <v xml:space="preserve">L </v>
      </c>
      <c r="R23" s="92"/>
      <c r="S23" s="93">
        <v>40</v>
      </c>
      <c r="T23" s="93" t="s">
        <v>2</v>
      </c>
      <c r="U23" s="94">
        <f>IF(S23&gt;0,IF(RIGHT(Ruimtestaat[[#This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" s="94">
        <f>IF(U23&gt;0,VLOOKUP($K23,Ruimtegroepen[],3,FALSE)*VLOOKUP($M23,Vloersoorten[],3,FALSE)*VLOOKUP($T23,Frequenties[],3,FALSE)*VLOOKUP($A23,Locaties[],3,FALSE),0)</f>
        <v>0</v>
      </c>
      <c r="W23" s="95">
        <f>Ruimtestaat[[#This Row],[Uitvoeringen werkdagen]]*Ruimtestaat[[#This Row],[Oppervlak (netto)]]</f>
        <v>14400</v>
      </c>
      <c r="X23" s="96">
        <f>IF(V23&gt;0,Ruimtestaat[[#This Row],[Prest. (m2 /jaar) werkdagen]]/Ruimtestaat[[#This Row],[Norm (m2/uur) werkdagen]],0)</f>
        <v>0</v>
      </c>
      <c r="Y23" s="97">
        <f>Ruimtestaat[[#This Row],[uren / jaar werkdagen]]*Tariefsopbouw!$E$35</f>
        <v>0</v>
      </c>
      <c r="Z23" s="94"/>
      <c r="AA23" s="98">
        <f>IF(Ruimtestaat[[#This Row],[Frequentie weekend]]&gt;0,VALUE(LEFT(Z23,1))*S23,0)</f>
        <v>0</v>
      </c>
      <c r="AB23" s="94">
        <f>IF($AA23&gt;0,VLOOKUP($K23,Ruimtegroepen[],3,FALSE)*VLOOKUP($M23,Vloersoorten[],3,FALSE)*VLOOKUP($Z23,Frequenties[],3,FALSE)*VLOOKUP($A18,Locaties[],3,FALSE),0)</f>
        <v>0</v>
      </c>
      <c r="AC23" s="96">
        <f>Ruimtestaat[[#This Row],[Uitvoeringen weekend]]*Ruimtestaat[[#This Row],[Oppervlak (netto)]]</f>
        <v>0</v>
      </c>
      <c r="AD23" s="99">
        <f>IF(AC23&gt;0,Ruimtestaat[[#This Row],[Prest. (m2 /jaar) weekend]]/Ruimtestaat[[#This Row],[Norm (m2/uur) weekend]],0)</f>
        <v>0</v>
      </c>
      <c r="AE23" s="100">
        <f>Ruimtestaat[[#This Row],[uren / jaar weekend]]*Tariefsopbouw!$D$40</f>
        <v>0</v>
      </c>
      <c r="AF23" s="72">
        <f>Ruimtestaat[[#This Row],[Prest. (m2 /jaar) weekend]]+Ruimtestaat[[#This Row],[Prest. (m2 /jaar) werkdagen]]</f>
        <v>14400</v>
      </c>
      <c r="AG23" s="72">
        <f>Ruimtestaat[[#This Row],[uren / jaar weekend]]+Ruimtestaat[[#This Row],[uren / jaar werkdagen]]</f>
        <v>0</v>
      </c>
      <c r="AH23" s="73">
        <f>Ruimtestaat[[#This Row],[kosten / jaar weekend]]+Ruimtestaat[[#This Row],[kosten / jaar werkdagen]]</f>
        <v>0</v>
      </c>
    </row>
    <row r="24" spans="1:34" ht="15" customHeight="1">
      <c r="A24" s="118">
        <v>1</v>
      </c>
      <c r="B24" s="24" t="str">
        <f>VLOOKUP(Ruimtestaat[[#This Row],[Code]],Locaties[#All],2,FALSE)</f>
        <v>Rembrandt College</v>
      </c>
      <c r="C24" s="24" t="str">
        <f>VLOOKUP(Ruimtestaat[[#This Row],[Code]],Locaties[#All],4,FALSE)</f>
        <v>Rembrandtlaan 2</v>
      </c>
      <c r="D24" s="24" t="str">
        <f>VLOOKUP(Ruimtestaat[[#This Row],[Code]],Locaties[#All],5,FALSE)</f>
        <v>3904 ZK</v>
      </c>
      <c r="E24" s="24" t="str">
        <f>VLOOKUP(Ruimtestaat[[#This Row],[Code]],Locaties[#All],6,FALSE)</f>
        <v>Veenendaal</v>
      </c>
      <c r="F24" s="66"/>
      <c r="G24" s="24" t="s">
        <v>465</v>
      </c>
      <c r="H24" s="24" t="s">
        <v>472</v>
      </c>
      <c r="I24" s="24" t="s">
        <v>485</v>
      </c>
      <c r="J24" s="4" t="s">
        <v>595</v>
      </c>
      <c r="K24" s="24">
        <v>14</v>
      </c>
      <c r="L24" s="66" t="str">
        <f>VLOOKUP(K24,Ruimtegroepen[],2,FALSE)</f>
        <v>Praktijklokalen binas/zorg</v>
      </c>
      <c r="M24" s="24" t="s">
        <v>114</v>
      </c>
      <c r="N24" s="24" t="s">
        <v>648</v>
      </c>
      <c r="O24" s="102">
        <v>53</v>
      </c>
      <c r="P24" s="92"/>
      <c r="Q24" s="101" t="str">
        <f>LEFT(VLOOKUP(Ruimtestaat[[#This Row],[Ruimte code]],Ruimtegroepen[#All],4,1),2)</f>
        <v xml:space="preserve">L </v>
      </c>
      <c r="R24" s="92"/>
      <c r="S24" s="93">
        <v>40</v>
      </c>
      <c r="T24" s="93" t="s">
        <v>2</v>
      </c>
      <c r="U24" s="94">
        <f>IF(S24&gt;0,IF(RIGHT(Ruimtestaat[[#This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" s="94">
        <f>IF(U24&gt;0,VLOOKUP($K24,Ruimtegroepen[],3,FALSE)*VLOOKUP($M24,Vloersoorten[],3,FALSE)*VLOOKUP($T24,Frequenties[],3,FALSE)*VLOOKUP($A24,Locaties[],3,FALSE),0)</f>
        <v>0</v>
      </c>
      <c r="W24" s="95">
        <f>Ruimtestaat[[#This Row],[Uitvoeringen werkdagen]]*Ruimtestaat[[#This Row],[Oppervlak (netto)]]</f>
        <v>10600</v>
      </c>
      <c r="X24" s="96">
        <f>IF(V24&gt;0,Ruimtestaat[[#This Row],[Prest. (m2 /jaar) werkdagen]]/Ruimtestaat[[#This Row],[Norm (m2/uur) werkdagen]],0)</f>
        <v>0</v>
      </c>
      <c r="Y24" s="97">
        <f>Ruimtestaat[[#This Row],[uren / jaar werkdagen]]*Tariefsopbouw!$E$35</f>
        <v>0</v>
      </c>
      <c r="Z24" s="94"/>
      <c r="AA24" s="98">
        <f>IF(Ruimtestaat[[#This Row],[Frequentie weekend]]&gt;0,VALUE(LEFT(Z24,1))*S24,0)</f>
        <v>0</v>
      </c>
      <c r="AB24" s="94">
        <f>IF($AA24&gt;0,VLOOKUP($K24,Ruimtegroepen[],3,FALSE)*VLOOKUP($M24,Vloersoorten[],3,FALSE)*VLOOKUP($Z24,Frequenties[],3,FALSE)*VLOOKUP($A19,Locaties[],3,FALSE),0)</f>
        <v>0</v>
      </c>
      <c r="AC24" s="96">
        <f>Ruimtestaat[[#This Row],[Uitvoeringen weekend]]*Ruimtestaat[[#This Row],[Oppervlak (netto)]]</f>
        <v>0</v>
      </c>
      <c r="AD24" s="99">
        <f>IF(AC24&gt;0,Ruimtestaat[[#This Row],[Prest. (m2 /jaar) weekend]]/Ruimtestaat[[#This Row],[Norm (m2/uur) weekend]],0)</f>
        <v>0</v>
      </c>
      <c r="AE24" s="100">
        <f>Ruimtestaat[[#This Row],[uren / jaar weekend]]*Tariefsopbouw!$D$40</f>
        <v>0</v>
      </c>
      <c r="AF24" s="72">
        <f>Ruimtestaat[[#This Row],[Prest. (m2 /jaar) weekend]]+Ruimtestaat[[#This Row],[Prest. (m2 /jaar) werkdagen]]</f>
        <v>10600</v>
      </c>
      <c r="AG24" s="72">
        <f>Ruimtestaat[[#This Row],[uren / jaar weekend]]+Ruimtestaat[[#This Row],[uren / jaar werkdagen]]</f>
        <v>0</v>
      </c>
      <c r="AH24" s="73">
        <f>Ruimtestaat[[#This Row],[kosten / jaar weekend]]+Ruimtestaat[[#This Row],[kosten / jaar werkdagen]]</f>
        <v>0</v>
      </c>
    </row>
    <row r="25" spans="1:34" ht="15" customHeight="1">
      <c r="A25" s="118">
        <v>1</v>
      </c>
      <c r="B25" s="24" t="str">
        <f>VLOOKUP(Ruimtestaat[[#This Row],[Code]],Locaties[#All],2,FALSE)</f>
        <v>Rembrandt College</v>
      </c>
      <c r="C25" s="24" t="str">
        <f>VLOOKUP(Ruimtestaat[[#This Row],[Code]],Locaties[#All],4,FALSE)</f>
        <v>Rembrandtlaan 2</v>
      </c>
      <c r="D25" s="24" t="str">
        <f>VLOOKUP(Ruimtestaat[[#This Row],[Code]],Locaties[#All],5,FALSE)</f>
        <v>3904 ZK</v>
      </c>
      <c r="E25" s="24" t="str">
        <f>VLOOKUP(Ruimtestaat[[#This Row],[Code]],Locaties[#All],6,FALSE)</f>
        <v>Veenendaal</v>
      </c>
      <c r="F25" s="66"/>
      <c r="G25" s="24" t="s">
        <v>465</v>
      </c>
      <c r="H25" s="24" t="s">
        <v>692</v>
      </c>
      <c r="I25" s="24" t="s">
        <v>486</v>
      </c>
      <c r="J25" s="4" t="s">
        <v>596</v>
      </c>
      <c r="K25" s="24">
        <v>14</v>
      </c>
      <c r="L25" s="66" t="str">
        <f>VLOOKUP(K25,Ruimtegroepen[],2,FALSE)</f>
        <v>Praktijklokalen binas/zorg</v>
      </c>
      <c r="M25" s="24" t="s">
        <v>114</v>
      </c>
      <c r="N25" s="24" t="s">
        <v>648</v>
      </c>
      <c r="O25" s="92">
        <v>107</v>
      </c>
      <c r="P25" s="92"/>
      <c r="Q25" s="101" t="str">
        <f>LEFT(VLOOKUP(Ruimtestaat[[#This Row],[Ruimte code]],Ruimtegroepen[#All],4,1),2)</f>
        <v xml:space="preserve">L </v>
      </c>
      <c r="R25" s="92"/>
      <c r="S25" s="93">
        <v>40</v>
      </c>
      <c r="T25" s="93" t="s">
        <v>2</v>
      </c>
      <c r="U25" s="94">
        <f>IF(S25&gt;0,IF(RIGHT(Ruimtestaat[[#This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" s="94">
        <f>IF(U25&gt;0,VLOOKUP($K25,Ruimtegroepen[],3,FALSE)*VLOOKUP($M25,Vloersoorten[],3,FALSE)*VLOOKUP($T25,Frequenties[],3,FALSE)*VLOOKUP($A25,Locaties[],3,FALSE),0)</f>
        <v>0</v>
      </c>
      <c r="W25" s="95">
        <f>Ruimtestaat[[#This Row],[Uitvoeringen werkdagen]]*Ruimtestaat[[#This Row],[Oppervlak (netto)]]</f>
        <v>21400</v>
      </c>
      <c r="X25" s="96">
        <f>IF(V25&gt;0,Ruimtestaat[[#This Row],[Prest. (m2 /jaar) werkdagen]]/Ruimtestaat[[#This Row],[Norm (m2/uur) werkdagen]],0)</f>
        <v>0</v>
      </c>
      <c r="Y25" s="97">
        <f>Ruimtestaat[[#This Row],[uren / jaar werkdagen]]*Tariefsopbouw!$E$35</f>
        <v>0</v>
      </c>
      <c r="Z25" s="94"/>
      <c r="AA25" s="98">
        <f>IF(Ruimtestaat[[#This Row],[Frequentie weekend]]&gt;0,VALUE(LEFT(Z25,1))*S25,0)</f>
        <v>0</v>
      </c>
      <c r="AB25" s="94">
        <f>IF($AA25&gt;0,VLOOKUP($K25,Ruimtegroepen[],3,FALSE)*VLOOKUP($M25,Vloersoorten[],3,FALSE)*VLOOKUP($Z25,Frequenties[],3,FALSE)*VLOOKUP($A21,Locaties[],3,FALSE),0)</f>
        <v>0</v>
      </c>
      <c r="AC25" s="96">
        <f>Ruimtestaat[[#This Row],[Uitvoeringen weekend]]*Ruimtestaat[[#This Row],[Oppervlak (netto)]]</f>
        <v>0</v>
      </c>
      <c r="AD25" s="99">
        <f>IF(AC25&gt;0,Ruimtestaat[[#This Row],[Prest. (m2 /jaar) weekend]]/Ruimtestaat[[#This Row],[Norm (m2/uur) weekend]],0)</f>
        <v>0</v>
      </c>
      <c r="AE25" s="100">
        <f>Ruimtestaat[[#This Row],[uren / jaar weekend]]*Tariefsopbouw!$D$40</f>
        <v>0</v>
      </c>
      <c r="AF25" s="72">
        <f>Ruimtestaat[[#This Row],[Prest. (m2 /jaar) weekend]]+Ruimtestaat[[#This Row],[Prest. (m2 /jaar) werkdagen]]</f>
        <v>21400</v>
      </c>
      <c r="AG25" s="72">
        <f>Ruimtestaat[[#This Row],[uren / jaar weekend]]+Ruimtestaat[[#This Row],[uren / jaar werkdagen]]</f>
        <v>0</v>
      </c>
      <c r="AH25" s="73">
        <f>Ruimtestaat[[#This Row],[kosten / jaar weekend]]+Ruimtestaat[[#This Row],[kosten / jaar werkdagen]]</f>
        <v>0</v>
      </c>
    </row>
    <row r="26" spans="1:34" ht="15" customHeight="1">
      <c r="A26" s="118">
        <v>1</v>
      </c>
      <c r="B26" s="24" t="str">
        <f>VLOOKUP(Ruimtestaat[[#This Row],[Code]],Locaties[#All],2,FALSE)</f>
        <v>Rembrandt College</v>
      </c>
      <c r="C26" s="24" t="str">
        <f>VLOOKUP(Ruimtestaat[[#This Row],[Code]],Locaties[#All],4,FALSE)</f>
        <v>Rembrandtlaan 2</v>
      </c>
      <c r="D26" s="24" t="str">
        <f>VLOOKUP(Ruimtestaat[[#This Row],[Code]],Locaties[#All],5,FALSE)</f>
        <v>3904 ZK</v>
      </c>
      <c r="E26" s="24" t="str">
        <f>VLOOKUP(Ruimtestaat[[#This Row],[Code]],Locaties[#All],6,FALSE)</f>
        <v>Veenendaal</v>
      </c>
      <c r="F26" s="66"/>
      <c r="G26" s="24" t="s">
        <v>465</v>
      </c>
      <c r="H26" s="24" t="s">
        <v>471</v>
      </c>
      <c r="I26" s="24" t="s">
        <v>487</v>
      </c>
      <c r="J26" s="4" t="s">
        <v>597</v>
      </c>
      <c r="K26" s="24">
        <v>14</v>
      </c>
      <c r="L26" s="66" t="str">
        <f>VLOOKUP(K26,Ruimtegroepen[],2,FALSE)</f>
        <v>Praktijklokalen binas/zorg</v>
      </c>
      <c r="M26" s="24" t="s">
        <v>114</v>
      </c>
      <c r="N26" s="24" t="s">
        <v>649</v>
      </c>
      <c r="O26" s="92">
        <v>50.7</v>
      </c>
      <c r="P26" s="92"/>
      <c r="Q26" s="101" t="str">
        <f>LEFT(VLOOKUP(Ruimtestaat[[#This Row],[Ruimte code]],Ruimtegroepen[#All],4,1),2)</f>
        <v xml:space="preserve">L </v>
      </c>
      <c r="R26" s="92"/>
      <c r="S26" s="93">
        <v>40</v>
      </c>
      <c r="T26" s="93" t="s">
        <v>2</v>
      </c>
      <c r="U26" s="94">
        <f>IF(S26&gt;0,IF(RIGHT(Ruimtestaat[[#This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" s="94">
        <f>IF(U26&gt;0,VLOOKUP($K26,Ruimtegroepen[],3,FALSE)*VLOOKUP($M26,Vloersoorten[],3,FALSE)*VLOOKUP($T26,Frequenties[],3,FALSE)*VLOOKUP($A26,Locaties[],3,FALSE),0)</f>
        <v>0</v>
      </c>
      <c r="W26" s="95">
        <f>Ruimtestaat[[#This Row],[Uitvoeringen werkdagen]]*Ruimtestaat[[#This Row],[Oppervlak (netto)]]</f>
        <v>10140</v>
      </c>
      <c r="X26" s="96">
        <f>IF(V26&gt;0,Ruimtestaat[[#This Row],[Prest. (m2 /jaar) werkdagen]]/Ruimtestaat[[#This Row],[Norm (m2/uur) werkdagen]],0)</f>
        <v>0</v>
      </c>
      <c r="Y26" s="97">
        <f>Ruimtestaat[[#This Row],[uren / jaar werkdagen]]*Tariefsopbouw!$E$35</f>
        <v>0</v>
      </c>
      <c r="Z26" s="94"/>
      <c r="AA26" s="98">
        <f>IF(Ruimtestaat[[#This Row],[Frequentie weekend]]&gt;0,VALUE(LEFT(Z26,1))*S26,0)</f>
        <v>0</v>
      </c>
      <c r="AB26" s="94">
        <f>IF($AA26&gt;0,VLOOKUP($K26,Ruimtegroepen[],3,FALSE)*VLOOKUP($M26,Vloersoorten[],3,FALSE)*VLOOKUP($Z26,Frequenties[],3,FALSE)*VLOOKUP($A22,Locaties[],3,FALSE),0)</f>
        <v>0</v>
      </c>
      <c r="AC26" s="96">
        <f>Ruimtestaat[[#This Row],[Uitvoeringen weekend]]*Ruimtestaat[[#This Row],[Oppervlak (netto)]]</f>
        <v>0</v>
      </c>
      <c r="AD26" s="99">
        <f>IF(AC26&gt;0,Ruimtestaat[[#This Row],[Prest. (m2 /jaar) weekend]]/Ruimtestaat[[#This Row],[Norm (m2/uur) weekend]],0)</f>
        <v>0</v>
      </c>
      <c r="AE26" s="100">
        <f>Ruimtestaat[[#This Row],[uren / jaar weekend]]*Tariefsopbouw!$D$40</f>
        <v>0</v>
      </c>
      <c r="AF26" s="72">
        <f>Ruimtestaat[[#This Row],[Prest. (m2 /jaar) weekend]]+Ruimtestaat[[#This Row],[Prest. (m2 /jaar) werkdagen]]</f>
        <v>10140</v>
      </c>
      <c r="AG26" s="72">
        <f>Ruimtestaat[[#This Row],[uren / jaar weekend]]+Ruimtestaat[[#This Row],[uren / jaar werkdagen]]</f>
        <v>0</v>
      </c>
      <c r="AH26" s="73">
        <f>Ruimtestaat[[#This Row],[kosten / jaar weekend]]+Ruimtestaat[[#This Row],[kosten / jaar werkdagen]]</f>
        <v>0</v>
      </c>
    </row>
    <row r="27" spans="1:34" ht="15" customHeight="1">
      <c r="A27" s="118">
        <v>1</v>
      </c>
      <c r="B27" s="24" t="str">
        <f>VLOOKUP(Ruimtestaat[[#This Row],[Code]],Locaties[#All],2,FALSE)</f>
        <v>Rembrandt College</v>
      </c>
      <c r="C27" s="24" t="str">
        <f>VLOOKUP(Ruimtestaat[[#This Row],[Code]],Locaties[#All],4,FALSE)</f>
        <v>Rembrandtlaan 2</v>
      </c>
      <c r="D27" s="24" t="str">
        <f>VLOOKUP(Ruimtestaat[[#This Row],[Code]],Locaties[#All],5,FALSE)</f>
        <v>3904 ZK</v>
      </c>
      <c r="E27" s="24" t="str">
        <f>VLOOKUP(Ruimtestaat[[#This Row],[Code]],Locaties[#All],6,FALSE)</f>
        <v>Veenendaal</v>
      </c>
      <c r="F27" s="66"/>
      <c r="G27" s="24" t="s">
        <v>465</v>
      </c>
      <c r="H27" s="24" t="s">
        <v>470</v>
      </c>
      <c r="I27" s="24" t="s">
        <v>488</v>
      </c>
      <c r="J27" s="4" t="s">
        <v>597</v>
      </c>
      <c r="K27" s="24">
        <v>14</v>
      </c>
      <c r="L27" s="66" t="str">
        <f>VLOOKUP(K27,Ruimtegroepen[],2,FALSE)</f>
        <v>Praktijklokalen binas/zorg</v>
      </c>
      <c r="M27" s="24" t="s">
        <v>114</v>
      </c>
      <c r="N27" s="24" t="s">
        <v>649</v>
      </c>
      <c r="O27" s="92">
        <v>115</v>
      </c>
      <c r="P27" s="92"/>
      <c r="Q27" s="101" t="str">
        <f>LEFT(VLOOKUP(Ruimtestaat[[#This Row],[Ruimte code]],Ruimtegroepen[#All],4,1),2)</f>
        <v xml:space="preserve">L </v>
      </c>
      <c r="R27" s="92"/>
      <c r="S27" s="93">
        <v>40</v>
      </c>
      <c r="T27" s="93" t="s">
        <v>2</v>
      </c>
      <c r="U27" s="94">
        <f>IF(S27&gt;0,IF(RIGHT(Ruimtestaat[[#This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" s="94">
        <f>IF(U27&gt;0,VLOOKUP($K27,Ruimtegroepen[],3,FALSE)*VLOOKUP($M27,Vloersoorten[],3,FALSE)*VLOOKUP($T27,Frequenties[],3,FALSE)*VLOOKUP($A27,Locaties[],3,FALSE),0)</f>
        <v>0</v>
      </c>
      <c r="W27" s="95">
        <f>Ruimtestaat[[#This Row],[Uitvoeringen werkdagen]]*Ruimtestaat[[#This Row],[Oppervlak (netto)]]</f>
        <v>23000</v>
      </c>
      <c r="X27" s="96">
        <f>IF(V27&gt;0,Ruimtestaat[[#This Row],[Prest. (m2 /jaar) werkdagen]]/Ruimtestaat[[#This Row],[Norm (m2/uur) werkdagen]],0)</f>
        <v>0</v>
      </c>
      <c r="Y27" s="97">
        <f>Ruimtestaat[[#This Row],[uren / jaar werkdagen]]*Tariefsopbouw!$E$35</f>
        <v>0</v>
      </c>
      <c r="Z27" s="94"/>
      <c r="AA27" s="98">
        <f>IF(Ruimtestaat[[#This Row],[Frequentie weekend]]&gt;0,VALUE(LEFT(Z27,1))*S27,0)</f>
        <v>0</v>
      </c>
      <c r="AB27" s="94">
        <f>IF($AA27&gt;0,VLOOKUP($K27,Ruimtegroepen[],3,FALSE)*VLOOKUP($M27,Vloersoorten[],3,FALSE)*VLOOKUP($Z27,Frequenties[],3,FALSE)*VLOOKUP($A23,Locaties[],3,FALSE),0)</f>
        <v>0</v>
      </c>
      <c r="AC27" s="96">
        <f>Ruimtestaat[[#This Row],[Uitvoeringen weekend]]*Ruimtestaat[[#This Row],[Oppervlak (netto)]]</f>
        <v>0</v>
      </c>
      <c r="AD27" s="99">
        <f>IF(AC27&gt;0,Ruimtestaat[[#This Row],[Prest. (m2 /jaar) weekend]]/Ruimtestaat[[#This Row],[Norm (m2/uur) weekend]],0)</f>
        <v>0</v>
      </c>
      <c r="AE27" s="100">
        <f>Ruimtestaat[[#This Row],[uren / jaar weekend]]*Tariefsopbouw!$D$40</f>
        <v>0</v>
      </c>
      <c r="AF27" s="72">
        <f>Ruimtestaat[[#This Row],[Prest. (m2 /jaar) weekend]]+Ruimtestaat[[#This Row],[Prest. (m2 /jaar) werkdagen]]</f>
        <v>23000</v>
      </c>
      <c r="AG27" s="72">
        <f>Ruimtestaat[[#This Row],[uren / jaar weekend]]+Ruimtestaat[[#This Row],[uren / jaar werkdagen]]</f>
        <v>0</v>
      </c>
      <c r="AH27" s="73">
        <f>Ruimtestaat[[#This Row],[kosten / jaar weekend]]+Ruimtestaat[[#This Row],[kosten / jaar werkdagen]]</f>
        <v>0</v>
      </c>
    </row>
    <row r="28" spans="1:34" ht="15" customHeight="1">
      <c r="A28" s="118">
        <v>1</v>
      </c>
      <c r="B28" s="24" t="str">
        <f>VLOOKUP(Ruimtestaat[[#This Row],[Code]],Locaties[#All],2,FALSE)</f>
        <v>Rembrandt College</v>
      </c>
      <c r="C28" s="24" t="str">
        <f>VLOOKUP(Ruimtestaat[[#This Row],[Code]],Locaties[#All],4,FALSE)</f>
        <v>Rembrandtlaan 2</v>
      </c>
      <c r="D28" s="24" t="str">
        <f>VLOOKUP(Ruimtestaat[[#This Row],[Code]],Locaties[#All],5,FALSE)</f>
        <v>3904 ZK</v>
      </c>
      <c r="E28" s="24" t="str">
        <f>VLOOKUP(Ruimtestaat[[#This Row],[Code]],Locaties[#All],6,FALSE)</f>
        <v>Veenendaal</v>
      </c>
      <c r="F28" s="66"/>
      <c r="G28" s="24" t="s">
        <v>465</v>
      </c>
      <c r="H28" s="24" t="s">
        <v>469</v>
      </c>
      <c r="I28" s="24" t="s">
        <v>489</v>
      </c>
      <c r="J28" s="4" t="s">
        <v>597</v>
      </c>
      <c r="K28" s="24">
        <v>14</v>
      </c>
      <c r="L28" s="66" t="str">
        <f>VLOOKUP(K28,Ruimtegroepen[],2,FALSE)</f>
        <v>Praktijklokalen binas/zorg</v>
      </c>
      <c r="M28" s="24" t="s">
        <v>114</v>
      </c>
      <c r="N28" s="24" t="s">
        <v>649</v>
      </c>
      <c r="O28" s="92">
        <v>115</v>
      </c>
      <c r="P28" s="92"/>
      <c r="Q28" s="101" t="str">
        <f>LEFT(VLOOKUP(Ruimtestaat[[#This Row],[Ruimte code]],Ruimtegroepen[#All],4,1),2)</f>
        <v xml:space="preserve">L </v>
      </c>
      <c r="R28" s="92"/>
      <c r="S28" s="93">
        <v>40</v>
      </c>
      <c r="T28" s="93" t="s">
        <v>2</v>
      </c>
      <c r="U28" s="94">
        <f>IF(S28&gt;0,IF(RIGHT(Ruimtestaat[[#This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" s="94">
        <f>IF(U28&gt;0,VLOOKUP($K28,Ruimtegroepen[],3,FALSE)*VLOOKUP($M28,Vloersoorten[],3,FALSE)*VLOOKUP($T28,Frequenties[],3,FALSE)*VLOOKUP($A28,Locaties[],3,FALSE),0)</f>
        <v>0</v>
      </c>
      <c r="W28" s="95">
        <f>Ruimtestaat[[#This Row],[Uitvoeringen werkdagen]]*Ruimtestaat[[#This Row],[Oppervlak (netto)]]</f>
        <v>23000</v>
      </c>
      <c r="X28" s="96">
        <f>IF(V28&gt;0,Ruimtestaat[[#This Row],[Prest. (m2 /jaar) werkdagen]]/Ruimtestaat[[#This Row],[Norm (m2/uur) werkdagen]],0)</f>
        <v>0</v>
      </c>
      <c r="Y28" s="97">
        <f>Ruimtestaat[[#This Row],[uren / jaar werkdagen]]*Tariefsopbouw!$E$35</f>
        <v>0</v>
      </c>
      <c r="Z28" s="94"/>
      <c r="AA28" s="98">
        <f>IF(Ruimtestaat[[#This Row],[Frequentie weekend]]&gt;0,VALUE(LEFT(Z28,1))*S28,0)</f>
        <v>0</v>
      </c>
      <c r="AB28" s="94">
        <f>IF($AA28&gt;0,VLOOKUP($K28,Ruimtegroepen[],3,FALSE)*VLOOKUP($M28,Vloersoorten[],3,FALSE)*VLOOKUP($Z28,Frequenties[],3,FALSE)*VLOOKUP($A24,Locaties[],3,FALSE),0)</f>
        <v>0</v>
      </c>
      <c r="AC28" s="96">
        <f>Ruimtestaat[[#This Row],[Uitvoeringen weekend]]*Ruimtestaat[[#This Row],[Oppervlak (netto)]]</f>
        <v>0</v>
      </c>
      <c r="AD28" s="99">
        <f>IF(AC28&gt;0,Ruimtestaat[[#This Row],[Prest. (m2 /jaar) weekend]]/Ruimtestaat[[#This Row],[Norm (m2/uur) weekend]],0)</f>
        <v>0</v>
      </c>
      <c r="AE28" s="100">
        <f>Ruimtestaat[[#This Row],[uren / jaar weekend]]*Tariefsopbouw!$D$40</f>
        <v>0</v>
      </c>
      <c r="AF28" s="72">
        <f>Ruimtestaat[[#This Row],[Prest. (m2 /jaar) weekend]]+Ruimtestaat[[#This Row],[Prest. (m2 /jaar) werkdagen]]</f>
        <v>23000</v>
      </c>
      <c r="AG28" s="72">
        <f>Ruimtestaat[[#This Row],[uren / jaar weekend]]+Ruimtestaat[[#This Row],[uren / jaar werkdagen]]</f>
        <v>0</v>
      </c>
      <c r="AH28" s="73">
        <f>Ruimtestaat[[#This Row],[kosten / jaar weekend]]+Ruimtestaat[[#This Row],[kosten / jaar werkdagen]]</f>
        <v>0</v>
      </c>
    </row>
    <row r="29" spans="1:34" ht="15" customHeight="1">
      <c r="A29" s="118">
        <v>1</v>
      </c>
      <c r="B29" s="24" t="str">
        <f>VLOOKUP(Ruimtestaat[[#This Row],[Code]],Locaties[#All],2,FALSE)</f>
        <v>Rembrandt College</v>
      </c>
      <c r="C29" s="24" t="str">
        <f>VLOOKUP(Ruimtestaat[[#This Row],[Code]],Locaties[#All],4,FALSE)</f>
        <v>Rembrandtlaan 2</v>
      </c>
      <c r="D29" s="24" t="str">
        <f>VLOOKUP(Ruimtestaat[[#This Row],[Code]],Locaties[#All],5,FALSE)</f>
        <v>3904 ZK</v>
      </c>
      <c r="E29" s="24" t="str">
        <f>VLOOKUP(Ruimtestaat[[#This Row],[Code]],Locaties[#All],6,FALSE)</f>
        <v>Veenendaal</v>
      </c>
      <c r="F29" s="184"/>
      <c r="G29" s="24" t="s">
        <v>465</v>
      </c>
      <c r="H29" s="24" t="s">
        <v>468</v>
      </c>
      <c r="I29" s="24" t="s">
        <v>490</v>
      </c>
      <c r="J29" s="66" t="s">
        <v>597</v>
      </c>
      <c r="K29" s="183">
        <v>14</v>
      </c>
      <c r="L29" s="66" t="str">
        <f>VLOOKUP(K29,Ruimtegroepen[],2,FALSE)</f>
        <v>Praktijklokalen binas/zorg</v>
      </c>
      <c r="M29" s="24" t="s">
        <v>114</v>
      </c>
      <c r="N29" s="24" t="s">
        <v>649</v>
      </c>
      <c r="O29" s="185">
        <v>110</v>
      </c>
      <c r="P29" s="185"/>
      <c r="Q29" s="101" t="str">
        <f>LEFT(VLOOKUP(Ruimtestaat[[#This Row],[Ruimte code]],Ruimtegroepen[#All],4,1),2)</f>
        <v xml:space="preserve">L </v>
      </c>
      <c r="R29" s="186"/>
      <c r="S29" s="93">
        <v>40</v>
      </c>
      <c r="T29" s="93" t="s">
        <v>2</v>
      </c>
      <c r="U29" s="94">
        <f>IF(S29&gt;0,IF(RIGHT(Ruimtestaat[[#This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" s="94">
        <f>IF(U29&gt;0,VLOOKUP($K29,Ruimtegroepen[],3,FALSE)*VLOOKUP($M29,Vloersoorten[],3,FALSE)*VLOOKUP($T29,Frequenties[],3,FALSE)*VLOOKUP($A29,Locaties[],3,FALSE),0)</f>
        <v>0</v>
      </c>
      <c r="W29" s="95">
        <f>Ruimtestaat[[#This Row],[Uitvoeringen werkdagen]]*Ruimtestaat[[#This Row],[Oppervlak (netto)]]</f>
        <v>22000</v>
      </c>
      <c r="X29" s="96">
        <f>IF(V29&gt;0,Ruimtestaat[[#This Row],[Prest. (m2 /jaar) werkdagen]]/Ruimtestaat[[#This Row],[Norm (m2/uur) werkdagen]],0)</f>
        <v>0</v>
      </c>
      <c r="Y29" s="97">
        <f>Ruimtestaat[[#This Row],[uren / jaar werkdagen]]*Tariefsopbouw!$E$35</f>
        <v>0</v>
      </c>
      <c r="Z29" s="187"/>
      <c r="AA29" s="98">
        <f>IF(Ruimtestaat[[#This Row],[Frequentie weekend]]&gt;0,VALUE(LEFT(Z29,1))*S29,0)</f>
        <v>0</v>
      </c>
      <c r="AB29" s="94">
        <f>IF($AA29&gt;0,VLOOKUP($K29,Ruimtegroepen[],3,FALSE)*VLOOKUP($M29,Vloersoorten[],3,FALSE)*VLOOKUP($Z29,Frequenties[],3,FALSE)*VLOOKUP($A25,Locaties[],3,FALSE),0)</f>
        <v>0</v>
      </c>
      <c r="AC29" s="96">
        <f>Ruimtestaat[[#This Row],[Uitvoeringen weekend]]*Ruimtestaat[[#This Row],[Oppervlak (netto)]]</f>
        <v>0</v>
      </c>
      <c r="AD29" s="99">
        <f>IF(AC29&gt;0,Ruimtestaat[[#This Row],[Prest. (m2 /jaar) weekend]]/Ruimtestaat[[#This Row],[Norm (m2/uur) weekend]],0)</f>
        <v>0</v>
      </c>
      <c r="AE29" s="100">
        <f>Ruimtestaat[[#This Row],[uren / jaar weekend]]*Tariefsopbouw!$D$40</f>
        <v>0</v>
      </c>
      <c r="AF29" s="72">
        <f>Ruimtestaat[[#This Row],[Prest. (m2 /jaar) weekend]]+Ruimtestaat[[#This Row],[Prest. (m2 /jaar) werkdagen]]</f>
        <v>22000</v>
      </c>
      <c r="AG29" s="72">
        <f>Ruimtestaat[[#This Row],[uren / jaar weekend]]+Ruimtestaat[[#This Row],[uren / jaar werkdagen]]</f>
        <v>0</v>
      </c>
      <c r="AH29" s="73">
        <f>Ruimtestaat[[#This Row],[kosten / jaar weekend]]+Ruimtestaat[[#This Row],[kosten / jaar werkdagen]]</f>
        <v>0</v>
      </c>
    </row>
    <row r="30" spans="1:34" ht="15" customHeight="1">
      <c r="A30" s="118">
        <v>1</v>
      </c>
      <c r="B30" s="24" t="str">
        <f>VLOOKUP(Ruimtestaat[[#This Row],[Code]],Locaties[#All],2,FALSE)</f>
        <v>Rembrandt College</v>
      </c>
      <c r="C30" s="24" t="str">
        <f>VLOOKUP(Ruimtestaat[[#This Row],[Code]],Locaties[#All],4,FALSE)</f>
        <v>Rembrandtlaan 2</v>
      </c>
      <c r="D30" s="24" t="str">
        <f>VLOOKUP(Ruimtestaat[[#This Row],[Code]],Locaties[#All],5,FALSE)</f>
        <v>3904 ZK</v>
      </c>
      <c r="E30" s="24" t="str">
        <f>VLOOKUP(Ruimtestaat[[#This Row],[Code]],Locaties[#All],6,FALSE)</f>
        <v>Veenendaal</v>
      </c>
      <c r="F30" s="66"/>
      <c r="G30" s="24" t="s">
        <v>465</v>
      </c>
      <c r="H30" s="24"/>
      <c r="I30" s="24" t="s">
        <v>491</v>
      </c>
      <c r="J30" s="4" t="s">
        <v>598</v>
      </c>
      <c r="K30" s="24">
        <v>2</v>
      </c>
      <c r="L30" s="66" t="str">
        <f>VLOOKUP(K30,Ruimtegroepen[],2,FALSE)</f>
        <v>Kantoren</v>
      </c>
      <c r="M30" s="24" t="s">
        <v>114</v>
      </c>
      <c r="N30" s="24" t="s">
        <v>649</v>
      </c>
      <c r="O30" s="92">
        <v>19.8</v>
      </c>
      <c r="P30" s="92"/>
      <c r="Q30" s="101" t="str">
        <f>LEFT(VLOOKUP(Ruimtestaat[[#This Row],[Ruimte code]],Ruimtegroepen[#All],4,1),2)</f>
        <v xml:space="preserve">B </v>
      </c>
      <c r="R30" s="92"/>
      <c r="S30" s="93">
        <v>40</v>
      </c>
      <c r="T30" s="93" t="s">
        <v>18</v>
      </c>
      <c r="U30" s="94">
        <f>IF(S30&gt;0,IF(RIGHT(Ruimtestaat[[#This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30" s="94">
        <f>IF(U30&gt;0,VLOOKUP($K30,Ruimtegroepen[],3,FALSE)*VLOOKUP($M30,Vloersoorten[],3,FALSE)*VLOOKUP($T30,Frequenties[],3,FALSE)*VLOOKUP($A30,Locaties[],3,FALSE),0)</f>
        <v>0</v>
      </c>
      <c r="W30" s="95">
        <f>Ruimtestaat[[#This Row],[Uitvoeringen werkdagen]]*Ruimtestaat[[#This Row],[Oppervlak (netto)]]</f>
        <v>2376</v>
      </c>
      <c r="X30" s="96">
        <f>IF(V30&gt;0,Ruimtestaat[[#This Row],[Prest. (m2 /jaar) werkdagen]]/Ruimtestaat[[#This Row],[Norm (m2/uur) werkdagen]],0)</f>
        <v>0</v>
      </c>
      <c r="Y30" s="97">
        <f>Ruimtestaat[[#This Row],[uren / jaar werkdagen]]*Tariefsopbouw!$E$35</f>
        <v>0</v>
      </c>
      <c r="Z30" s="94"/>
      <c r="AA30" s="98">
        <f>IF(Ruimtestaat[[#This Row],[Frequentie weekend]]&gt;0,VALUE(LEFT(Z30,1))*S30,0)</f>
        <v>0</v>
      </c>
      <c r="AB30" s="94">
        <f>IF($AA30&gt;0,VLOOKUP($K30,Ruimtegroepen[],3,FALSE)*VLOOKUP($M30,Vloersoorten[],3,FALSE)*VLOOKUP($Z30,Frequenties[],3,FALSE)*VLOOKUP($A25,Locaties[],3,FALSE),0)</f>
        <v>0</v>
      </c>
      <c r="AC30" s="96">
        <f>Ruimtestaat[[#This Row],[Uitvoeringen weekend]]*Ruimtestaat[[#This Row],[Oppervlak (netto)]]</f>
        <v>0</v>
      </c>
      <c r="AD30" s="99">
        <f>IF(AC30&gt;0,Ruimtestaat[[#This Row],[Prest. (m2 /jaar) weekend]]/Ruimtestaat[[#This Row],[Norm (m2/uur) weekend]],0)</f>
        <v>0</v>
      </c>
      <c r="AE30" s="100">
        <f>Ruimtestaat[[#This Row],[uren / jaar weekend]]*Tariefsopbouw!$D$40</f>
        <v>0</v>
      </c>
      <c r="AF30" s="72">
        <f>Ruimtestaat[[#This Row],[Prest. (m2 /jaar) weekend]]+Ruimtestaat[[#This Row],[Prest. (m2 /jaar) werkdagen]]</f>
        <v>2376</v>
      </c>
      <c r="AG30" s="72">
        <f>Ruimtestaat[[#This Row],[uren / jaar weekend]]+Ruimtestaat[[#This Row],[uren / jaar werkdagen]]</f>
        <v>0</v>
      </c>
      <c r="AH30" s="73">
        <f>Ruimtestaat[[#This Row],[kosten / jaar weekend]]+Ruimtestaat[[#This Row],[kosten / jaar werkdagen]]</f>
        <v>0</v>
      </c>
    </row>
    <row r="31" spans="1:34" ht="15" customHeight="1">
      <c r="A31" s="118">
        <v>1</v>
      </c>
      <c r="B31" s="24" t="str">
        <f>VLOOKUP(Ruimtestaat[[#This Row],[Code]],Locaties[#All],2,FALSE)</f>
        <v>Rembrandt College</v>
      </c>
      <c r="C31" s="24" t="str">
        <f>VLOOKUP(Ruimtestaat[[#This Row],[Code]],Locaties[#All],4,FALSE)</f>
        <v>Rembrandtlaan 2</v>
      </c>
      <c r="D31" s="24" t="str">
        <f>VLOOKUP(Ruimtestaat[[#This Row],[Code]],Locaties[#All],5,FALSE)</f>
        <v>3904 ZK</v>
      </c>
      <c r="E31" s="24" t="str">
        <f>VLOOKUP(Ruimtestaat[[#This Row],[Code]],Locaties[#All],6,FALSE)</f>
        <v>Veenendaal</v>
      </c>
      <c r="F31" s="66"/>
      <c r="G31" s="24" t="s">
        <v>465</v>
      </c>
      <c r="H31" s="24" t="s">
        <v>693</v>
      </c>
      <c r="I31" s="24" t="s">
        <v>492</v>
      </c>
      <c r="J31" s="4" t="s">
        <v>599</v>
      </c>
      <c r="K31" s="24">
        <v>5</v>
      </c>
      <c r="L31" s="66" t="str">
        <f>VLOOKUP(K31,Ruimtegroepen[],2,FALSE)</f>
        <v>Sanitair</v>
      </c>
      <c r="M31" s="24" t="s">
        <v>113</v>
      </c>
      <c r="N31" s="24" t="s">
        <v>647</v>
      </c>
      <c r="O31" s="92">
        <v>14</v>
      </c>
      <c r="P31" s="92"/>
      <c r="Q31" s="101" t="str">
        <f>LEFT(VLOOKUP(Ruimtestaat[[#This Row],[Ruimte code]],Ruimtegroepen[#All],4,1),2)</f>
        <v xml:space="preserve">S </v>
      </c>
      <c r="R31" s="92"/>
      <c r="S31" s="93">
        <v>50</v>
      </c>
      <c r="T31" s="93" t="s">
        <v>19</v>
      </c>
      <c r="U31" s="94">
        <f>IF(S31&gt;0,IF(RIGHT(Ruimtestaat[[#This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31" s="94">
        <f>IF(U31&gt;0,VLOOKUP($K31,Ruimtegroepen[],3,FALSE)*VLOOKUP($M31,Vloersoorten[],3,FALSE)*VLOOKUP($T31,Frequenties[],3,FALSE)*VLOOKUP($A31,Locaties[],3,FALSE),0)</f>
        <v>0</v>
      </c>
      <c r="W31" s="95">
        <f>Ruimtestaat[[#This Row],[Uitvoeringen werkdagen]]*Ruimtestaat[[#This Row],[Oppervlak (netto)]]</f>
        <v>7000</v>
      </c>
      <c r="X31" s="96">
        <f>IF(V31&gt;0,Ruimtestaat[[#This Row],[Prest. (m2 /jaar) werkdagen]]/Ruimtestaat[[#This Row],[Norm (m2/uur) werkdagen]],0)</f>
        <v>0</v>
      </c>
      <c r="Y31" s="97">
        <f>Ruimtestaat[[#This Row],[uren / jaar werkdagen]]*Tariefsopbouw!$E$35</f>
        <v>0</v>
      </c>
      <c r="Z31" s="94"/>
      <c r="AA31" s="98">
        <f>IF(Ruimtestaat[[#This Row],[Frequentie weekend]]&gt;0,VALUE(LEFT(Z31,1))*S31,0)</f>
        <v>0</v>
      </c>
      <c r="AB31" s="94">
        <f>IF($AA31&gt;0,VLOOKUP($K31,Ruimtegroepen[],3,FALSE)*VLOOKUP($M31,Vloersoorten[],3,FALSE)*VLOOKUP($Z31,Frequenties[],3,FALSE)*VLOOKUP($A26,Locaties[],3,FALSE),0)</f>
        <v>0</v>
      </c>
      <c r="AC31" s="96">
        <f>Ruimtestaat[[#This Row],[Uitvoeringen weekend]]*Ruimtestaat[[#This Row],[Oppervlak (netto)]]</f>
        <v>0</v>
      </c>
      <c r="AD31" s="99">
        <f>IF(AC31&gt;0,Ruimtestaat[[#This Row],[Prest. (m2 /jaar) weekend]]/Ruimtestaat[[#This Row],[Norm (m2/uur) weekend]],0)</f>
        <v>0</v>
      </c>
      <c r="AE31" s="100">
        <f>Ruimtestaat[[#This Row],[uren / jaar weekend]]*Tariefsopbouw!$D$40</f>
        <v>0</v>
      </c>
      <c r="AF31" s="72">
        <f>Ruimtestaat[[#This Row],[Prest. (m2 /jaar) weekend]]+Ruimtestaat[[#This Row],[Prest. (m2 /jaar) werkdagen]]</f>
        <v>7000</v>
      </c>
      <c r="AG31" s="72">
        <f>Ruimtestaat[[#This Row],[uren / jaar weekend]]+Ruimtestaat[[#This Row],[uren / jaar werkdagen]]</f>
        <v>0</v>
      </c>
      <c r="AH31" s="73">
        <f>Ruimtestaat[[#This Row],[kosten / jaar weekend]]+Ruimtestaat[[#This Row],[kosten / jaar werkdagen]]</f>
        <v>0</v>
      </c>
    </row>
    <row r="32" spans="1:34" ht="15" customHeight="1">
      <c r="A32" s="118">
        <v>1</v>
      </c>
      <c r="B32" s="24" t="str">
        <f>VLOOKUP(Ruimtestaat[[#This Row],[Code]],Locaties[#All],2,FALSE)</f>
        <v>Rembrandt College</v>
      </c>
      <c r="C32" s="24" t="str">
        <f>VLOOKUP(Ruimtestaat[[#This Row],[Code]],Locaties[#All],4,FALSE)</f>
        <v>Rembrandtlaan 2</v>
      </c>
      <c r="D32" s="24" t="str">
        <f>VLOOKUP(Ruimtestaat[[#This Row],[Code]],Locaties[#All],5,FALSE)</f>
        <v>3904 ZK</v>
      </c>
      <c r="E32" s="24" t="str">
        <f>VLOOKUP(Ruimtestaat[[#This Row],[Code]],Locaties[#All],6,FALSE)</f>
        <v>Veenendaal</v>
      </c>
      <c r="F32" s="66"/>
      <c r="G32" s="24" t="s">
        <v>465</v>
      </c>
      <c r="H32" s="24" t="s">
        <v>694</v>
      </c>
      <c r="I32" s="24" t="s">
        <v>493</v>
      </c>
      <c r="J32" s="4" t="s">
        <v>600</v>
      </c>
      <c r="K32" s="24">
        <v>5</v>
      </c>
      <c r="L32" s="66" t="str">
        <f>VLOOKUP(K32,Ruimtegroepen[],2,FALSE)</f>
        <v>Sanitair</v>
      </c>
      <c r="M32" s="24" t="s">
        <v>113</v>
      </c>
      <c r="N32" s="24" t="s">
        <v>647</v>
      </c>
      <c r="O32" s="102">
        <v>9</v>
      </c>
      <c r="P32" s="92"/>
      <c r="Q32" s="101" t="str">
        <f>LEFT(VLOOKUP(Ruimtestaat[[#This Row],[Ruimte code]],Ruimtegroepen[#All],4,1),2)</f>
        <v xml:space="preserve">S </v>
      </c>
      <c r="R32" s="92"/>
      <c r="S32" s="93">
        <v>50</v>
      </c>
      <c r="T32" s="93" t="s">
        <v>19</v>
      </c>
      <c r="U32" s="94">
        <f>IF(S32&gt;0,IF(RIGHT(Ruimtestaat[[#This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32" s="94">
        <f>IF(U32&gt;0,VLOOKUP($K32,Ruimtegroepen[],3,FALSE)*VLOOKUP($M32,Vloersoorten[],3,FALSE)*VLOOKUP($T32,Frequenties[],3,FALSE)*VLOOKUP($A32,Locaties[],3,FALSE),0)</f>
        <v>0</v>
      </c>
      <c r="W32" s="95">
        <f>Ruimtestaat[[#This Row],[Uitvoeringen werkdagen]]*Ruimtestaat[[#This Row],[Oppervlak (netto)]]</f>
        <v>4500</v>
      </c>
      <c r="X32" s="96">
        <f>IF(V32&gt;0,Ruimtestaat[[#This Row],[Prest. (m2 /jaar) werkdagen]]/Ruimtestaat[[#This Row],[Norm (m2/uur) werkdagen]],0)</f>
        <v>0</v>
      </c>
      <c r="Y32" s="97">
        <f>Ruimtestaat[[#This Row],[uren / jaar werkdagen]]*Tariefsopbouw!$E$35</f>
        <v>0</v>
      </c>
      <c r="Z32" s="94"/>
      <c r="AA32" s="98">
        <f>IF(Ruimtestaat[[#This Row],[Frequentie weekend]]&gt;0,VALUE(LEFT(Z32,1))*S32,0)</f>
        <v>0</v>
      </c>
      <c r="AB32" s="94">
        <f>IF($AA32&gt;0,VLOOKUP($K32,Ruimtegroepen[],3,FALSE)*VLOOKUP($M32,Vloersoorten[],3,FALSE)*VLOOKUP($Z32,Frequenties[],3,FALSE)*VLOOKUP($A27,Locaties[],3,FALSE),0)</f>
        <v>0</v>
      </c>
      <c r="AC32" s="96">
        <f>Ruimtestaat[[#This Row],[Uitvoeringen weekend]]*Ruimtestaat[[#This Row],[Oppervlak (netto)]]</f>
        <v>0</v>
      </c>
      <c r="AD32" s="99">
        <f>IF(AC32&gt;0,Ruimtestaat[[#This Row],[Prest. (m2 /jaar) weekend]]/Ruimtestaat[[#This Row],[Norm (m2/uur) weekend]],0)</f>
        <v>0</v>
      </c>
      <c r="AE32" s="100">
        <f>Ruimtestaat[[#This Row],[uren / jaar weekend]]*Tariefsopbouw!$D$40</f>
        <v>0</v>
      </c>
      <c r="AF32" s="72">
        <f>Ruimtestaat[[#This Row],[Prest. (m2 /jaar) weekend]]+Ruimtestaat[[#This Row],[Prest. (m2 /jaar) werkdagen]]</f>
        <v>4500</v>
      </c>
      <c r="AG32" s="72">
        <f>Ruimtestaat[[#This Row],[uren / jaar weekend]]+Ruimtestaat[[#This Row],[uren / jaar werkdagen]]</f>
        <v>0</v>
      </c>
      <c r="AH32" s="73">
        <f>Ruimtestaat[[#This Row],[kosten / jaar weekend]]+Ruimtestaat[[#This Row],[kosten / jaar werkdagen]]</f>
        <v>0</v>
      </c>
    </row>
    <row r="33" spans="1:34" ht="15" customHeight="1">
      <c r="A33" s="118">
        <v>1</v>
      </c>
      <c r="B33" s="24" t="str">
        <f>VLOOKUP(Ruimtestaat[[#This Row],[Code]],Locaties[#All],2,FALSE)</f>
        <v>Rembrandt College</v>
      </c>
      <c r="C33" s="24" t="str">
        <f>VLOOKUP(Ruimtestaat[[#This Row],[Code]],Locaties[#All],4,FALSE)</f>
        <v>Rembrandtlaan 2</v>
      </c>
      <c r="D33" s="24" t="str">
        <f>VLOOKUP(Ruimtestaat[[#This Row],[Code]],Locaties[#All],5,FALSE)</f>
        <v>3904 ZK</v>
      </c>
      <c r="E33" s="24" t="str">
        <f>VLOOKUP(Ruimtestaat[[#This Row],[Code]],Locaties[#All],6,FALSE)</f>
        <v>Veenendaal</v>
      </c>
      <c r="F33" s="66"/>
      <c r="G33" s="24" t="s">
        <v>465</v>
      </c>
      <c r="H33" s="24" t="s">
        <v>695</v>
      </c>
      <c r="I33" s="24" t="s">
        <v>494</v>
      </c>
      <c r="J33" s="4" t="s">
        <v>601</v>
      </c>
      <c r="K33" s="24">
        <v>1</v>
      </c>
      <c r="L33" s="66" t="str">
        <f>VLOOKUP(K33,Ruimtegroepen[],2,FALSE)</f>
        <v>Magazijnen/bergingen</v>
      </c>
      <c r="M33" s="24" t="s">
        <v>645</v>
      </c>
      <c r="N33" s="24" t="s">
        <v>384</v>
      </c>
      <c r="O33" s="92">
        <v>45</v>
      </c>
      <c r="P33" s="92"/>
      <c r="Q33" s="101" t="str">
        <f>LEFT(VLOOKUP(Ruimtestaat[[#This Row],[Ruimte code]],Ruimtegroepen[#All],4,1),2)</f>
        <v xml:space="preserve">V </v>
      </c>
      <c r="R33" s="92"/>
      <c r="S33" s="93">
        <v>40</v>
      </c>
      <c r="T33" s="93" t="s">
        <v>2</v>
      </c>
      <c r="U33" s="94">
        <f>IF(S33&gt;0,IF(RIGHT(Ruimtestaat[[#This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" s="94">
        <f>IF(U33&gt;0,VLOOKUP($K33,Ruimtegroepen[],3,FALSE)*VLOOKUP($M33,Vloersoorten[],3,FALSE)*VLOOKUP($T33,Frequenties[],3,FALSE)*VLOOKUP($A33,Locaties[],3,FALSE),0)</f>
        <v>0</v>
      </c>
      <c r="W33" s="95">
        <f>Ruimtestaat[[#This Row],[Uitvoeringen werkdagen]]*Ruimtestaat[[#This Row],[Oppervlak (netto)]]</f>
        <v>9000</v>
      </c>
      <c r="X33" s="96">
        <f>IF(V33&gt;0,Ruimtestaat[[#This Row],[Prest. (m2 /jaar) werkdagen]]/Ruimtestaat[[#This Row],[Norm (m2/uur) werkdagen]],0)</f>
        <v>0</v>
      </c>
      <c r="Y33" s="97">
        <f>Ruimtestaat[[#This Row],[uren / jaar werkdagen]]*Tariefsopbouw!$E$35</f>
        <v>0</v>
      </c>
      <c r="Z33" s="94"/>
      <c r="AA33" s="98">
        <f>IF(Ruimtestaat[[#This Row],[Frequentie weekend]]&gt;0,VALUE(LEFT(Z33,1))*S33,0)</f>
        <v>0</v>
      </c>
      <c r="AB33" s="94">
        <f>IF($AA33&gt;0,VLOOKUP($K33,Ruimtegroepen[],3,FALSE)*VLOOKUP($M33,Vloersoorten[],3,FALSE)*VLOOKUP($Z33,Frequenties[],3,FALSE)*VLOOKUP($A28,Locaties[],3,FALSE),0)</f>
        <v>0</v>
      </c>
      <c r="AC33" s="96">
        <f>Ruimtestaat[[#This Row],[Uitvoeringen weekend]]*Ruimtestaat[[#This Row],[Oppervlak (netto)]]</f>
        <v>0</v>
      </c>
      <c r="AD33" s="99">
        <f>IF(AC33&gt;0,Ruimtestaat[[#This Row],[Prest. (m2 /jaar) weekend]]/Ruimtestaat[[#This Row],[Norm (m2/uur) weekend]],0)</f>
        <v>0</v>
      </c>
      <c r="AE33" s="100">
        <f>Ruimtestaat[[#This Row],[uren / jaar weekend]]*Tariefsopbouw!$D$40</f>
        <v>0</v>
      </c>
      <c r="AF33" s="72">
        <f>Ruimtestaat[[#This Row],[Prest. (m2 /jaar) weekend]]+Ruimtestaat[[#This Row],[Prest. (m2 /jaar) werkdagen]]</f>
        <v>9000</v>
      </c>
      <c r="AG33" s="72">
        <f>Ruimtestaat[[#This Row],[uren / jaar weekend]]+Ruimtestaat[[#This Row],[uren / jaar werkdagen]]</f>
        <v>0</v>
      </c>
      <c r="AH33" s="73">
        <f>Ruimtestaat[[#This Row],[kosten / jaar weekend]]+Ruimtestaat[[#This Row],[kosten / jaar werkdagen]]</f>
        <v>0</v>
      </c>
    </row>
    <row r="34" spans="1:34" ht="15" customHeight="1">
      <c r="A34" s="118">
        <v>1</v>
      </c>
      <c r="B34" s="24" t="str">
        <f>VLOOKUP(Ruimtestaat[[#This Row],[Code]],Locaties[#All],2,FALSE)</f>
        <v>Rembrandt College</v>
      </c>
      <c r="C34" s="24" t="str">
        <f>VLOOKUP(Ruimtestaat[[#This Row],[Code]],Locaties[#All],4,FALSE)</f>
        <v>Rembrandtlaan 2</v>
      </c>
      <c r="D34" s="24" t="str">
        <f>VLOOKUP(Ruimtestaat[[#This Row],[Code]],Locaties[#All],5,FALSE)</f>
        <v>3904 ZK</v>
      </c>
      <c r="E34" s="24" t="str">
        <f>VLOOKUP(Ruimtestaat[[#This Row],[Code]],Locaties[#All],6,FALSE)</f>
        <v>Veenendaal</v>
      </c>
      <c r="F34" s="66"/>
      <c r="G34" s="24" t="s">
        <v>465</v>
      </c>
      <c r="H34" s="24" t="s">
        <v>696</v>
      </c>
      <c r="I34" s="24" t="s">
        <v>495</v>
      </c>
      <c r="J34" s="4" t="s">
        <v>600</v>
      </c>
      <c r="K34" s="24">
        <v>5</v>
      </c>
      <c r="L34" s="66" t="str">
        <f>VLOOKUP(K34,Ruimtegroepen[],2,FALSE)</f>
        <v>Sanitair</v>
      </c>
      <c r="M34" s="24" t="s">
        <v>113</v>
      </c>
      <c r="N34" s="24" t="s">
        <v>647</v>
      </c>
      <c r="O34" s="102">
        <v>3.4</v>
      </c>
      <c r="P34" s="92"/>
      <c r="Q34" s="101" t="str">
        <f>LEFT(VLOOKUP(Ruimtestaat[[#This Row],[Ruimte code]],Ruimtegroepen[#All],4,1),2)</f>
        <v xml:space="preserve">S </v>
      </c>
      <c r="R34" s="92"/>
      <c r="S34" s="93">
        <v>50</v>
      </c>
      <c r="T34" s="93" t="s">
        <v>19</v>
      </c>
      <c r="U34" s="94">
        <f>IF(S34&gt;0,IF(RIGHT(Ruimtestaat[[#This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34" s="94">
        <f>IF(U34&gt;0,VLOOKUP($K34,Ruimtegroepen[],3,FALSE)*VLOOKUP($M34,Vloersoorten[],3,FALSE)*VLOOKUP($T34,Frequenties[],3,FALSE)*VLOOKUP($A34,Locaties[],3,FALSE),0)</f>
        <v>0</v>
      </c>
      <c r="W34" s="95">
        <f>Ruimtestaat[[#This Row],[Uitvoeringen werkdagen]]*Ruimtestaat[[#This Row],[Oppervlak (netto)]]</f>
        <v>1700</v>
      </c>
      <c r="X34" s="96">
        <f>IF(V34&gt;0,Ruimtestaat[[#This Row],[Prest. (m2 /jaar) werkdagen]]/Ruimtestaat[[#This Row],[Norm (m2/uur) werkdagen]],0)</f>
        <v>0</v>
      </c>
      <c r="Y34" s="97">
        <f>Ruimtestaat[[#This Row],[uren / jaar werkdagen]]*Tariefsopbouw!$E$35</f>
        <v>0</v>
      </c>
      <c r="Z34" s="94"/>
      <c r="AA34" s="98">
        <f>IF(Ruimtestaat[[#This Row],[Frequentie weekend]]&gt;0,VALUE(LEFT(Z34,1))*S34,0)</f>
        <v>0</v>
      </c>
      <c r="AB34" s="94">
        <f>IF($AA34&gt;0,VLOOKUP($K34,Ruimtegroepen[],3,FALSE)*VLOOKUP($M34,Vloersoorten[],3,FALSE)*VLOOKUP($Z34,Frequenties[],3,FALSE)*VLOOKUP($A30,Locaties[],3,FALSE),0)</f>
        <v>0</v>
      </c>
      <c r="AC34" s="96">
        <f>Ruimtestaat[[#This Row],[Uitvoeringen weekend]]*Ruimtestaat[[#This Row],[Oppervlak (netto)]]</f>
        <v>0</v>
      </c>
      <c r="AD34" s="99">
        <f>IF(AC34&gt;0,Ruimtestaat[[#This Row],[Prest. (m2 /jaar) weekend]]/Ruimtestaat[[#This Row],[Norm (m2/uur) weekend]],0)</f>
        <v>0</v>
      </c>
      <c r="AE34" s="100">
        <f>Ruimtestaat[[#This Row],[uren / jaar weekend]]*Tariefsopbouw!$D$40</f>
        <v>0</v>
      </c>
      <c r="AF34" s="72">
        <f>Ruimtestaat[[#This Row],[Prest. (m2 /jaar) weekend]]+Ruimtestaat[[#This Row],[Prest. (m2 /jaar) werkdagen]]</f>
        <v>1700</v>
      </c>
      <c r="AG34" s="72">
        <f>Ruimtestaat[[#This Row],[uren / jaar weekend]]+Ruimtestaat[[#This Row],[uren / jaar werkdagen]]</f>
        <v>0</v>
      </c>
      <c r="AH34" s="73">
        <f>Ruimtestaat[[#This Row],[kosten / jaar weekend]]+Ruimtestaat[[#This Row],[kosten / jaar werkdagen]]</f>
        <v>0</v>
      </c>
    </row>
    <row r="35" spans="1:34" ht="15" customHeight="1">
      <c r="A35" s="118">
        <v>1</v>
      </c>
      <c r="B35" s="24" t="str">
        <f>VLOOKUP(Ruimtestaat[[#This Row],[Code]],Locaties[#All],2,FALSE)</f>
        <v>Rembrandt College</v>
      </c>
      <c r="C35" s="24" t="str">
        <f>VLOOKUP(Ruimtestaat[[#This Row],[Code]],Locaties[#All],4,FALSE)</f>
        <v>Rembrandtlaan 2</v>
      </c>
      <c r="D35" s="24" t="str">
        <f>VLOOKUP(Ruimtestaat[[#This Row],[Code]],Locaties[#All],5,FALSE)</f>
        <v>3904 ZK</v>
      </c>
      <c r="E35" s="24" t="str">
        <f>VLOOKUP(Ruimtestaat[[#This Row],[Code]],Locaties[#All],6,FALSE)</f>
        <v>Veenendaal</v>
      </c>
      <c r="F35" s="66"/>
      <c r="G35" s="24" t="s">
        <v>465</v>
      </c>
      <c r="H35" s="24"/>
      <c r="I35" s="24" t="s">
        <v>496</v>
      </c>
      <c r="J35" s="4" t="s">
        <v>41</v>
      </c>
      <c r="K35" s="24">
        <v>7</v>
      </c>
      <c r="L35" s="66" t="str">
        <f>VLOOKUP(K35,Ruimtegroepen[],2,FALSE)</f>
        <v>Entree</v>
      </c>
      <c r="M35" s="24" t="s">
        <v>646</v>
      </c>
      <c r="N35" s="24" t="s">
        <v>650</v>
      </c>
      <c r="O35" s="92">
        <v>22</v>
      </c>
      <c r="P35" s="92"/>
      <c r="Q35" s="101" t="str">
        <f>LEFT(VLOOKUP(Ruimtestaat[[#This Row],[Ruimte code]],Ruimtegroepen[#All],4,1),2)</f>
        <v xml:space="preserve">V </v>
      </c>
      <c r="R35" s="92"/>
      <c r="S35" s="93">
        <v>40</v>
      </c>
      <c r="T35" s="93" t="s">
        <v>2</v>
      </c>
      <c r="U35" s="94">
        <f>IF(S35&gt;0,IF(RIGHT(Ruimtestaat[[#This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" s="94">
        <f>IF(U35&gt;0,VLOOKUP($K35,Ruimtegroepen[],3,FALSE)*VLOOKUP($M35,Vloersoorten[],3,FALSE)*VLOOKUP($T35,Frequenties[],3,FALSE)*VLOOKUP($A35,Locaties[],3,FALSE),0)</f>
        <v>0</v>
      </c>
      <c r="W35" s="95">
        <f>Ruimtestaat[[#This Row],[Uitvoeringen werkdagen]]*Ruimtestaat[[#This Row],[Oppervlak (netto)]]</f>
        <v>4400</v>
      </c>
      <c r="X35" s="96">
        <f>IF(V35&gt;0,Ruimtestaat[[#This Row],[Prest. (m2 /jaar) werkdagen]]/Ruimtestaat[[#This Row],[Norm (m2/uur) werkdagen]],0)</f>
        <v>0</v>
      </c>
      <c r="Y35" s="97">
        <f>Ruimtestaat[[#This Row],[uren / jaar werkdagen]]*Tariefsopbouw!$E$35</f>
        <v>0</v>
      </c>
      <c r="Z35" s="94"/>
      <c r="AA35" s="98">
        <f>IF(Ruimtestaat[[#This Row],[Frequentie weekend]]&gt;0,VALUE(LEFT(Z35,1))*S35,0)</f>
        <v>0</v>
      </c>
      <c r="AB35" s="94">
        <f>IF($AA35&gt;0,VLOOKUP($K35,Ruimtegroepen[],3,FALSE)*VLOOKUP($M35,Vloersoorten[],3,FALSE)*VLOOKUP($Z35,Frequenties[],3,FALSE)*VLOOKUP($A31,Locaties[],3,FALSE),0)</f>
        <v>0</v>
      </c>
      <c r="AC35" s="96">
        <f>Ruimtestaat[[#This Row],[Uitvoeringen weekend]]*Ruimtestaat[[#This Row],[Oppervlak (netto)]]</f>
        <v>0</v>
      </c>
      <c r="AD35" s="99">
        <f>IF(AC35&gt;0,Ruimtestaat[[#This Row],[Prest. (m2 /jaar) weekend]]/Ruimtestaat[[#This Row],[Norm (m2/uur) weekend]],0)</f>
        <v>0</v>
      </c>
      <c r="AE35" s="100">
        <f>Ruimtestaat[[#This Row],[uren / jaar weekend]]*Tariefsopbouw!$D$40</f>
        <v>0</v>
      </c>
      <c r="AF35" s="72">
        <f>Ruimtestaat[[#This Row],[Prest. (m2 /jaar) weekend]]+Ruimtestaat[[#This Row],[Prest. (m2 /jaar) werkdagen]]</f>
        <v>4400</v>
      </c>
      <c r="AG35" s="72">
        <f>Ruimtestaat[[#This Row],[uren / jaar weekend]]+Ruimtestaat[[#This Row],[uren / jaar werkdagen]]</f>
        <v>0</v>
      </c>
      <c r="AH35" s="73">
        <f>Ruimtestaat[[#This Row],[kosten / jaar weekend]]+Ruimtestaat[[#This Row],[kosten / jaar werkdagen]]</f>
        <v>0</v>
      </c>
    </row>
    <row r="36" spans="1:34" ht="15" customHeight="1">
      <c r="A36" s="118">
        <v>1</v>
      </c>
      <c r="B36" s="24" t="str">
        <f>VLOOKUP(Ruimtestaat[[#This Row],[Code]],Locaties[#All],2,FALSE)</f>
        <v>Rembrandt College</v>
      </c>
      <c r="C36" s="24" t="str">
        <f>VLOOKUP(Ruimtestaat[[#This Row],[Code]],Locaties[#All],4,FALSE)</f>
        <v>Rembrandtlaan 2</v>
      </c>
      <c r="D36" s="24" t="str">
        <f>VLOOKUP(Ruimtestaat[[#This Row],[Code]],Locaties[#All],5,FALSE)</f>
        <v>3904 ZK</v>
      </c>
      <c r="E36" s="24" t="str">
        <f>VLOOKUP(Ruimtestaat[[#This Row],[Code]],Locaties[#All],6,FALSE)</f>
        <v>Veenendaal</v>
      </c>
      <c r="F36" s="66"/>
      <c r="G36" s="24" t="s">
        <v>465</v>
      </c>
      <c r="H36" s="24"/>
      <c r="I36" s="24" t="s">
        <v>497</v>
      </c>
      <c r="J36" s="4" t="s">
        <v>602</v>
      </c>
      <c r="K36" s="24">
        <v>6</v>
      </c>
      <c r="L36" s="66" t="str">
        <f>VLOOKUP(K36,Ruimtegroepen[],2,FALSE)</f>
        <v>Gangen/hallen</v>
      </c>
      <c r="M36" s="24" t="s">
        <v>113</v>
      </c>
      <c r="N36" s="24" t="s">
        <v>647</v>
      </c>
      <c r="O36" s="92">
        <v>346</v>
      </c>
      <c r="P36" s="92"/>
      <c r="Q36" s="101" t="str">
        <f>LEFT(VLOOKUP(Ruimtestaat[[#This Row],[Ruimte code]],Ruimtegroepen[#All],4,1),2)</f>
        <v xml:space="preserve">V </v>
      </c>
      <c r="R36" s="92"/>
      <c r="S36" s="93">
        <v>40</v>
      </c>
      <c r="T36" s="93" t="s">
        <v>2</v>
      </c>
      <c r="U36" s="94">
        <f>IF(S36&gt;0,IF(RIGHT(Ruimtestaat[[#This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" s="94">
        <f>IF(U36&gt;0,VLOOKUP($K36,Ruimtegroepen[],3,FALSE)*VLOOKUP($M36,Vloersoorten[],3,FALSE)*VLOOKUP($T36,Frequenties[],3,FALSE)*VLOOKUP($A36,Locaties[],3,FALSE),0)</f>
        <v>0</v>
      </c>
      <c r="W36" s="95">
        <f>Ruimtestaat[[#This Row],[Uitvoeringen werkdagen]]*Ruimtestaat[[#This Row],[Oppervlak (netto)]]</f>
        <v>69200</v>
      </c>
      <c r="X36" s="96">
        <f>IF(V36&gt;0,Ruimtestaat[[#This Row],[Prest. (m2 /jaar) werkdagen]]/Ruimtestaat[[#This Row],[Norm (m2/uur) werkdagen]],0)</f>
        <v>0</v>
      </c>
      <c r="Y36" s="97">
        <f>Ruimtestaat[[#This Row],[uren / jaar werkdagen]]*Tariefsopbouw!$E$35</f>
        <v>0</v>
      </c>
      <c r="Z36" s="94"/>
      <c r="AA36" s="98">
        <f>IF(Ruimtestaat[[#This Row],[Frequentie weekend]]&gt;0,VALUE(LEFT(Z36,1))*S36,0)</f>
        <v>0</v>
      </c>
      <c r="AB36" s="94">
        <f>IF($AA36&gt;0,VLOOKUP($K36,Ruimtegroepen[],3,FALSE)*VLOOKUP($M36,Vloersoorten[],3,FALSE)*VLOOKUP($Z36,Frequenties[],3,FALSE)*VLOOKUP($A32,Locaties[],3,FALSE),0)</f>
        <v>0</v>
      </c>
      <c r="AC36" s="96">
        <f>Ruimtestaat[[#This Row],[Uitvoeringen weekend]]*Ruimtestaat[[#This Row],[Oppervlak (netto)]]</f>
        <v>0</v>
      </c>
      <c r="AD36" s="99">
        <f>IF(AC36&gt;0,Ruimtestaat[[#This Row],[Prest. (m2 /jaar) weekend]]/Ruimtestaat[[#This Row],[Norm (m2/uur) weekend]],0)</f>
        <v>0</v>
      </c>
      <c r="AE36" s="100">
        <f>Ruimtestaat[[#This Row],[uren / jaar weekend]]*Tariefsopbouw!$D$40</f>
        <v>0</v>
      </c>
      <c r="AF36" s="72">
        <f>Ruimtestaat[[#This Row],[Prest. (m2 /jaar) weekend]]+Ruimtestaat[[#This Row],[Prest. (m2 /jaar) werkdagen]]</f>
        <v>69200</v>
      </c>
      <c r="AG36" s="72">
        <f>Ruimtestaat[[#This Row],[uren / jaar weekend]]+Ruimtestaat[[#This Row],[uren / jaar werkdagen]]</f>
        <v>0</v>
      </c>
      <c r="AH36" s="73">
        <f>Ruimtestaat[[#This Row],[kosten / jaar weekend]]+Ruimtestaat[[#This Row],[kosten / jaar werkdagen]]</f>
        <v>0</v>
      </c>
    </row>
    <row r="37" spans="1:34" ht="15" customHeight="1">
      <c r="A37" s="118">
        <v>1</v>
      </c>
      <c r="B37" s="24" t="str">
        <f>VLOOKUP(Ruimtestaat[[#This Row],[Code]],Locaties[#All],2,FALSE)</f>
        <v>Rembrandt College</v>
      </c>
      <c r="C37" s="24" t="str">
        <f>VLOOKUP(Ruimtestaat[[#This Row],[Code]],Locaties[#All],4,FALSE)</f>
        <v>Rembrandtlaan 2</v>
      </c>
      <c r="D37" s="24" t="str">
        <f>VLOOKUP(Ruimtestaat[[#This Row],[Code]],Locaties[#All],5,FALSE)</f>
        <v>3904 ZK</v>
      </c>
      <c r="E37" s="24" t="str">
        <f>VLOOKUP(Ruimtestaat[[#This Row],[Code]],Locaties[#All],6,FALSE)</f>
        <v>Veenendaal</v>
      </c>
      <c r="F37" s="66"/>
      <c r="G37" s="24" t="s">
        <v>465</v>
      </c>
      <c r="H37" s="24"/>
      <c r="I37" s="24" t="s">
        <v>497</v>
      </c>
      <c r="J37" s="4" t="s">
        <v>603</v>
      </c>
      <c r="K37" s="24">
        <v>10</v>
      </c>
      <c r="L37" s="66" t="str">
        <f>VLOOKUP(K37,Ruimtegroepen[],2,FALSE)</f>
        <v>Trappenhuizen/lift</v>
      </c>
      <c r="M37" s="24" t="s">
        <v>113</v>
      </c>
      <c r="N37" s="24" t="s">
        <v>647</v>
      </c>
      <c r="O37" s="92">
        <v>18</v>
      </c>
      <c r="P37" s="92"/>
      <c r="Q37" s="101" t="str">
        <f>LEFT(VLOOKUP(Ruimtestaat[[#This Row],[Ruimte code]],Ruimtegroepen[#All],4,1),2)</f>
        <v xml:space="preserve">V </v>
      </c>
      <c r="R37" s="92"/>
      <c r="S37" s="93">
        <v>40</v>
      </c>
      <c r="T37" s="93" t="s">
        <v>2</v>
      </c>
      <c r="U37" s="94">
        <f>IF(S37&gt;0,IF(RIGHT(Ruimtestaat[[#This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" s="94">
        <f>IF(U37&gt;0,VLOOKUP($K37,Ruimtegroepen[],3,FALSE)*VLOOKUP($M37,Vloersoorten[],3,FALSE)*VLOOKUP($T37,Frequenties[],3,FALSE)*VLOOKUP($A37,Locaties[],3,FALSE),0)</f>
        <v>0</v>
      </c>
      <c r="W37" s="95">
        <f>Ruimtestaat[[#This Row],[Uitvoeringen werkdagen]]*Ruimtestaat[[#This Row],[Oppervlak (netto)]]</f>
        <v>3600</v>
      </c>
      <c r="X37" s="96">
        <f>IF(V37&gt;0,Ruimtestaat[[#This Row],[Prest. (m2 /jaar) werkdagen]]/Ruimtestaat[[#This Row],[Norm (m2/uur) werkdagen]],0)</f>
        <v>0</v>
      </c>
      <c r="Y37" s="97">
        <f>Ruimtestaat[[#This Row],[uren / jaar werkdagen]]*Tariefsopbouw!$E$35</f>
        <v>0</v>
      </c>
      <c r="Z37" s="94"/>
      <c r="AA37" s="98">
        <f>IF(Ruimtestaat[[#This Row],[Frequentie weekend]]&gt;0,VALUE(LEFT(Z37,1))*S37,0)</f>
        <v>0</v>
      </c>
      <c r="AB37" s="94">
        <f>IF($AA37&gt;0,VLOOKUP($K37,Ruimtegroepen[],3,FALSE)*VLOOKUP($M37,Vloersoorten[],3,FALSE)*VLOOKUP($Z37,Frequenties[],3,FALSE)*VLOOKUP($A33,Locaties[],3,FALSE),0)</f>
        <v>0</v>
      </c>
      <c r="AC37" s="96">
        <f>Ruimtestaat[[#This Row],[Uitvoeringen weekend]]*Ruimtestaat[[#This Row],[Oppervlak (netto)]]</f>
        <v>0</v>
      </c>
      <c r="AD37" s="99">
        <f>IF(AC37&gt;0,Ruimtestaat[[#This Row],[Prest. (m2 /jaar) weekend]]/Ruimtestaat[[#This Row],[Norm (m2/uur) weekend]],0)</f>
        <v>0</v>
      </c>
      <c r="AE37" s="100">
        <f>Ruimtestaat[[#This Row],[uren / jaar weekend]]*Tariefsopbouw!$D$40</f>
        <v>0</v>
      </c>
      <c r="AF37" s="72">
        <f>Ruimtestaat[[#This Row],[Prest. (m2 /jaar) weekend]]+Ruimtestaat[[#This Row],[Prest. (m2 /jaar) werkdagen]]</f>
        <v>3600</v>
      </c>
      <c r="AG37" s="72">
        <f>Ruimtestaat[[#This Row],[uren / jaar weekend]]+Ruimtestaat[[#This Row],[uren / jaar werkdagen]]</f>
        <v>0</v>
      </c>
      <c r="AH37" s="73">
        <f>Ruimtestaat[[#This Row],[kosten / jaar weekend]]+Ruimtestaat[[#This Row],[kosten / jaar werkdagen]]</f>
        <v>0</v>
      </c>
    </row>
    <row r="38" spans="1:34" ht="15" customHeight="1">
      <c r="A38" s="118">
        <v>1</v>
      </c>
      <c r="B38" s="24" t="str">
        <f>VLOOKUP(Ruimtestaat[[#This Row],[Code]],Locaties[#All],2,FALSE)</f>
        <v>Rembrandt College</v>
      </c>
      <c r="C38" s="24" t="str">
        <f>VLOOKUP(Ruimtestaat[[#This Row],[Code]],Locaties[#All],4,FALSE)</f>
        <v>Rembrandtlaan 2</v>
      </c>
      <c r="D38" s="24" t="str">
        <f>VLOOKUP(Ruimtestaat[[#This Row],[Code]],Locaties[#All],5,FALSE)</f>
        <v>3904 ZK</v>
      </c>
      <c r="E38" s="24" t="str">
        <f>VLOOKUP(Ruimtestaat[[#This Row],[Code]],Locaties[#All],6,FALSE)</f>
        <v>Veenendaal</v>
      </c>
      <c r="F38" s="66"/>
      <c r="G38" s="24" t="s">
        <v>465</v>
      </c>
      <c r="H38" s="24"/>
      <c r="I38" s="24" t="s">
        <v>498</v>
      </c>
      <c r="J38" s="4" t="s">
        <v>604</v>
      </c>
      <c r="K38" s="24">
        <v>6</v>
      </c>
      <c r="L38" s="66" t="str">
        <f>VLOOKUP(K38,Ruimtegroepen[],2,FALSE)</f>
        <v>Gangen/hallen</v>
      </c>
      <c r="M38" s="24" t="s">
        <v>113</v>
      </c>
      <c r="N38" s="24" t="s">
        <v>647</v>
      </c>
      <c r="O38" s="102">
        <v>32</v>
      </c>
      <c r="P38" s="92"/>
      <c r="Q38" s="101" t="str">
        <f>LEFT(VLOOKUP(Ruimtestaat[[#This Row],[Ruimte code]],Ruimtegroepen[#All],4,1),2)</f>
        <v xml:space="preserve">V </v>
      </c>
      <c r="R38" s="92"/>
      <c r="S38" s="93">
        <v>40</v>
      </c>
      <c r="T38" s="93" t="s">
        <v>2</v>
      </c>
      <c r="U38" s="94">
        <f>IF(S38&gt;0,IF(RIGHT(Ruimtestaat[[#This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" s="94">
        <f>IF(U38&gt;0,VLOOKUP($K38,Ruimtegroepen[],3,FALSE)*VLOOKUP($M38,Vloersoorten[],3,FALSE)*VLOOKUP($T38,Frequenties[],3,FALSE)*VLOOKUP($A38,Locaties[],3,FALSE),0)</f>
        <v>0</v>
      </c>
      <c r="W38" s="95">
        <f>Ruimtestaat[[#This Row],[Uitvoeringen werkdagen]]*Ruimtestaat[[#This Row],[Oppervlak (netto)]]</f>
        <v>6400</v>
      </c>
      <c r="X38" s="96">
        <f>IF(V38&gt;0,Ruimtestaat[[#This Row],[Prest. (m2 /jaar) werkdagen]]/Ruimtestaat[[#This Row],[Norm (m2/uur) werkdagen]],0)</f>
        <v>0</v>
      </c>
      <c r="Y38" s="97">
        <f>Ruimtestaat[[#This Row],[uren / jaar werkdagen]]*Tariefsopbouw!$E$35</f>
        <v>0</v>
      </c>
      <c r="Z38" s="94"/>
      <c r="AA38" s="98">
        <f>IF(Ruimtestaat[[#This Row],[Frequentie weekend]]&gt;0,VALUE(LEFT(Z38,1))*S38,0)</f>
        <v>0</v>
      </c>
      <c r="AB38" s="94">
        <f>IF($AA38&gt;0,VLOOKUP($K38,Ruimtegroepen[],3,FALSE)*VLOOKUP($M38,Vloersoorten[],3,FALSE)*VLOOKUP($Z38,Frequenties[],3,FALSE)*VLOOKUP($A34,Locaties[],3,FALSE),0)</f>
        <v>0</v>
      </c>
      <c r="AC38" s="96">
        <f>Ruimtestaat[[#This Row],[Uitvoeringen weekend]]*Ruimtestaat[[#This Row],[Oppervlak (netto)]]</f>
        <v>0</v>
      </c>
      <c r="AD38" s="99">
        <f>IF(AC38&gt;0,Ruimtestaat[[#This Row],[Prest. (m2 /jaar) weekend]]/Ruimtestaat[[#This Row],[Norm (m2/uur) weekend]],0)</f>
        <v>0</v>
      </c>
      <c r="AE38" s="100">
        <f>Ruimtestaat[[#This Row],[uren / jaar weekend]]*Tariefsopbouw!$D$40</f>
        <v>0</v>
      </c>
      <c r="AF38" s="72">
        <f>Ruimtestaat[[#This Row],[Prest. (m2 /jaar) weekend]]+Ruimtestaat[[#This Row],[Prest. (m2 /jaar) werkdagen]]</f>
        <v>6400</v>
      </c>
      <c r="AG38" s="72">
        <f>Ruimtestaat[[#This Row],[uren / jaar weekend]]+Ruimtestaat[[#This Row],[uren / jaar werkdagen]]</f>
        <v>0</v>
      </c>
      <c r="AH38" s="73">
        <f>Ruimtestaat[[#This Row],[kosten / jaar weekend]]+Ruimtestaat[[#This Row],[kosten / jaar werkdagen]]</f>
        <v>0</v>
      </c>
    </row>
    <row r="39" spans="1:34" ht="15" customHeight="1">
      <c r="A39" s="118">
        <v>1</v>
      </c>
      <c r="B39" s="24" t="str">
        <f>VLOOKUP(Ruimtestaat[[#This Row],[Code]],Locaties[#All],2,FALSE)</f>
        <v>Rembrandt College</v>
      </c>
      <c r="C39" s="24" t="str">
        <f>VLOOKUP(Ruimtestaat[[#This Row],[Code]],Locaties[#All],4,FALSE)</f>
        <v>Rembrandtlaan 2</v>
      </c>
      <c r="D39" s="24" t="str">
        <f>VLOOKUP(Ruimtestaat[[#This Row],[Code]],Locaties[#All],5,FALSE)</f>
        <v>3904 ZK</v>
      </c>
      <c r="E39" s="24" t="str">
        <f>VLOOKUP(Ruimtestaat[[#This Row],[Code]],Locaties[#All],6,FALSE)</f>
        <v>Veenendaal</v>
      </c>
      <c r="F39" s="66"/>
      <c r="G39" s="24" t="s">
        <v>465</v>
      </c>
      <c r="H39" s="24"/>
      <c r="I39" s="24" t="s">
        <v>499</v>
      </c>
      <c r="J39" s="4" t="s">
        <v>605</v>
      </c>
      <c r="K39" s="24">
        <v>11</v>
      </c>
      <c r="L39" s="66" t="str">
        <f>VLOOKUP(K39,Ruimtegroepen[],2,FALSE)</f>
        <v>Garderobes</v>
      </c>
      <c r="M39" s="24" t="s">
        <v>113</v>
      </c>
      <c r="N39" s="24" t="s">
        <v>647</v>
      </c>
      <c r="O39" s="92">
        <v>240</v>
      </c>
      <c r="P39" s="92"/>
      <c r="Q39" s="101" t="str">
        <f>LEFT(VLOOKUP(Ruimtestaat[[#This Row],[Ruimte code]],Ruimtegroepen[#All],4,1),2)</f>
        <v xml:space="preserve">V </v>
      </c>
      <c r="R39" s="92"/>
      <c r="S39" s="93">
        <v>40</v>
      </c>
      <c r="T39" s="93" t="s">
        <v>2</v>
      </c>
      <c r="U39" s="94">
        <f>IF(S39&gt;0,IF(RIGHT(Ruimtestaat[[#This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" s="94">
        <f>IF(U39&gt;0,VLOOKUP($K39,Ruimtegroepen[],3,FALSE)*VLOOKUP($M39,Vloersoorten[],3,FALSE)*VLOOKUP($T39,Frequenties[],3,FALSE)*VLOOKUP($A39,Locaties[],3,FALSE),0)</f>
        <v>0</v>
      </c>
      <c r="W39" s="95">
        <f>Ruimtestaat[[#This Row],[Uitvoeringen werkdagen]]*Ruimtestaat[[#This Row],[Oppervlak (netto)]]</f>
        <v>48000</v>
      </c>
      <c r="X39" s="96">
        <f>IF(V39&gt;0,Ruimtestaat[[#This Row],[Prest. (m2 /jaar) werkdagen]]/Ruimtestaat[[#This Row],[Norm (m2/uur) werkdagen]],0)</f>
        <v>0</v>
      </c>
      <c r="Y39" s="97">
        <f>Ruimtestaat[[#This Row],[uren / jaar werkdagen]]*Tariefsopbouw!$E$35</f>
        <v>0</v>
      </c>
      <c r="Z39" s="94"/>
      <c r="AA39" s="98">
        <f>IF(Ruimtestaat[[#This Row],[Frequentie weekend]]&gt;0,VALUE(LEFT(Z39,1))*S39,0)</f>
        <v>0</v>
      </c>
      <c r="AB39" s="94">
        <f>IF($AA39&gt;0,VLOOKUP($K39,Ruimtegroepen[],3,FALSE)*VLOOKUP($M39,Vloersoorten[],3,FALSE)*VLOOKUP($Z39,Frequenties[],3,FALSE)*VLOOKUP($A35,Locaties[],3,FALSE),0)</f>
        <v>0</v>
      </c>
      <c r="AC39" s="96">
        <f>Ruimtestaat[[#This Row],[Uitvoeringen weekend]]*Ruimtestaat[[#This Row],[Oppervlak (netto)]]</f>
        <v>0</v>
      </c>
      <c r="AD39" s="99">
        <f>IF(AC39&gt;0,Ruimtestaat[[#This Row],[Prest. (m2 /jaar) weekend]]/Ruimtestaat[[#This Row],[Norm (m2/uur) weekend]],0)</f>
        <v>0</v>
      </c>
      <c r="AE39" s="100">
        <f>Ruimtestaat[[#This Row],[uren / jaar weekend]]*Tariefsopbouw!$D$40</f>
        <v>0</v>
      </c>
      <c r="AF39" s="72">
        <f>Ruimtestaat[[#This Row],[Prest. (m2 /jaar) weekend]]+Ruimtestaat[[#This Row],[Prest. (m2 /jaar) werkdagen]]</f>
        <v>48000</v>
      </c>
      <c r="AG39" s="72">
        <f>Ruimtestaat[[#This Row],[uren / jaar weekend]]+Ruimtestaat[[#This Row],[uren / jaar werkdagen]]</f>
        <v>0</v>
      </c>
      <c r="AH39" s="73">
        <f>Ruimtestaat[[#This Row],[kosten / jaar weekend]]+Ruimtestaat[[#This Row],[kosten / jaar werkdagen]]</f>
        <v>0</v>
      </c>
    </row>
    <row r="40" spans="1:34" ht="15" customHeight="1">
      <c r="A40" s="118">
        <v>1</v>
      </c>
      <c r="B40" s="24" t="str">
        <f>VLOOKUP(Ruimtestaat[[#This Row],[Code]],Locaties[#All],2,FALSE)</f>
        <v>Rembrandt College</v>
      </c>
      <c r="C40" s="24" t="str">
        <f>VLOOKUP(Ruimtestaat[[#This Row],[Code]],Locaties[#All],4,FALSE)</f>
        <v>Rembrandtlaan 2</v>
      </c>
      <c r="D40" s="24" t="str">
        <f>VLOOKUP(Ruimtestaat[[#This Row],[Code]],Locaties[#All],5,FALSE)</f>
        <v>3904 ZK</v>
      </c>
      <c r="E40" s="24" t="str">
        <f>VLOOKUP(Ruimtestaat[[#This Row],[Code]],Locaties[#All],6,FALSE)</f>
        <v>Veenendaal</v>
      </c>
      <c r="F40" s="66"/>
      <c r="G40" s="24" t="s">
        <v>465</v>
      </c>
      <c r="H40" s="24"/>
      <c r="I40" s="24" t="s">
        <v>500</v>
      </c>
      <c r="J40" s="4" t="s">
        <v>605</v>
      </c>
      <c r="K40" s="24">
        <v>7</v>
      </c>
      <c r="L40" s="66" t="str">
        <f>VLOOKUP(K40,Ruimtegroepen[],2,FALSE)</f>
        <v>Entree</v>
      </c>
      <c r="M40" s="24" t="s">
        <v>646</v>
      </c>
      <c r="N40" s="24" t="s">
        <v>650</v>
      </c>
      <c r="O40" s="92">
        <v>28</v>
      </c>
      <c r="P40" s="92"/>
      <c r="Q40" s="101" t="str">
        <f>LEFT(VLOOKUP(Ruimtestaat[[#This Row],[Ruimte code]],Ruimtegroepen[#All],4,1),2)</f>
        <v xml:space="preserve">V </v>
      </c>
      <c r="R40" s="92"/>
      <c r="S40" s="93">
        <v>40</v>
      </c>
      <c r="T40" s="93" t="s">
        <v>2</v>
      </c>
      <c r="U40" s="94">
        <f>IF(S40&gt;0,IF(RIGHT(Ruimtestaat[[#This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" s="94">
        <f>IF(U40&gt;0,VLOOKUP($K40,Ruimtegroepen[],3,FALSE)*VLOOKUP($M40,Vloersoorten[],3,FALSE)*VLOOKUP($T40,Frequenties[],3,FALSE)*VLOOKUP($A40,Locaties[],3,FALSE),0)</f>
        <v>0</v>
      </c>
      <c r="W40" s="95">
        <f>Ruimtestaat[[#This Row],[Uitvoeringen werkdagen]]*Ruimtestaat[[#This Row],[Oppervlak (netto)]]</f>
        <v>5600</v>
      </c>
      <c r="X40" s="96">
        <f>IF(V40&gt;0,Ruimtestaat[[#This Row],[Prest. (m2 /jaar) werkdagen]]/Ruimtestaat[[#This Row],[Norm (m2/uur) werkdagen]],0)</f>
        <v>0</v>
      </c>
      <c r="Y40" s="97">
        <f>Ruimtestaat[[#This Row],[uren / jaar werkdagen]]*Tariefsopbouw!$E$35</f>
        <v>0</v>
      </c>
      <c r="Z40" s="94"/>
      <c r="AA40" s="98">
        <f>IF(Ruimtestaat[[#This Row],[Frequentie weekend]]&gt;0,VALUE(LEFT(Z40,1))*S40,0)</f>
        <v>0</v>
      </c>
      <c r="AB40" s="94">
        <f>IF($AA40&gt;0,VLOOKUP($K40,Ruimtegroepen[],3,FALSE)*VLOOKUP($M40,Vloersoorten[],3,FALSE)*VLOOKUP($Z40,Frequenties[],3,FALSE)*VLOOKUP($A36,Locaties[],3,FALSE),0)</f>
        <v>0</v>
      </c>
      <c r="AC40" s="96">
        <f>Ruimtestaat[[#This Row],[Uitvoeringen weekend]]*Ruimtestaat[[#This Row],[Oppervlak (netto)]]</f>
        <v>0</v>
      </c>
      <c r="AD40" s="99">
        <f>IF(AC40&gt;0,Ruimtestaat[[#This Row],[Prest. (m2 /jaar) weekend]]/Ruimtestaat[[#This Row],[Norm (m2/uur) weekend]],0)</f>
        <v>0</v>
      </c>
      <c r="AE40" s="100">
        <f>Ruimtestaat[[#This Row],[uren / jaar weekend]]*Tariefsopbouw!$D$40</f>
        <v>0</v>
      </c>
      <c r="AF40" s="72">
        <f>Ruimtestaat[[#This Row],[Prest. (m2 /jaar) weekend]]+Ruimtestaat[[#This Row],[Prest. (m2 /jaar) werkdagen]]</f>
        <v>5600</v>
      </c>
      <c r="AG40" s="72">
        <f>Ruimtestaat[[#This Row],[uren / jaar weekend]]+Ruimtestaat[[#This Row],[uren / jaar werkdagen]]</f>
        <v>0</v>
      </c>
      <c r="AH40" s="73">
        <f>Ruimtestaat[[#This Row],[kosten / jaar weekend]]+Ruimtestaat[[#This Row],[kosten / jaar werkdagen]]</f>
        <v>0</v>
      </c>
    </row>
    <row r="41" spans="1:34" ht="15" customHeight="1">
      <c r="A41" s="118">
        <v>1</v>
      </c>
      <c r="B41" s="24" t="str">
        <f>VLOOKUP(Ruimtestaat[[#This Row],[Code]],Locaties[#All],2,FALSE)</f>
        <v>Rembrandt College</v>
      </c>
      <c r="C41" s="24" t="str">
        <f>VLOOKUP(Ruimtestaat[[#This Row],[Code]],Locaties[#All],4,FALSE)</f>
        <v>Rembrandtlaan 2</v>
      </c>
      <c r="D41" s="24" t="str">
        <f>VLOOKUP(Ruimtestaat[[#This Row],[Code]],Locaties[#All],5,FALSE)</f>
        <v>3904 ZK</v>
      </c>
      <c r="E41" s="24" t="str">
        <f>VLOOKUP(Ruimtestaat[[#This Row],[Code]],Locaties[#All],6,FALSE)</f>
        <v>Veenendaal</v>
      </c>
      <c r="F41" s="66"/>
      <c r="G41" s="24" t="s">
        <v>465</v>
      </c>
      <c r="H41" s="24"/>
      <c r="I41" s="24" t="s">
        <v>501</v>
      </c>
      <c r="J41" s="4" t="s">
        <v>604</v>
      </c>
      <c r="K41" s="24">
        <v>6</v>
      </c>
      <c r="L41" s="66" t="str">
        <f>VLOOKUP(K41,Ruimtegroepen[],2,FALSE)</f>
        <v>Gangen/hallen</v>
      </c>
      <c r="M41" s="24" t="s">
        <v>645</v>
      </c>
      <c r="N41" s="24" t="s">
        <v>384</v>
      </c>
      <c r="O41" s="92">
        <v>230</v>
      </c>
      <c r="P41" s="92"/>
      <c r="Q41" s="101" t="str">
        <f>LEFT(VLOOKUP(Ruimtestaat[[#This Row],[Ruimte code]],Ruimtegroepen[#All],4,1),2)</f>
        <v xml:space="preserve">V </v>
      </c>
      <c r="R41" s="92"/>
      <c r="S41" s="93">
        <v>40</v>
      </c>
      <c r="T41" s="93" t="s">
        <v>2</v>
      </c>
      <c r="U41" s="94">
        <f>IF(S41&gt;0,IF(RIGHT(Ruimtestaat[[#This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1" s="94">
        <f>IF(U41&gt;0,VLOOKUP($K41,Ruimtegroepen[],3,FALSE)*VLOOKUP($M41,Vloersoorten[],3,FALSE)*VLOOKUP($T41,Frequenties[],3,FALSE)*VLOOKUP($A41,Locaties[],3,FALSE),0)</f>
        <v>0</v>
      </c>
      <c r="W41" s="95">
        <f>Ruimtestaat[[#This Row],[Uitvoeringen werkdagen]]*Ruimtestaat[[#This Row],[Oppervlak (netto)]]</f>
        <v>46000</v>
      </c>
      <c r="X41" s="96">
        <f>IF(V41&gt;0,Ruimtestaat[[#This Row],[Prest. (m2 /jaar) werkdagen]]/Ruimtestaat[[#This Row],[Norm (m2/uur) werkdagen]],0)</f>
        <v>0</v>
      </c>
      <c r="Y41" s="97">
        <f>Ruimtestaat[[#This Row],[uren / jaar werkdagen]]*Tariefsopbouw!$E$35</f>
        <v>0</v>
      </c>
      <c r="Z41" s="94"/>
      <c r="AA41" s="98">
        <f>IF(Ruimtestaat[[#This Row],[Frequentie weekend]]&gt;0,VALUE(LEFT(Z41,1))*S41,0)</f>
        <v>0</v>
      </c>
      <c r="AB41" s="94">
        <f>IF($AA41&gt;0,VLOOKUP($K41,Ruimtegroepen[],3,FALSE)*VLOOKUP($M41,Vloersoorten[],3,FALSE)*VLOOKUP($Z41,Frequenties[],3,FALSE)*VLOOKUP($A37,Locaties[],3,FALSE),0)</f>
        <v>0</v>
      </c>
      <c r="AC41" s="96">
        <f>Ruimtestaat[[#This Row],[Uitvoeringen weekend]]*Ruimtestaat[[#This Row],[Oppervlak (netto)]]</f>
        <v>0</v>
      </c>
      <c r="AD41" s="99">
        <f>IF(AC41&gt;0,Ruimtestaat[[#This Row],[Prest. (m2 /jaar) weekend]]/Ruimtestaat[[#This Row],[Norm (m2/uur) weekend]],0)</f>
        <v>0</v>
      </c>
      <c r="AE41" s="100">
        <f>Ruimtestaat[[#This Row],[uren / jaar weekend]]*Tariefsopbouw!$D$40</f>
        <v>0</v>
      </c>
      <c r="AF41" s="72">
        <f>Ruimtestaat[[#This Row],[Prest. (m2 /jaar) weekend]]+Ruimtestaat[[#This Row],[Prest. (m2 /jaar) werkdagen]]</f>
        <v>46000</v>
      </c>
      <c r="AG41" s="72">
        <f>Ruimtestaat[[#This Row],[uren / jaar weekend]]+Ruimtestaat[[#This Row],[uren / jaar werkdagen]]</f>
        <v>0</v>
      </c>
      <c r="AH41" s="73">
        <f>Ruimtestaat[[#This Row],[kosten / jaar weekend]]+Ruimtestaat[[#This Row],[kosten / jaar werkdagen]]</f>
        <v>0</v>
      </c>
    </row>
    <row r="42" spans="1:34" ht="15" customHeight="1">
      <c r="A42" s="118">
        <v>1</v>
      </c>
      <c r="B42" s="24" t="str">
        <f>VLOOKUP(Ruimtestaat[[#This Row],[Code]],Locaties[#All],2,FALSE)</f>
        <v>Rembrandt College</v>
      </c>
      <c r="C42" s="24" t="str">
        <f>VLOOKUP(Ruimtestaat[[#This Row],[Code]],Locaties[#All],4,FALSE)</f>
        <v>Rembrandtlaan 2</v>
      </c>
      <c r="D42" s="24" t="str">
        <f>VLOOKUP(Ruimtestaat[[#This Row],[Code]],Locaties[#All],5,FALSE)</f>
        <v>3904 ZK</v>
      </c>
      <c r="E42" s="24" t="str">
        <f>VLOOKUP(Ruimtestaat[[#This Row],[Code]],Locaties[#All],6,FALSE)</f>
        <v>Veenendaal</v>
      </c>
      <c r="F42" s="66"/>
      <c r="G42" s="24" t="s">
        <v>465</v>
      </c>
      <c r="H42" s="24"/>
      <c r="I42" s="24" t="s">
        <v>502</v>
      </c>
      <c r="J42" s="4" t="s">
        <v>606</v>
      </c>
      <c r="K42" s="24">
        <v>1</v>
      </c>
      <c r="L42" s="66" t="str">
        <f>VLOOKUP(K42,Ruimtegroepen[],2,FALSE)</f>
        <v>Magazijnen/bergingen</v>
      </c>
      <c r="M42" s="24" t="s">
        <v>114</v>
      </c>
      <c r="N42" s="24" t="s">
        <v>649</v>
      </c>
      <c r="O42" s="92">
        <v>12</v>
      </c>
      <c r="P42" s="92"/>
      <c r="Q42" s="101" t="str">
        <f>LEFT(VLOOKUP(Ruimtestaat[[#This Row],[Ruimte code]],Ruimtegroepen[#All],4,1),2)</f>
        <v xml:space="preserve">V </v>
      </c>
      <c r="R42" s="92"/>
      <c r="S42" s="93">
        <v>40</v>
      </c>
      <c r="T42" s="93" t="s">
        <v>2</v>
      </c>
      <c r="U42" s="94">
        <f>IF(S42&gt;0,IF(RIGHT(Ruimtestaat[[#This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" s="94">
        <f>IF(U42&gt;0,VLOOKUP($K42,Ruimtegroepen[],3,FALSE)*VLOOKUP($M42,Vloersoorten[],3,FALSE)*VLOOKUP($T42,Frequenties[],3,FALSE)*VLOOKUP($A42,Locaties[],3,FALSE),0)</f>
        <v>0</v>
      </c>
      <c r="W42" s="95">
        <f>Ruimtestaat[[#This Row],[Uitvoeringen werkdagen]]*Ruimtestaat[[#This Row],[Oppervlak (netto)]]</f>
        <v>2400</v>
      </c>
      <c r="X42" s="96">
        <f>IF(V42&gt;0,Ruimtestaat[[#This Row],[Prest. (m2 /jaar) werkdagen]]/Ruimtestaat[[#This Row],[Norm (m2/uur) werkdagen]],0)</f>
        <v>0</v>
      </c>
      <c r="Y42" s="97">
        <f>Ruimtestaat[[#This Row],[uren / jaar werkdagen]]*Tariefsopbouw!$E$35</f>
        <v>0</v>
      </c>
      <c r="Z42" s="94"/>
      <c r="AA42" s="98">
        <f>IF(Ruimtestaat[[#This Row],[Frequentie weekend]]&gt;0,VALUE(LEFT(Z42,1))*S42,0)</f>
        <v>0</v>
      </c>
      <c r="AB42" s="94">
        <f>IF($AA42&gt;0,VLOOKUP($K42,Ruimtegroepen[],3,FALSE)*VLOOKUP($M42,Vloersoorten[],3,FALSE)*VLOOKUP($Z42,Frequenties[],3,FALSE)*VLOOKUP($A38,Locaties[],3,FALSE),0)</f>
        <v>0</v>
      </c>
      <c r="AC42" s="96">
        <f>Ruimtestaat[[#This Row],[Uitvoeringen weekend]]*Ruimtestaat[[#This Row],[Oppervlak (netto)]]</f>
        <v>0</v>
      </c>
      <c r="AD42" s="99">
        <f>IF(AC42&gt;0,Ruimtestaat[[#This Row],[Prest. (m2 /jaar) weekend]]/Ruimtestaat[[#This Row],[Norm (m2/uur) weekend]],0)</f>
        <v>0</v>
      </c>
      <c r="AE42" s="100">
        <f>Ruimtestaat[[#This Row],[uren / jaar weekend]]*Tariefsopbouw!$D$40</f>
        <v>0</v>
      </c>
      <c r="AF42" s="72">
        <f>Ruimtestaat[[#This Row],[Prest. (m2 /jaar) weekend]]+Ruimtestaat[[#This Row],[Prest. (m2 /jaar) werkdagen]]</f>
        <v>2400</v>
      </c>
      <c r="AG42" s="72">
        <f>Ruimtestaat[[#This Row],[uren / jaar weekend]]+Ruimtestaat[[#This Row],[uren / jaar werkdagen]]</f>
        <v>0</v>
      </c>
      <c r="AH42" s="73">
        <f>Ruimtestaat[[#This Row],[kosten / jaar weekend]]+Ruimtestaat[[#This Row],[kosten / jaar werkdagen]]</f>
        <v>0</v>
      </c>
    </row>
    <row r="43" spans="1:34" ht="15" customHeight="1">
      <c r="A43" s="118">
        <v>1</v>
      </c>
      <c r="B43" s="24" t="str">
        <f>VLOOKUP(Ruimtestaat[[#This Row],[Code]],Locaties[#All],2,FALSE)</f>
        <v>Rembrandt College</v>
      </c>
      <c r="C43" s="24" t="str">
        <f>VLOOKUP(Ruimtestaat[[#This Row],[Code]],Locaties[#All],4,FALSE)</f>
        <v>Rembrandtlaan 2</v>
      </c>
      <c r="D43" s="24" t="str">
        <f>VLOOKUP(Ruimtestaat[[#This Row],[Code]],Locaties[#All],5,FALSE)</f>
        <v>3904 ZK</v>
      </c>
      <c r="E43" s="24" t="str">
        <f>VLOOKUP(Ruimtestaat[[#This Row],[Code]],Locaties[#All],6,FALSE)</f>
        <v>Veenendaal</v>
      </c>
      <c r="F43" s="66"/>
      <c r="G43" s="24" t="s">
        <v>465</v>
      </c>
      <c r="H43" s="24"/>
      <c r="I43" s="24" t="s">
        <v>503</v>
      </c>
      <c r="J43" s="4" t="s">
        <v>604</v>
      </c>
      <c r="K43" s="24">
        <v>6</v>
      </c>
      <c r="L43" s="66" t="str">
        <f>VLOOKUP(K43,Ruimtegroepen[],2,FALSE)</f>
        <v>Gangen/hallen</v>
      </c>
      <c r="M43" s="24" t="s">
        <v>645</v>
      </c>
      <c r="N43" s="24" t="s">
        <v>384</v>
      </c>
      <c r="O43" s="92">
        <v>42</v>
      </c>
      <c r="P43" s="92"/>
      <c r="Q43" s="101" t="str">
        <f>LEFT(VLOOKUP(Ruimtestaat[[#This Row],[Ruimte code]],Ruimtegroepen[#All],4,1),2)</f>
        <v xml:space="preserve">V </v>
      </c>
      <c r="R43" s="92"/>
      <c r="S43" s="93">
        <v>40</v>
      </c>
      <c r="T43" s="93" t="s">
        <v>2</v>
      </c>
      <c r="U43" s="94">
        <f>IF(S43&gt;0,IF(RIGHT(Ruimtestaat[[#This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" s="94">
        <f>IF(U43&gt;0,VLOOKUP($K43,Ruimtegroepen[],3,FALSE)*VLOOKUP($M43,Vloersoorten[],3,FALSE)*VLOOKUP($T43,Frequenties[],3,FALSE)*VLOOKUP($A43,Locaties[],3,FALSE),0)</f>
        <v>0</v>
      </c>
      <c r="W43" s="95">
        <f>Ruimtestaat[[#This Row],[Uitvoeringen werkdagen]]*Ruimtestaat[[#This Row],[Oppervlak (netto)]]</f>
        <v>8400</v>
      </c>
      <c r="X43" s="96">
        <f>IF(V43&gt;0,Ruimtestaat[[#This Row],[Prest. (m2 /jaar) werkdagen]]/Ruimtestaat[[#This Row],[Norm (m2/uur) werkdagen]],0)</f>
        <v>0</v>
      </c>
      <c r="Y43" s="97">
        <f>Ruimtestaat[[#This Row],[uren / jaar werkdagen]]*Tariefsopbouw!$E$35</f>
        <v>0</v>
      </c>
      <c r="Z43" s="94"/>
      <c r="AA43" s="98">
        <f>IF(Ruimtestaat[[#This Row],[Frequentie weekend]]&gt;0,VALUE(LEFT(Z43,1))*S43,0)</f>
        <v>0</v>
      </c>
      <c r="AB43" s="94">
        <f>IF($AA43&gt;0,VLOOKUP($K43,Ruimtegroepen[],3,FALSE)*VLOOKUP($M43,Vloersoorten[],3,FALSE)*VLOOKUP($Z43,Frequenties[],3,FALSE)*VLOOKUP($A39,Locaties[],3,FALSE),0)</f>
        <v>0</v>
      </c>
      <c r="AC43" s="96">
        <f>Ruimtestaat[[#This Row],[Uitvoeringen weekend]]*Ruimtestaat[[#This Row],[Oppervlak (netto)]]</f>
        <v>0</v>
      </c>
      <c r="AD43" s="99">
        <f>IF(AC43&gt;0,Ruimtestaat[[#This Row],[Prest. (m2 /jaar) weekend]]/Ruimtestaat[[#This Row],[Norm (m2/uur) weekend]],0)</f>
        <v>0</v>
      </c>
      <c r="AE43" s="100">
        <f>Ruimtestaat[[#This Row],[uren / jaar weekend]]*Tariefsopbouw!$D$40</f>
        <v>0</v>
      </c>
      <c r="AF43" s="72">
        <f>Ruimtestaat[[#This Row],[Prest. (m2 /jaar) weekend]]+Ruimtestaat[[#This Row],[Prest. (m2 /jaar) werkdagen]]</f>
        <v>8400</v>
      </c>
      <c r="AG43" s="72">
        <f>Ruimtestaat[[#This Row],[uren / jaar weekend]]+Ruimtestaat[[#This Row],[uren / jaar werkdagen]]</f>
        <v>0</v>
      </c>
      <c r="AH43" s="73">
        <f>Ruimtestaat[[#This Row],[kosten / jaar weekend]]+Ruimtestaat[[#This Row],[kosten / jaar werkdagen]]</f>
        <v>0</v>
      </c>
    </row>
    <row r="44" spans="1:34" ht="15" customHeight="1">
      <c r="A44" s="118">
        <v>1</v>
      </c>
      <c r="B44" s="24" t="str">
        <f>VLOOKUP(Ruimtestaat[[#This Row],[Code]],Locaties[#All],2,FALSE)</f>
        <v>Rembrandt College</v>
      </c>
      <c r="C44" s="24" t="str">
        <f>VLOOKUP(Ruimtestaat[[#This Row],[Code]],Locaties[#All],4,FALSE)</f>
        <v>Rembrandtlaan 2</v>
      </c>
      <c r="D44" s="24" t="str">
        <f>VLOOKUP(Ruimtestaat[[#This Row],[Code]],Locaties[#All],5,FALSE)</f>
        <v>3904 ZK</v>
      </c>
      <c r="E44" s="24" t="str">
        <f>VLOOKUP(Ruimtestaat[[#This Row],[Code]],Locaties[#All],6,FALSE)</f>
        <v>Veenendaal</v>
      </c>
      <c r="F44" s="66"/>
      <c r="G44" s="24" t="s">
        <v>465</v>
      </c>
      <c r="H44" s="24"/>
      <c r="I44" s="24" t="s">
        <v>504</v>
      </c>
      <c r="J44" s="4" t="s">
        <v>260</v>
      </c>
      <c r="K44" s="24">
        <v>10</v>
      </c>
      <c r="L44" s="66" t="str">
        <f>VLOOKUP(K44,Ruimtegroepen[],2,FALSE)</f>
        <v>Trappenhuizen/lift</v>
      </c>
      <c r="M44" s="24" t="s">
        <v>645</v>
      </c>
      <c r="N44" s="24" t="s">
        <v>384</v>
      </c>
      <c r="O44" s="92">
        <v>4</v>
      </c>
      <c r="P44" s="92"/>
      <c r="Q44" s="101" t="str">
        <f>LEFT(VLOOKUP(Ruimtestaat[[#This Row],[Ruimte code]],Ruimtegroepen[#All],4,1),2)</f>
        <v xml:space="preserve">V </v>
      </c>
      <c r="R44" s="92"/>
      <c r="S44" s="93">
        <v>42</v>
      </c>
      <c r="T44" s="93" t="s">
        <v>2</v>
      </c>
      <c r="U44" s="94">
        <f>IF(S44&gt;0,IF(RIGHT(Ruimtestaat[[#This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4" s="94">
        <f>IF(U44&gt;0,VLOOKUP($K44,Ruimtegroepen[],3,FALSE)*VLOOKUP($M44,Vloersoorten[],3,FALSE)*VLOOKUP($T44,Frequenties[],3,FALSE)*VLOOKUP($A44,Locaties[],3,FALSE),0)</f>
        <v>0</v>
      </c>
      <c r="W44" s="95">
        <f>Ruimtestaat[[#This Row],[Uitvoeringen werkdagen]]*Ruimtestaat[[#This Row],[Oppervlak (netto)]]</f>
        <v>840</v>
      </c>
      <c r="X44" s="96">
        <f>IF(V44&gt;0,Ruimtestaat[[#This Row],[Prest. (m2 /jaar) werkdagen]]/Ruimtestaat[[#This Row],[Norm (m2/uur) werkdagen]],0)</f>
        <v>0</v>
      </c>
      <c r="Y44" s="97">
        <f>Ruimtestaat[[#This Row],[uren / jaar werkdagen]]*Tariefsopbouw!$E$35</f>
        <v>0</v>
      </c>
      <c r="Z44" s="94"/>
      <c r="AA44" s="98">
        <f>IF(Ruimtestaat[[#This Row],[Frequentie weekend]]&gt;0,VALUE(LEFT(Z44,1))*S44,0)</f>
        <v>0</v>
      </c>
      <c r="AB44" s="94">
        <f>IF($AA44&gt;0,VLOOKUP($K44,Ruimtegroepen[],3,FALSE)*VLOOKUP($M44,Vloersoorten[],3,FALSE)*VLOOKUP($Z44,Frequenties[],3,FALSE)*VLOOKUP($A40,Locaties[],3,FALSE),0)</f>
        <v>0</v>
      </c>
      <c r="AC44" s="96">
        <f>Ruimtestaat[[#This Row],[Uitvoeringen weekend]]*Ruimtestaat[[#This Row],[Oppervlak (netto)]]</f>
        <v>0</v>
      </c>
      <c r="AD44" s="99">
        <f>IF(AC44&gt;0,Ruimtestaat[[#This Row],[Prest. (m2 /jaar) weekend]]/Ruimtestaat[[#This Row],[Norm (m2/uur) weekend]],0)</f>
        <v>0</v>
      </c>
      <c r="AE44" s="100">
        <f>Ruimtestaat[[#This Row],[uren / jaar weekend]]*Tariefsopbouw!$D$40</f>
        <v>0</v>
      </c>
      <c r="AF44" s="72">
        <f>Ruimtestaat[[#This Row],[Prest. (m2 /jaar) weekend]]+Ruimtestaat[[#This Row],[Prest. (m2 /jaar) werkdagen]]</f>
        <v>840</v>
      </c>
      <c r="AG44" s="72">
        <f>Ruimtestaat[[#This Row],[uren / jaar weekend]]+Ruimtestaat[[#This Row],[uren / jaar werkdagen]]</f>
        <v>0</v>
      </c>
      <c r="AH44" s="73">
        <f>Ruimtestaat[[#This Row],[kosten / jaar weekend]]+Ruimtestaat[[#This Row],[kosten / jaar werkdagen]]</f>
        <v>0</v>
      </c>
    </row>
    <row r="45" spans="1:34" ht="15" customHeight="1">
      <c r="A45" s="118">
        <v>1</v>
      </c>
      <c r="B45" s="24" t="str">
        <f>VLOOKUP(Ruimtestaat[[#This Row],[Code]],Locaties[#All],2,FALSE)</f>
        <v>Rembrandt College</v>
      </c>
      <c r="C45" s="24" t="str">
        <f>VLOOKUP(Ruimtestaat[[#This Row],[Code]],Locaties[#All],4,FALSE)</f>
        <v>Rembrandtlaan 2</v>
      </c>
      <c r="D45" s="24" t="str">
        <f>VLOOKUP(Ruimtestaat[[#This Row],[Code]],Locaties[#All],5,FALSE)</f>
        <v>3904 ZK</v>
      </c>
      <c r="E45" s="24" t="str">
        <f>VLOOKUP(Ruimtestaat[[#This Row],[Code]],Locaties[#All],6,FALSE)</f>
        <v>Veenendaal</v>
      </c>
      <c r="F45" s="66"/>
      <c r="G45" s="24" t="s">
        <v>465</v>
      </c>
      <c r="H45" s="24"/>
      <c r="I45" s="24" t="s">
        <v>505</v>
      </c>
      <c r="J45" s="4" t="s">
        <v>607</v>
      </c>
      <c r="K45" s="24">
        <v>6</v>
      </c>
      <c r="L45" s="66" t="str">
        <f>VLOOKUP(K45,Ruimtegroepen[],2,FALSE)</f>
        <v>Gangen/hallen</v>
      </c>
      <c r="M45" s="24" t="s">
        <v>113</v>
      </c>
      <c r="N45" s="24" t="s">
        <v>647</v>
      </c>
      <c r="O45" s="92">
        <v>32</v>
      </c>
      <c r="P45" s="92"/>
      <c r="Q45" s="101" t="str">
        <f>LEFT(VLOOKUP(Ruimtestaat[[#This Row],[Ruimte code]],Ruimtegroepen[#All],4,1),2)</f>
        <v xml:space="preserve">V </v>
      </c>
      <c r="R45" s="92"/>
      <c r="S45" s="93">
        <v>40</v>
      </c>
      <c r="T45" s="93" t="s">
        <v>2</v>
      </c>
      <c r="U45" s="94">
        <f>IF(S45&gt;0,IF(RIGHT(Ruimtestaat[[#This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" s="94">
        <f>IF(U45&gt;0,VLOOKUP($K45,Ruimtegroepen[],3,FALSE)*VLOOKUP($M45,Vloersoorten[],3,FALSE)*VLOOKUP($T45,Frequenties[],3,FALSE)*VLOOKUP($A45,Locaties[],3,FALSE),0)</f>
        <v>0</v>
      </c>
      <c r="W45" s="95">
        <f>Ruimtestaat[[#This Row],[Uitvoeringen werkdagen]]*Ruimtestaat[[#This Row],[Oppervlak (netto)]]</f>
        <v>6400</v>
      </c>
      <c r="X45" s="96">
        <f>IF(V45&gt;0,Ruimtestaat[[#This Row],[Prest. (m2 /jaar) werkdagen]]/Ruimtestaat[[#This Row],[Norm (m2/uur) werkdagen]],0)</f>
        <v>0</v>
      </c>
      <c r="Y45" s="97">
        <f>Ruimtestaat[[#This Row],[uren / jaar werkdagen]]*Tariefsopbouw!$E$35</f>
        <v>0</v>
      </c>
      <c r="Z45" s="94"/>
      <c r="AA45" s="98">
        <f>IF(Ruimtestaat[[#This Row],[Frequentie weekend]]&gt;0,VALUE(LEFT(Z45,1))*S45,0)</f>
        <v>0</v>
      </c>
      <c r="AB45" s="94">
        <f>IF($AA45&gt;0,VLOOKUP($K45,Ruimtegroepen[],3,FALSE)*VLOOKUP($M45,Vloersoorten[],3,FALSE)*VLOOKUP($Z45,Frequenties[],3,FALSE)*VLOOKUP($A41,Locaties[],3,FALSE),0)</f>
        <v>0</v>
      </c>
      <c r="AC45" s="96">
        <f>Ruimtestaat[[#This Row],[Uitvoeringen weekend]]*Ruimtestaat[[#This Row],[Oppervlak (netto)]]</f>
        <v>0</v>
      </c>
      <c r="AD45" s="99">
        <f>IF(AC45&gt;0,Ruimtestaat[[#This Row],[Prest. (m2 /jaar) weekend]]/Ruimtestaat[[#This Row],[Norm (m2/uur) weekend]],0)</f>
        <v>0</v>
      </c>
      <c r="AE45" s="100">
        <f>Ruimtestaat[[#This Row],[uren / jaar weekend]]*Tariefsopbouw!$D$40</f>
        <v>0</v>
      </c>
      <c r="AF45" s="72">
        <f>Ruimtestaat[[#This Row],[Prest. (m2 /jaar) weekend]]+Ruimtestaat[[#This Row],[Prest. (m2 /jaar) werkdagen]]</f>
        <v>6400</v>
      </c>
      <c r="AG45" s="72">
        <f>Ruimtestaat[[#This Row],[uren / jaar weekend]]+Ruimtestaat[[#This Row],[uren / jaar werkdagen]]</f>
        <v>0</v>
      </c>
      <c r="AH45" s="73">
        <f>Ruimtestaat[[#This Row],[kosten / jaar weekend]]+Ruimtestaat[[#This Row],[kosten / jaar werkdagen]]</f>
        <v>0</v>
      </c>
    </row>
    <row r="46" spans="1:34" ht="15" customHeight="1">
      <c r="A46" s="118">
        <v>1</v>
      </c>
      <c r="B46" s="24" t="str">
        <f>VLOOKUP(Ruimtestaat[[#This Row],[Code]],Locaties[#All],2,FALSE)</f>
        <v>Rembrandt College</v>
      </c>
      <c r="C46" s="24" t="str">
        <f>VLOOKUP(Ruimtestaat[[#This Row],[Code]],Locaties[#All],4,FALSE)</f>
        <v>Rembrandtlaan 2</v>
      </c>
      <c r="D46" s="24" t="str">
        <f>VLOOKUP(Ruimtestaat[[#This Row],[Code]],Locaties[#All],5,FALSE)</f>
        <v>3904 ZK</v>
      </c>
      <c r="E46" s="24" t="str">
        <f>VLOOKUP(Ruimtestaat[[#This Row],[Code]],Locaties[#All],6,FALSE)</f>
        <v>Veenendaal</v>
      </c>
      <c r="F46" s="66"/>
      <c r="G46" s="24" t="s">
        <v>465</v>
      </c>
      <c r="H46" s="24"/>
      <c r="I46" s="24" t="s">
        <v>506</v>
      </c>
      <c r="J46" s="4" t="s">
        <v>603</v>
      </c>
      <c r="K46" s="24">
        <v>10</v>
      </c>
      <c r="L46" s="66" t="str">
        <f>VLOOKUP(K46,Ruimtegroepen[],2,FALSE)</f>
        <v>Trappenhuizen/lift</v>
      </c>
      <c r="M46" s="24" t="s">
        <v>114</v>
      </c>
      <c r="N46" s="24" t="s">
        <v>648</v>
      </c>
      <c r="O46" s="92">
        <v>20</v>
      </c>
      <c r="P46" s="92"/>
      <c r="Q46" s="101" t="str">
        <f>LEFT(VLOOKUP(Ruimtestaat[[#This Row],[Ruimte code]],Ruimtegroepen[#All],4,1),2)</f>
        <v xml:space="preserve">V </v>
      </c>
      <c r="R46" s="92"/>
      <c r="S46" s="93">
        <v>40</v>
      </c>
      <c r="T46" s="93" t="s">
        <v>2</v>
      </c>
      <c r="U46" s="94">
        <f>IF(S46&gt;0,IF(RIGHT(Ruimtestaat[[#This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" s="94">
        <f>IF(U46&gt;0,VLOOKUP($K46,Ruimtegroepen[],3,FALSE)*VLOOKUP($M46,Vloersoorten[],3,FALSE)*VLOOKUP($T46,Frequenties[],3,FALSE)*VLOOKUP($A46,Locaties[],3,FALSE),0)</f>
        <v>0</v>
      </c>
      <c r="W46" s="95">
        <f>Ruimtestaat[[#This Row],[Uitvoeringen werkdagen]]*Ruimtestaat[[#This Row],[Oppervlak (netto)]]</f>
        <v>4000</v>
      </c>
      <c r="X46" s="96">
        <f>IF(V46&gt;0,Ruimtestaat[[#This Row],[Prest. (m2 /jaar) werkdagen]]/Ruimtestaat[[#This Row],[Norm (m2/uur) werkdagen]],0)</f>
        <v>0</v>
      </c>
      <c r="Y46" s="97">
        <f>Ruimtestaat[[#This Row],[uren / jaar werkdagen]]*Tariefsopbouw!$E$35</f>
        <v>0</v>
      </c>
      <c r="Z46" s="94"/>
      <c r="AA46" s="98">
        <f>IF(Ruimtestaat[[#This Row],[Frequentie weekend]]&gt;0,VALUE(LEFT(Z46,1))*S46,0)</f>
        <v>0</v>
      </c>
      <c r="AB46" s="94">
        <f>IF($AA46&gt;0,VLOOKUP($K46,Ruimtegroepen[],3,FALSE)*VLOOKUP($M46,Vloersoorten[],3,FALSE)*VLOOKUP($Z46,Frequenties[],3,FALSE)*VLOOKUP($A42,Locaties[],3,FALSE),0)</f>
        <v>0</v>
      </c>
      <c r="AC46" s="96">
        <f>Ruimtestaat[[#This Row],[Uitvoeringen weekend]]*Ruimtestaat[[#This Row],[Oppervlak (netto)]]</f>
        <v>0</v>
      </c>
      <c r="AD46" s="99">
        <f>IF(AC46&gt;0,Ruimtestaat[[#This Row],[Prest. (m2 /jaar) weekend]]/Ruimtestaat[[#This Row],[Norm (m2/uur) weekend]],0)</f>
        <v>0</v>
      </c>
      <c r="AE46" s="100">
        <f>Ruimtestaat[[#This Row],[uren / jaar weekend]]*Tariefsopbouw!$D$40</f>
        <v>0</v>
      </c>
      <c r="AF46" s="72">
        <f>Ruimtestaat[[#This Row],[Prest. (m2 /jaar) weekend]]+Ruimtestaat[[#This Row],[Prest. (m2 /jaar) werkdagen]]</f>
        <v>4000</v>
      </c>
      <c r="AG46" s="72">
        <f>Ruimtestaat[[#This Row],[uren / jaar weekend]]+Ruimtestaat[[#This Row],[uren / jaar werkdagen]]</f>
        <v>0</v>
      </c>
      <c r="AH46" s="73">
        <f>Ruimtestaat[[#This Row],[kosten / jaar weekend]]+Ruimtestaat[[#This Row],[kosten / jaar werkdagen]]</f>
        <v>0</v>
      </c>
    </row>
    <row r="47" spans="1:34" ht="15" customHeight="1">
      <c r="A47" s="118">
        <v>1</v>
      </c>
      <c r="B47" s="24" t="str">
        <f>VLOOKUP(Ruimtestaat[[#This Row],[Code]],Locaties[#All],2,FALSE)</f>
        <v>Rembrandt College</v>
      </c>
      <c r="C47" s="24" t="str">
        <f>VLOOKUP(Ruimtestaat[[#This Row],[Code]],Locaties[#All],4,FALSE)</f>
        <v>Rembrandtlaan 2</v>
      </c>
      <c r="D47" s="24" t="str">
        <f>VLOOKUP(Ruimtestaat[[#This Row],[Code]],Locaties[#All],5,FALSE)</f>
        <v>3904 ZK</v>
      </c>
      <c r="E47" s="24" t="str">
        <f>VLOOKUP(Ruimtestaat[[#This Row],[Code]],Locaties[#All],6,FALSE)</f>
        <v>Veenendaal</v>
      </c>
      <c r="F47" s="66"/>
      <c r="G47" s="24" t="s">
        <v>465</v>
      </c>
      <c r="H47" s="24" t="s">
        <v>697</v>
      </c>
      <c r="I47" s="24" t="s">
        <v>507</v>
      </c>
      <c r="J47" s="4" t="s">
        <v>599</v>
      </c>
      <c r="K47" s="24">
        <v>5</v>
      </c>
      <c r="L47" s="66" t="str">
        <f>VLOOKUP(K47,Ruimtegroepen[],2,FALSE)</f>
        <v>Sanitair</v>
      </c>
      <c r="M47" s="24" t="s">
        <v>113</v>
      </c>
      <c r="N47" s="24" t="s">
        <v>647</v>
      </c>
      <c r="O47" s="92">
        <v>12</v>
      </c>
      <c r="P47" s="92"/>
      <c r="Q47" s="101" t="str">
        <f>LEFT(VLOOKUP(Ruimtestaat[[#This Row],[Ruimte code]],Ruimtegroepen[#All],4,1),2)</f>
        <v xml:space="preserve">S </v>
      </c>
      <c r="R47" s="92"/>
      <c r="S47" s="93">
        <v>50</v>
      </c>
      <c r="T47" s="93" t="s">
        <v>19</v>
      </c>
      <c r="U47" s="94">
        <f>IF(S47&gt;0,IF(RIGHT(Ruimtestaat[[#This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47" s="94">
        <f>IF(U47&gt;0,VLOOKUP($K47,Ruimtegroepen[],3,FALSE)*VLOOKUP($M47,Vloersoorten[],3,FALSE)*VLOOKUP($T47,Frequenties[],3,FALSE)*VLOOKUP($A47,Locaties[],3,FALSE),0)</f>
        <v>0</v>
      </c>
      <c r="W47" s="95">
        <f>Ruimtestaat[[#This Row],[Uitvoeringen werkdagen]]*Ruimtestaat[[#This Row],[Oppervlak (netto)]]</f>
        <v>6000</v>
      </c>
      <c r="X47" s="96">
        <f>IF(V47&gt;0,Ruimtestaat[[#This Row],[Prest. (m2 /jaar) werkdagen]]/Ruimtestaat[[#This Row],[Norm (m2/uur) werkdagen]],0)</f>
        <v>0</v>
      </c>
      <c r="Y47" s="97">
        <f>Ruimtestaat[[#This Row],[uren / jaar werkdagen]]*Tariefsopbouw!$E$35</f>
        <v>0</v>
      </c>
      <c r="Z47" s="94"/>
      <c r="AA47" s="98">
        <f>IF(Ruimtestaat[[#This Row],[Frequentie weekend]]&gt;0,VALUE(LEFT(Z47,1))*S47,0)</f>
        <v>0</v>
      </c>
      <c r="AB47" s="94">
        <f>IF($AA47&gt;0,VLOOKUP($K47,Ruimtegroepen[],3,FALSE)*VLOOKUP($M47,Vloersoorten[],3,FALSE)*VLOOKUP($Z47,Frequenties[],3,FALSE)*VLOOKUP($A43,Locaties[],3,FALSE),0)</f>
        <v>0</v>
      </c>
      <c r="AC47" s="96">
        <f>Ruimtestaat[[#This Row],[Uitvoeringen weekend]]*Ruimtestaat[[#This Row],[Oppervlak (netto)]]</f>
        <v>0</v>
      </c>
      <c r="AD47" s="99">
        <f>IF(AC47&gt;0,Ruimtestaat[[#This Row],[Prest. (m2 /jaar) weekend]]/Ruimtestaat[[#This Row],[Norm (m2/uur) weekend]],0)</f>
        <v>0</v>
      </c>
      <c r="AE47" s="100">
        <f>Ruimtestaat[[#This Row],[uren / jaar weekend]]*Tariefsopbouw!$D$40</f>
        <v>0</v>
      </c>
      <c r="AF47" s="72">
        <f>Ruimtestaat[[#This Row],[Prest. (m2 /jaar) weekend]]+Ruimtestaat[[#This Row],[Prest. (m2 /jaar) werkdagen]]</f>
        <v>6000</v>
      </c>
      <c r="AG47" s="72">
        <f>Ruimtestaat[[#This Row],[uren / jaar weekend]]+Ruimtestaat[[#This Row],[uren / jaar werkdagen]]</f>
        <v>0</v>
      </c>
      <c r="AH47" s="73">
        <f>Ruimtestaat[[#This Row],[kosten / jaar weekend]]+Ruimtestaat[[#This Row],[kosten / jaar werkdagen]]</f>
        <v>0</v>
      </c>
    </row>
    <row r="48" spans="1:34" ht="15" customHeight="1">
      <c r="A48" s="118">
        <v>1</v>
      </c>
      <c r="B48" s="24" t="str">
        <f>VLOOKUP(Ruimtestaat[[#This Row],[Code]],Locaties[#All],2,FALSE)</f>
        <v>Rembrandt College</v>
      </c>
      <c r="C48" s="24" t="str">
        <f>VLOOKUP(Ruimtestaat[[#This Row],[Code]],Locaties[#All],4,FALSE)</f>
        <v>Rembrandtlaan 2</v>
      </c>
      <c r="D48" s="24" t="str">
        <f>VLOOKUP(Ruimtestaat[[#This Row],[Code]],Locaties[#All],5,FALSE)</f>
        <v>3904 ZK</v>
      </c>
      <c r="E48" s="24" t="str">
        <f>VLOOKUP(Ruimtestaat[[#This Row],[Code]],Locaties[#All],6,FALSE)</f>
        <v>Veenendaal</v>
      </c>
      <c r="F48" s="66"/>
      <c r="G48" s="24" t="s">
        <v>465</v>
      </c>
      <c r="H48" s="24" t="s">
        <v>698</v>
      </c>
      <c r="I48" s="24" t="s">
        <v>508</v>
      </c>
      <c r="J48" s="4" t="s">
        <v>608</v>
      </c>
      <c r="K48" s="24">
        <v>2</v>
      </c>
      <c r="L48" s="66" t="str">
        <f>VLOOKUP(K48,Ruimtegroepen[],2,FALSE)</f>
        <v>Kantoren</v>
      </c>
      <c r="M48" s="24" t="s">
        <v>113</v>
      </c>
      <c r="N48" s="24" t="s">
        <v>647</v>
      </c>
      <c r="O48" s="92">
        <v>12</v>
      </c>
      <c r="P48" s="92"/>
      <c r="Q48" s="101" t="str">
        <f>LEFT(VLOOKUP(Ruimtestaat[[#This Row],[Ruimte code]],Ruimtegroepen[#All],4,1),2)</f>
        <v xml:space="preserve">B </v>
      </c>
      <c r="R48" s="92"/>
      <c r="S48" s="93">
        <v>42</v>
      </c>
      <c r="T48" s="93" t="s">
        <v>18</v>
      </c>
      <c r="U48" s="94">
        <f>IF(S48&gt;0,IF(RIGHT(Ruimtestaat[[#This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48" s="94">
        <f>IF(U48&gt;0,VLOOKUP($K48,Ruimtegroepen[],3,FALSE)*VLOOKUP($M48,Vloersoorten[],3,FALSE)*VLOOKUP($T48,Frequenties[],3,FALSE)*VLOOKUP($A48,Locaties[],3,FALSE),0)</f>
        <v>0</v>
      </c>
      <c r="W48" s="95">
        <f>Ruimtestaat[[#This Row],[Uitvoeringen werkdagen]]*Ruimtestaat[[#This Row],[Oppervlak (netto)]]</f>
        <v>1512</v>
      </c>
      <c r="X48" s="96">
        <f>IF(V48&gt;0,Ruimtestaat[[#This Row],[Prest. (m2 /jaar) werkdagen]]/Ruimtestaat[[#This Row],[Norm (m2/uur) werkdagen]],0)</f>
        <v>0</v>
      </c>
      <c r="Y48" s="97">
        <f>Ruimtestaat[[#This Row],[uren / jaar werkdagen]]*Tariefsopbouw!$E$35</f>
        <v>0</v>
      </c>
      <c r="Z48" s="94"/>
      <c r="AA48" s="98">
        <f>IF(Ruimtestaat[[#This Row],[Frequentie weekend]]&gt;0,VALUE(LEFT(Z48,1))*S48,0)</f>
        <v>0</v>
      </c>
      <c r="AB48" s="94">
        <f>IF($AA48&gt;0,VLOOKUP($K48,Ruimtegroepen[],3,FALSE)*VLOOKUP($M48,Vloersoorten[],3,FALSE)*VLOOKUP($Z48,Frequenties[],3,FALSE)*VLOOKUP($A43,Locaties[],3,FALSE),0)</f>
        <v>0</v>
      </c>
      <c r="AC48" s="96">
        <f>Ruimtestaat[[#This Row],[Uitvoeringen weekend]]*Ruimtestaat[[#This Row],[Oppervlak (netto)]]</f>
        <v>0</v>
      </c>
      <c r="AD48" s="99">
        <f>IF(AC48&gt;0,Ruimtestaat[[#This Row],[Prest. (m2 /jaar) weekend]]/Ruimtestaat[[#This Row],[Norm (m2/uur) weekend]],0)</f>
        <v>0</v>
      </c>
      <c r="AE48" s="100">
        <f>Ruimtestaat[[#This Row],[uren / jaar weekend]]*Tariefsopbouw!$D$40</f>
        <v>0</v>
      </c>
      <c r="AF48" s="72">
        <f>Ruimtestaat[[#This Row],[Prest. (m2 /jaar) weekend]]+Ruimtestaat[[#This Row],[Prest. (m2 /jaar) werkdagen]]</f>
        <v>1512</v>
      </c>
      <c r="AG48" s="72">
        <f>Ruimtestaat[[#This Row],[uren / jaar weekend]]+Ruimtestaat[[#This Row],[uren / jaar werkdagen]]</f>
        <v>0</v>
      </c>
      <c r="AH48" s="73">
        <f>Ruimtestaat[[#This Row],[kosten / jaar weekend]]+Ruimtestaat[[#This Row],[kosten / jaar werkdagen]]</f>
        <v>0</v>
      </c>
    </row>
    <row r="49" spans="1:34" ht="15" customHeight="1">
      <c r="A49" s="118">
        <v>1</v>
      </c>
      <c r="B49" s="24" t="str">
        <f>VLOOKUP(Ruimtestaat[[#This Row],[Code]],Locaties[#All],2,FALSE)</f>
        <v>Rembrandt College</v>
      </c>
      <c r="C49" s="24" t="str">
        <f>VLOOKUP(Ruimtestaat[[#This Row],[Code]],Locaties[#All],4,FALSE)</f>
        <v>Rembrandtlaan 2</v>
      </c>
      <c r="D49" s="24" t="str">
        <f>VLOOKUP(Ruimtestaat[[#This Row],[Code]],Locaties[#All],5,FALSE)</f>
        <v>3904 ZK</v>
      </c>
      <c r="E49" s="24" t="str">
        <f>VLOOKUP(Ruimtestaat[[#This Row],[Code]],Locaties[#All],6,FALSE)</f>
        <v>Veenendaal</v>
      </c>
      <c r="F49" s="66"/>
      <c r="G49" s="24" t="s">
        <v>465</v>
      </c>
      <c r="H49" s="24" t="s">
        <v>699</v>
      </c>
      <c r="I49" s="24" t="s">
        <v>509</v>
      </c>
      <c r="J49" s="4" t="s">
        <v>609</v>
      </c>
      <c r="K49" s="24">
        <v>2</v>
      </c>
      <c r="L49" s="66" t="str">
        <f>VLOOKUP(K49,Ruimtegroepen[],2,FALSE)</f>
        <v>Kantoren</v>
      </c>
      <c r="M49" s="24" t="s">
        <v>646</v>
      </c>
      <c r="N49" s="24" t="s">
        <v>39</v>
      </c>
      <c r="O49" s="92">
        <v>16</v>
      </c>
      <c r="P49" s="92"/>
      <c r="Q49" s="101" t="str">
        <f>LEFT(VLOOKUP(Ruimtestaat[[#This Row],[Ruimte code]],Ruimtegroepen[#All],4,1),2)</f>
        <v xml:space="preserve">B </v>
      </c>
      <c r="R49" s="92"/>
      <c r="S49" s="93">
        <v>42</v>
      </c>
      <c r="T49" s="93" t="s">
        <v>18</v>
      </c>
      <c r="U49" s="94">
        <f>IF(S49&gt;0,IF(RIGHT(Ruimtestaat[[#This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49" s="94">
        <f>IF(U49&gt;0,VLOOKUP($K49,Ruimtegroepen[],3,FALSE)*VLOOKUP($M49,Vloersoorten[],3,FALSE)*VLOOKUP($T49,Frequenties[],3,FALSE)*VLOOKUP($A49,Locaties[],3,FALSE),0)</f>
        <v>0</v>
      </c>
      <c r="W49" s="95">
        <f>Ruimtestaat[[#This Row],[Uitvoeringen werkdagen]]*Ruimtestaat[[#This Row],[Oppervlak (netto)]]</f>
        <v>2016</v>
      </c>
      <c r="X49" s="96">
        <f>IF(V49&gt;0,Ruimtestaat[[#This Row],[Prest. (m2 /jaar) werkdagen]]/Ruimtestaat[[#This Row],[Norm (m2/uur) werkdagen]],0)</f>
        <v>0</v>
      </c>
      <c r="Y49" s="97">
        <f>Ruimtestaat[[#This Row],[uren / jaar werkdagen]]*Tariefsopbouw!$E$35</f>
        <v>0</v>
      </c>
      <c r="Z49" s="94"/>
      <c r="AA49" s="98">
        <f>IF(Ruimtestaat[[#This Row],[Frequentie weekend]]&gt;0,VALUE(LEFT(Z49,1))*S49,0)</f>
        <v>0</v>
      </c>
      <c r="AB49" s="94">
        <f>IF($AA49&gt;0,VLOOKUP($K49,Ruimtegroepen[],3,FALSE)*VLOOKUP($M49,Vloersoorten[],3,FALSE)*VLOOKUP($Z49,Frequenties[],3,FALSE)*VLOOKUP($A44,Locaties[],3,FALSE),0)</f>
        <v>0</v>
      </c>
      <c r="AC49" s="96">
        <f>Ruimtestaat[[#This Row],[Uitvoeringen weekend]]*Ruimtestaat[[#This Row],[Oppervlak (netto)]]</f>
        <v>0</v>
      </c>
      <c r="AD49" s="99">
        <f>IF(AC49&gt;0,Ruimtestaat[[#This Row],[Prest. (m2 /jaar) weekend]]/Ruimtestaat[[#This Row],[Norm (m2/uur) weekend]],0)</f>
        <v>0</v>
      </c>
      <c r="AE49" s="100">
        <f>Ruimtestaat[[#This Row],[uren / jaar weekend]]*Tariefsopbouw!$D$40</f>
        <v>0</v>
      </c>
      <c r="AF49" s="72">
        <f>Ruimtestaat[[#This Row],[Prest. (m2 /jaar) weekend]]+Ruimtestaat[[#This Row],[Prest. (m2 /jaar) werkdagen]]</f>
        <v>2016</v>
      </c>
      <c r="AG49" s="72">
        <f>Ruimtestaat[[#This Row],[uren / jaar weekend]]+Ruimtestaat[[#This Row],[uren / jaar werkdagen]]</f>
        <v>0</v>
      </c>
      <c r="AH49" s="73">
        <f>Ruimtestaat[[#This Row],[kosten / jaar weekend]]+Ruimtestaat[[#This Row],[kosten / jaar werkdagen]]</f>
        <v>0</v>
      </c>
    </row>
    <row r="50" spans="1:34" ht="15" customHeight="1">
      <c r="A50" s="118">
        <v>1</v>
      </c>
      <c r="B50" s="24" t="str">
        <f>VLOOKUP(Ruimtestaat[[#This Row],[Code]],Locaties[#All],2,FALSE)</f>
        <v>Rembrandt College</v>
      </c>
      <c r="C50" s="24" t="str">
        <f>VLOOKUP(Ruimtestaat[[#This Row],[Code]],Locaties[#All],4,FALSE)</f>
        <v>Rembrandtlaan 2</v>
      </c>
      <c r="D50" s="24" t="str">
        <f>VLOOKUP(Ruimtestaat[[#This Row],[Code]],Locaties[#All],5,FALSE)</f>
        <v>3904 ZK</v>
      </c>
      <c r="E50" s="24" t="str">
        <f>VLOOKUP(Ruimtestaat[[#This Row],[Code]],Locaties[#All],6,FALSE)</f>
        <v>Veenendaal</v>
      </c>
      <c r="F50" s="66"/>
      <c r="G50" s="24" t="s">
        <v>465</v>
      </c>
      <c r="H50" s="24" t="s">
        <v>700</v>
      </c>
      <c r="I50" s="24" t="s">
        <v>510</v>
      </c>
      <c r="J50" s="4" t="s">
        <v>610</v>
      </c>
      <c r="K50" s="24">
        <v>5</v>
      </c>
      <c r="L50" s="66" t="str">
        <f>VLOOKUP(K50,Ruimtegroepen[],2,FALSE)</f>
        <v>Sanitair</v>
      </c>
      <c r="M50" s="24" t="s">
        <v>113</v>
      </c>
      <c r="N50" s="24" t="s">
        <v>647</v>
      </c>
      <c r="O50" s="92">
        <v>8</v>
      </c>
      <c r="P50" s="92"/>
      <c r="Q50" s="101" t="str">
        <f>LEFT(VLOOKUP(Ruimtestaat[[#This Row],[Ruimte code]],Ruimtegroepen[#All],4,1),2)</f>
        <v xml:space="preserve">S </v>
      </c>
      <c r="R50" s="92"/>
      <c r="S50" s="93">
        <v>50</v>
      </c>
      <c r="T50" s="93" t="s">
        <v>19</v>
      </c>
      <c r="U50" s="94">
        <f>IF(S50&gt;0,IF(RIGHT(Ruimtestaat[[#This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50" s="94">
        <f>IF(U50&gt;0,VLOOKUP($K50,Ruimtegroepen[],3,FALSE)*VLOOKUP($M50,Vloersoorten[],3,FALSE)*VLOOKUP($T50,Frequenties[],3,FALSE)*VLOOKUP($A50,Locaties[],3,FALSE),0)</f>
        <v>0</v>
      </c>
      <c r="W50" s="95">
        <f>Ruimtestaat[[#This Row],[Uitvoeringen werkdagen]]*Ruimtestaat[[#This Row],[Oppervlak (netto)]]</f>
        <v>4000</v>
      </c>
      <c r="X50" s="96">
        <f>IF(V50&gt;0,Ruimtestaat[[#This Row],[Prest. (m2 /jaar) werkdagen]]/Ruimtestaat[[#This Row],[Norm (m2/uur) werkdagen]],0)</f>
        <v>0</v>
      </c>
      <c r="Y50" s="97">
        <f>Ruimtestaat[[#This Row],[uren / jaar werkdagen]]*Tariefsopbouw!$E$35</f>
        <v>0</v>
      </c>
      <c r="Z50" s="94"/>
      <c r="AA50" s="98">
        <f>IF(Ruimtestaat[[#This Row],[Frequentie weekend]]&gt;0,VALUE(LEFT(Z50,1))*S50,0)</f>
        <v>0</v>
      </c>
      <c r="AB50" s="94">
        <f>IF($AA50&gt;0,VLOOKUP($K50,Ruimtegroepen[],3,FALSE)*VLOOKUP($M50,Vloersoorten[],3,FALSE)*VLOOKUP($Z50,Frequenties[],3,FALSE)*VLOOKUP($A45,Locaties[],3,FALSE),0)</f>
        <v>0</v>
      </c>
      <c r="AC50" s="96">
        <f>Ruimtestaat[[#This Row],[Uitvoeringen weekend]]*Ruimtestaat[[#This Row],[Oppervlak (netto)]]</f>
        <v>0</v>
      </c>
      <c r="AD50" s="99">
        <f>IF(AC50&gt;0,Ruimtestaat[[#This Row],[Prest. (m2 /jaar) weekend]]/Ruimtestaat[[#This Row],[Norm (m2/uur) weekend]],0)</f>
        <v>0</v>
      </c>
      <c r="AE50" s="100">
        <f>Ruimtestaat[[#This Row],[uren / jaar weekend]]*Tariefsopbouw!$D$40</f>
        <v>0</v>
      </c>
      <c r="AF50" s="72">
        <f>Ruimtestaat[[#This Row],[Prest. (m2 /jaar) weekend]]+Ruimtestaat[[#This Row],[Prest. (m2 /jaar) werkdagen]]</f>
        <v>4000</v>
      </c>
      <c r="AG50" s="72">
        <f>Ruimtestaat[[#This Row],[uren / jaar weekend]]+Ruimtestaat[[#This Row],[uren / jaar werkdagen]]</f>
        <v>0</v>
      </c>
      <c r="AH50" s="73">
        <f>Ruimtestaat[[#This Row],[kosten / jaar weekend]]+Ruimtestaat[[#This Row],[kosten / jaar werkdagen]]</f>
        <v>0</v>
      </c>
    </row>
    <row r="51" spans="1:34" ht="15" customHeight="1">
      <c r="A51" s="118">
        <v>1</v>
      </c>
      <c r="B51" s="24" t="str">
        <f>VLOOKUP(Ruimtestaat[[#This Row],[Code]],Locaties[#All],2,FALSE)</f>
        <v>Rembrandt College</v>
      </c>
      <c r="C51" s="24" t="str">
        <f>VLOOKUP(Ruimtestaat[[#This Row],[Code]],Locaties[#All],4,FALSE)</f>
        <v>Rembrandtlaan 2</v>
      </c>
      <c r="D51" s="24" t="str">
        <f>VLOOKUP(Ruimtestaat[[#This Row],[Code]],Locaties[#All],5,FALSE)</f>
        <v>3904 ZK</v>
      </c>
      <c r="E51" s="24" t="str">
        <f>VLOOKUP(Ruimtestaat[[#This Row],[Code]],Locaties[#All],6,FALSE)</f>
        <v>Veenendaal</v>
      </c>
      <c r="F51" s="66"/>
      <c r="G51" s="24" t="s">
        <v>465</v>
      </c>
      <c r="H51" s="24"/>
      <c r="I51" s="24" t="s">
        <v>511</v>
      </c>
      <c r="J51" s="4" t="s">
        <v>611</v>
      </c>
      <c r="K51" s="24">
        <v>6</v>
      </c>
      <c r="L51" s="66" t="str">
        <f>VLOOKUP(K51,Ruimtegroepen[],2,FALSE)</f>
        <v>Gangen/hallen</v>
      </c>
      <c r="M51" s="24" t="s">
        <v>645</v>
      </c>
      <c r="N51" s="24" t="s">
        <v>384</v>
      </c>
      <c r="O51" s="92">
        <v>70</v>
      </c>
      <c r="P51" s="92"/>
      <c r="Q51" s="101" t="str">
        <f>LEFT(VLOOKUP(Ruimtestaat[[#This Row],[Ruimte code]],Ruimtegroepen[#All],4,1),2)</f>
        <v xml:space="preserve">V </v>
      </c>
      <c r="R51" s="92"/>
      <c r="S51" s="93">
        <v>40</v>
      </c>
      <c r="T51" s="93" t="s">
        <v>2</v>
      </c>
      <c r="U51" s="94">
        <f>IF(S51&gt;0,IF(RIGHT(Ruimtestaat[[#This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" s="94">
        <f>IF(U51&gt;0,VLOOKUP($K51,Ruimtegroepen[],3,FALSE)*VLOOKUP($M51,Vloersoorten[],3,FALSE)*VLOOKUP($T51,Frequenties[],3,FALSE)*VLOOKUP($A51,Locaties[],3,FALSE),0)</f>
        <v>0</v>
      </c>
      <c r="W51" s="95">
        <f>Ruimtestaat[[#This Row],[Uitvoeringen werkdagen]]*Ruimtestaat[[#This Row],[Oppervlak (netto)]]</f>
        <v>14000</v>
      </c>
      <c r="X51" s="96">
        <f>IF(V51&gt;0,Ruimtestaat[[#This Row],[Prest. (m2 /jaar) werkdagen]]/Ruimtestaat[[#This Row],[Norm (m2/uur) werkdagen]],0)</f>
        <v>0</v>
      </c>
      <c r="Y51" s="97">
        <f>Ruimtestaat[[#This Row],[uren / jaar werkdagen]]*Tariefsopbouw!$E$35</f>
        <v>0</v>
      </c>
      <c r="Z51" s="94"/>
      <c r="AA51" s="98">
        <f>IF(Ruimtestaat[[#This Row],[Frequentie weekend]]&gt;0,VALUE(LEFT(Z51,1))*S51,0)</f>
        <v>0</v>
      </c>
      <c r="AB51" s="94">
        <f>IF($AA51&gt;0,VLOOKUP($K51,Ruimtegroepen[],3,FALSE)*VLOOKUP($M51,Vloersoorten[],3,FALSE)*VLOOKUP($Z51,Frequenties[],3,FALSE)*VLOOKUP($A46,Locaties[],3,FALSE),0)</f>
        <v>0</v>
      </c>
      <c r="AC51" s="96">
        <f>Ruimtestaat[[#This Row],[Uitvoeringen weekend]]*Ruimtestaat[[#This Row],[Oppervlak (netto)]]</f>
        <v>0</v>
      </c>
      <c r="AD51" s="99">
        <f>IF(AC51&gt;0,Ruimtestaat[[#This Row],[Prest. (m2 /jaar) weekend]]/Ruimtestaat[[#This Row],[Norm (m2/uur) weekend]],0)</f>
        <v>0</v>
      </c>
      <c r="AE51" s="100">
        <f>Ruimtestaat[[#This Row],[uren / jaar weekend]]*Tariefsopbouw!$D$40</f>
        <v>0</v>
      </c>
      <c r="AF51" s="72">
        <f>Ruimtestaat[[#This Row],[Prest. (m2 /jaar) weekend]]+Ruimtestaat[[#This Row],[Prest. (m2 /jaar) werkdagen]]</f>
        <v>14000</v>
      </c>
      <c r="AG51" s="72">
        <f>Ruimtestaat[[#This Row],[uren / jaar weekend]]+Ruimtestaat[[#This Row],[uren / jaar werkdagen]]</f>
        <v>0</v>
      </c>
      <c r="AH51" s="73">
        <f>Ruimtestaat[[#This Row],[kosten / jaar weekend]]+Ruimtestaat[[#This Row],[kosten / jaar werkdagen]]</f>
        <v>0</v>
      </c>
    </row>
    <row r="52" spans="1:34" ht="15" customHeight="1">
      <c r="A52" s="118">
        <v>1</v>
      </c>
      <c r="B52" s="24" t="str">
        <f>VLOOKUP(Ruimtestaat[[#This Row],[Code]],Locaties[#All],2,FALSE)</f>
        <v>Rembrandt College</v>
      </c>
      <c r="C52" s="24" t="str">
        <f>VLOOKUP(Ruimtestaat[[#This Row],[Code]],Locaties[#All],4,FALSE)</f>
        <v>Rembrandtlaan 2</v>
      </c>
      <c r="D52" s="24" t="str">
        <f>VLOOKUP(Ruimtestaat[[#This Row],[Code]],Locaties[#All],5,FALSE)</f>
        <v>3904 ZK</v>
      </c>
      <c r="E52" s="24" t="str">
        <f>VLOOKUP(Ruimtestaat[[#This Row],[Code]],Locaties[#All],6,FALSE)</f>
        <v>Veenendaal</v>
      </c>
      <c r="F52" s="66"/>
      <c r="G52" s="24" t="s">
        <v>465</v>
      </c>
      <c r="H52" s="24"/>
      <c r="I52" s="24" t="s">
        <v>512</v>
      </c>
      <c r="J52" s="4" t="s">
        <v>612</v>
      </c>
      <c r="K52" s="24">
        <v>10</v>
      </c>
      <c r="L52" s="66" t="str">
        <f>VLOOKUP(K52,Ruimtegroepen[],2,FALSE)</f>
        <v>Trappenhuizen/lift</v>
      </c>
      <c r="M52" s="24" t="s">
        <v>114</v>
      </c>
      <c r="N52" s="24" t="s">
        <v>648</v>
      </c>
      <c r="O52" s="92">
        <v>29</v>
      </c>
      <c r="P52" s="92"/>
      <c r="Q52" s="101" t="str">
        <f>LEFT(VLOOKUP(Ruimtestaat[[#This Row],[Ruimte code]],Ruimtegroepen[#All],4,1),2)</f>
        <v xml:space="preserve">V </v>
      </c>
      <c r="R52" s="92"/>
      <c r="S52" s="93">
        <v>40</v>
      </c>
      <c r="T52" s="93" t="s">
        <v>2</v>
      </c>
      <c r="U52" s="94">
        <f>IF(S52&gt;0,IF(RIGHT(Ruimtestaat[[#This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" s="94">
        <f>IF(U52&gt;0,VLOOKUP($K52,Ruimtegroepen[],3,FALSE)*VLOOKUP($M52,Vloersoorten[],3,FALSE)*VLOOKUP($T52,Frequenties[],3,FALSE)*VLOOKUP($A52,Locaties[],3,FALSE),0)</f>
        <v>0</v>
      </c>
      <c r="W52" s="95">
        <f>Ruimtestaat[[#This Row],[Uitvoeringen werkdagen]]*Ruimtestaat[[#This Row],[Oppervlak (netto)]]</f>
        <v>5800</v>
      </c>
      <c r="X52" s="96">
        <f>IF(V52&gt;0,Ruimtestaat[[#This Row],[Prest. (m2 /jaar) werkdagen]]/Ruimtestaat[[#This Row],[Norm (m2/uur) werkdagen]],0)</f>
        <v>0</v>
      </c>
      <c r="Y52" s="97">
        <f>Ruimtestaat[[#This Row],[uren / jaar werkdagen]]*Tariefsopbouw!$E$35</f>
        <v>0</v>
      </c>
      <c r="Z52" s="94"/>
      <c r="AA52" s="98">
        <f>IF(Ruimtestaat[[#This Row],[Frequentie weekend]]&gt;0,VALUE(LEFT(Z52,1))*S52,0)</f>
        <v>0</v>
      </c>
      <c r="AB52" s="94">
        <f>IF($AA52&gt;0,VLOOKUP($K52,Ruimtegroepen[],3,FALSE)*VLOOKUP($M52,Vloersoorten[],3,FALSE)*VLOOKUP($Z52,Frequenties[],3,FALSE)*VLOOKUP($A48,Locaties[],3,FALSE),0)</f>
        <v>0</v>
      </c>
      <c r="AC52" s="96">
        <f>Ruimtestaat[[#This Row],[Uitvoeringen weekend]]*Ruimtestaat[[#This Row],[Oppervlak (netto)]]</f>
        <v>0</v>
      </c>
      <c r="AD52" s="99">
        <f>IF(AC52&gt;0,Ruimtestaat[[#This Row],[Prest. (m2 /jaar) weekend]]/Ruimtestaat[[#This Row],[Norm (m2/uur) weekend]],0)</f>
        <v>0</v>
      </c>
      <c r="AE52" s="100">
        <f>Ruimtestaat[[#This Row],[uren / jaar weekend]]*Tariefsopbouw!$D$40</f>
        <v>0</v>
      </c>
      <c r="AF52" s="72">
        <f>Ruimtestaat[[#This Row],[Prest. (m2 /jaar) weekend]]+Ruimtestaat[[#This Row],[Prest. (m2 /jaar) werkdagen]]</f>
        <v>5800</v>
      </c>
      <c r="AG52" s="72">
        <f>Ruimtestaat[[#This Row],[uren / jaar weekend]]+Ruimtestaat[[#This Row],[uren / jaar werkdagen]]</f>
        <v>0</v>
      </c>
      <c r="AH52" s="73">
        <f>Ruimtestaat[[#This Row],[kosten / jaar weekend]]+Ruimtestaat[[#This Row],[kosten / jaar werkdagen]]</f>
        <v>0</v>
      </c>
    </row>
    <row r="53" spans="1:34" ht="15" customHeight="1">
      <c r="A53" s="118">
        <v>1</v>
      </c>
      <c r="B53" s="24" t="str">
        <f>VLOOKUP(Ruimtestaat[[#This Row],[Code]],Locaties[#All],2,FALSE)</f>
        <v>Rembrandt College</v>
      </c>
      <c r="C53" s="24" t="str">
        <f>VLOOKUP(Ruimtestaat[[#This Row],[Code]],Locaties[#All],4,FALSE)</f>
        <v>Rembrandtlaan 2</v>
      </c>
      <c r="D53" s="24" t="str">
        <f>VLOOKUP(Ruimtestaat[[#This Row],[Code]],Locaties[#All],5,FALSE)</f>
        <v>3904 ZK</v>
      </c>
      <c r="E53" s="24" t="str">
        <f>VLOOKUP(Ruimtestaat[[#This Row],[Code]],Locaties[#All],6,FALSE)</f>
        <v>Veenendaal</v>
      </c>
      <c r="F53" s="66"/>
      <c r="G53" s="24" t="s">
        <v>465</v>
      </c>
      <c r="H53" s="24"/>
      <c r="I53" s="24" t="s">
        <v>513</v>
      </c>
      <c r="J53" s="4" t="s">
        <v>611</v>
      </c>
      <c r="K53" s="24">
        <v>6</v>
      </c>
      <c r="L53" s="66" t="str">
        <f>VLOOKUP(K53,Ruimtegroepen[],2,FALSE)</f>
        <v>Gangen/hallen</v>
      </c>
      <c r="M53" s="24" t="s">
        <v>645</v>
      </c>
      <c r="N53" s="24" t="s">
        <v>384</v>
      </c>
      <c r="O53" s="92">
        <v>21</v>
      </c>
      <c r="P53" s="92"/>
      <c r="Q53" s="101" t="str">
        <f>LEFT(VLOOKUP(Ruimtestaat[[#This Row],[Ruimte code]],Ruimtegroepen[#All],4,1),2)</f>
        <v xml:space="preserve">V </v>
      </c>
      <c r="R53" s="92"/>
      <c r="S53" s="93">
        <v>40</v>
      </c>
      <c r="T53" s="93" t="s">
        <v>2</v>
      </c>
      <c r="U53" s="94">
        <f>IF(S53&gt;0,IF(RIGHT(Ruimtestaat[[#This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" s="94">
        <f>IF(U53&gt;0,VLOOKUP($K53,Ruimtegroepen[],3,FALSE)*VLOOKUP($M53,Vloersoorten[],3,FALSE)*VLOOKUP($T53,Frequenties[],3,FALSE)*VLOOKUP($A53,Locaties[],3,FALSE),0)</f>
        <v>0</v>
      </c>
      <c r="W53" s="95">
        <f>Ruimtestaat[[#This Row],[Uitvoeringen werkdagen]]*Ruimtestaat[[#This Row],[Oppervlak (netto)]]</f>
        <v>4200</v>
      </c>
      <c r="X53" s="96">
        <f>IF(V53&gt;0,Ruimtestaat[[#This Row],[Prest. (m2 /jaar) werkdagen]]/Ruimtestaat[[#This Row],[Norm (m2/uur) werkdagen]],0)</f>
        <v>0</v>
      </c>
      <c r="Y53" s="97">
        <f>Ruimtestaat[[#This Row],[uren / jaar werkdagen]]*Tariefsopbouw!$E$35</f>
        <v>0</v>
      </c>
      <c r="Z53" s="94"/>
      <c r="AA53" s="98">
        <f>IF(Ruimtestaat[[#This Row],[Frequentie weekend]]&gt;0,VALUE(LEFT(Z53,1))*S53,0)</f>
        <v>0</v>
      </c>
      <c r="AB53" s="94">
        <f>IF($AA53&gt;0,VLOOKUP($K53,Ruimtegroepen[],3,FALSE)*VLOOKUP($M53,Vloersoorten[],3,FALSE)*VLOOKUP($Z53,Frequenties[],3,FALSE)*VLOOKUP($A49,Locaties[],3,FALSE),0)</f>
        <v>0</v>
      </c>
      <c r="AC53" s="96">
        <f>Ruimtestaat[[#This Row],[Uitvoeringen weekend]]*Ruimtestaat[[#This Row],[Oppervlak (netto)]]</f>
        <v>0</v>
      </c>
      <c r="AD53" s="99">
        <f>IF(AC53&gt;0,Ruimtestaat[[#This Row],[Prest. (m2 /jaar) weekend]]/Ruimtestaat[[#This Row],[Norm (m2/uur) weekend]],0)</f>
        <v>0</v>
      </c>
      <c r="AE53" s="100">
        <f>Ruimtestaat[[#This Row],[uren / jaar weekend]]*Tariefsopbouw!$D$40</f>
        <v>0</v>
      </c>
      <c r="AF53" s="72">
        <f>Ruimtestaat[[#This Row],[Prest. (m2 /jaar) weekend]]+Ruimtestaat[[#This Row],[Prest. (m2 /jaar) werkdagen]]</f>
        <v>4200</v>
      </c>
      <c r="AG53" s="72">
        <f>Ruimtestaat[[#This Row],[uren / jaar weekend]]+Ruimtestaat[[#This Row],[uren / jaar werkdagen]]</f>
        <v>0</v>
      </c>
      <c r="AH53" s="73">
        <f>Ruimtestaat[[#This Row],[kosten / jaar weekend]]+Ruimtestaat[[#This Row],[kosten / jaar werkdagen]]</f>
        <v>0</v>
      </c>
    </row>
    <row r="54" spans="1:34" ht="15" customHeight="1">
      <c r="A54" s="118">
        <v>1</v>
      </c>
      <c r="B54" s="24" t="str">
        <f>VLOOKUP(Ruimtestaat[[#This Row],[Code]],Locaties[#All],2,FALSE)</f>
        <v>Rembrandt College</v>
      </c>
      <c r="C54" s="24" t="str">
        <f>VLOOKUP(Ruimtestaat[[#This Row],[Code]],Locaties[#All],4,FALSE)</f>
        <v>Rembrandtlaan 2</v>
      </c>
      <c r="D54" s="24" t="str">
        <f>VLOOKUP(Ruimtestaat[[#This Row],[Code]],Locaties[#All],5,FALSE)</f>
        <v>3904 ZK</v>
      </c>
      <c r="E54" s="24" t="str">
        <f>VLOOKUP(Ruimtestaat[[#This Row],[Code]],Locaties[#All],6,FALSE)</f>
        <v>Veenendaal</v>
      </c>
      <c r="F54" s="66"/>
      <c r="G54" s="24" t="s">
        <v>465</v>
      </c>
      <c r="H54" s="24"/>
      <c r="I54" s="24" t="s">
        <v>514</v>
      </c>
      <c r="J54" s="4" t="s">
        <v>612</v>
      </c>
      <c r="K54" s="24">
        <v>10</v>
      </c>
      <c r="L54" s="66" t="str">
        <f>VLOOKUP(K54,Ruimtegroepen[],2,FALSE)</f>
        <v>Trappenhuizen/lift</v>
      </c>
      <c r="M54" s="24" t="s">
        <v>114</v>
      </c>
      <c r="N54" s="24" t="s">
        <v>648</v>
      </c>
      <c r="O54" s="92">
        <v>11.5</v>
      </c>
      <c r="P54" s="92"/>
      <c r="Q54" s="101" t="str">
        <f>LEFT(VLOOKUP(Ruimtestaat[[#This Row],[Ruimte code]],Ruimtegroepen[#All],4,1),2)</f>
        <v xml:space="preserve">V </v>
      </c>
      <c r="R54" s="92"/>
      <c r="S54" s="93">
        <v>40</v>
      </c>
      <c r="T54" s="93" t="s">
        <v>2</v>
      </c>
      <c r="U54" s="94">
        <f>IF(S54&gt;0,IF(RIGHT(Ruimtestaat[[#This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" s="94">
        <f>IF(U54&gt;0,VLOOKUP($K54,Ruimtegroepen[],3,FALSE)*VLOOKUP($M54,Vloersoorten[],3,FALSE)*VLOOKUP($T54,Frequenties[],3,FALSE)*VLOOKUP($A54,Locaties[],3,FALSE),0)</f>
        <v>0</v>
      </c>
      <c r="W54" s="95">
        <f>Ruimtestaat[[#This Row],[Uitvoeringen werkdagen]]*Ruimtestaat[[#This Row],[Oppervlak (netto)]]</f>
        <v>2300</v>
      </c>
      <c r="X54" s="96">
        <f>IF(V54&gt;0,Ruimtestaat[[#This Row],[Prest. (m2 /jaar) werkdagen]]/Ruimtestaat[[#This Row],[Norm (m2/uur) werkdagen]],0)</f>
        <v>0</v>
      </c>
      <c r="Y54" s="97">
        <f>Ruimtestaat[[#This Row],[uren / jaar werkdagen]]*Tariefsopbouw!$E$35</f>
        <v>0</v>
      </c>
      <c r="Z54" s="94"/>
      <c r="AA54" s="98">
        <f>IF(Ruimtestaat[[#This Row],[Frequentie weekend]]&gt;0,VALUE(LEFT(Z54,1))*S54,0)</f>
        <v>0</v>
      </c>
      <c r="AB54" s="94">
        <f>IF($AA54&gt;0,VLOOKUP($K54,Ruimtegroepen[],3,FALSE)*VLOOKUP($M54,Vloersoorten[],3,FALSE)*VLOOKUP($Z54,Frequenties[],3,FALSE)*VLOOKUP($A50,Locaties[],3,FALSE),0)</f>
        <v>0</v>
      </c>
      <c r="AC54" s="96">
        <f>Ruimtestaat[[#This Row],[Uitvoeringen weekend]]*Ruimtestaat[[#This Row],[Oppervlak (netto)]]</f>
        <v>0</v>
      </c>
      <c r="AD54" s="99">
        <f>IF(AC54&gt;0,Ruimtestaat[[#This Row],[Prest. (m2 /jaar) weekend]]/Ruimtestaat[[#This Row],[Norm (m2/uur) weekend]],0)</f>
        <v>0</v>
      </c>
      <c r="AE54" s="100">
        <f>Ruimtestaat[[#This Row],[uren / jaar weekend]]*Tariefsopbouw!$D$40</f>
        <v>0</v>
      </c>
      <c r="AF54" s="72">
        <f>Ruimtestaat[[#This Row],[Prest. (m2 /jaar) weekend]]+Ruimtestaat[[#This Row],[Prest. (m2 /jaar) werkdagen]]</f>
        <v>2300</v>
      </c>
      <c r="AG54" s="72">
        <f>Ruimtestaat[[#This Row],[uren / jaar weekend]]+Ruimtestaat[[#This Row],[uren / jaar werkdagen]]</f>
        <v>0</v>
      </c>
      <c r="AH54" s="73">
        <f>Ruimtestaat[[#This Row],[kosten / jaar weekend]]+Ruimtestaat[[#This Row],[kosten / jaar werkdagen]]</f>
        <v>0</v>
      </c>
    </row>
    <row r="55" spans="1:34" ht="15" customHeight="1">
      <c r="A55" s="118">
        <v>1</v>
      </c>
      <c r="B55" s="24" t="str">
        <f>VLOOKUP(Ruimtestaat[[#This Row],[Code]],Locaties[#All],2,FALSE)</f>
        <v>Rembrandt College</v>
      </c>
      <c r="C55" s="24" t="str">
        <f>VLOOKUP(Ruimtestaat[[#This Row],[Code]],Locaties[#All],4,FALSE)</f>
        <v>Rembrandtlaan 2</v>
      </c>
      <c r="D55" s="24" t="str">
        <f>VLOOKUP(Ruimtestaat[[#This Row],[Code]],Locaties[#All],5,FALSE)</f>
        <v>3904 ZK</v>
      </c>
      <c r="E55" s="24" t="str">
        <f>VLOOKUP(Ruimtestaat[[#This Row],[Code]],Locaties[#All],6,FALSE)</f>
        <v>Veenendaal</v>
      </c>
      <c r="F55" s="66"/>
      <c r="G55" s="24" t="s">
        <v>465</v>
      </c>
      <c r="H55" s="24" t="s">
        <v>701</v>
      </c>
      <c r="J55" s="4" t="s">
        <v>613</v>
      </c>
      <c r="K55" s="24">
        <v>2</v>
      </c>
      <c r="L55" s="66" t="str">
        <f>VLOOKUP(K55,Ruimtegroepen[],2,FALSE)</f>
        <v>Kantoren</v>
      </c>
      <c r="M55" s="24" t="s">
        <v>645</v>
      </c>
      <c r="N55" s="24" t="s">
        <v>384</v>
      </c>
      <c r="O55" s="92">
        <v>7</v>
      </c>
      <c r="P55" s="92"/>
      <c r="Q55" s="101" t="str">
        <f>LEFT(VLOOKUP(Ruimtestaat[[#This Row],[Ruimte code]],Ruimtegroepen[#All],4,1),2)</f>
        <v xml:space="preserve">B </v>
      </c>
      <c r="R55" s="92"/>
      <c r="S55" s="93">
        <v>40</v>
      </c>
      <c r="T55" s="93" t="s">
        <v>18</v>
      </c>
      <c r="U55" s="94">
        <f>IF(S55&gt;0,IF(RIGHT(Ruimtestaat[[#This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55" s="94">
        <f>IF(U55&gt;0,VLOOKUP($K55,Ruimtegroepen[],3,FALSE)*VLOOKUP($M55,Vloersoorten[],3,FALSE)*VLOOKUP($T55,Frequenties[],3,FALSE)*VLOOKUP($A55,Locaties[],3,FALSE),0)</f>
        <v>0</v>
      </c>
      <c r="W55" s="95">
        <f>Ruimtestaat[[#This Row],[Uitvoeringen werkdagen]]*Ruimtestaat[[#This Row],[Oppervlak (netto)]]</f>
        <v>840</v>
      </c>
      <c r="X55" s="96">
        <f>IF(V55&gt;0,Ruimtestaat[[#This Row],[Prest. (m2 /jaar) werkdagen]]/Ruimtestaat[[#This Row],[Norm (m2/uur) werkdagen]],0)</f>
        <v>0</v>
      </c>
      <c r="Y55" s="97">
        <f>Ruimtestaat[[#This Row],[uren / jaar werkdagen]]*Tariefsopbouw!$E$35</f>
        <v>0</v>
      </c>
      <c r="Z55" s="94"/>
      <c r="AA55" s="98">
        <f>IF(Ruimtestaat[[#This Row],[Frequentie weekend]]&gt;0,VALUE(LEFT(Z55,1))*S55,0)</f>
        <v>0</v>
      </c>
      <c r="AB55" s="94">
        <f>IF($AA55&gt;0,VLOOKUP($K55,Ruimtegroepen[],3,FALSE)*VLOOKUP($M55,Vloersoorten[],3,FALSE)*VLOOKUP($Z55,Frequenties[],3,FALSE)*VLOOKUP($A51,Locaties[],3,FALSE),0)</f>
        <v>0</v>
      </c>
      <c r="AC55" s="96">
        <f>Ruimtestaat[[#This Row],[Uitvoeringen weekend]]*Ruimtestaat[[#This Row],[Oppervlak (netto)]]</f>
        <v>0</v>
      </c>
      <c r="AD55" s="99">
        <f>IF(AC55&gt;0,Ruimtestaat[[#This Row],[Prest. (m2 /jaar) weekend]]/Ruimtestaat[[#This Row],[Norm (m2/uur) weekend]],0)</f>
        <v>0</v>
      </c>
      <c r="AE55" s="100">
        <f>Ruimtestaat[[#This Row],[uren / jaar weekend]]*Tariefsopbouw!$D$40</f>
        <v>0</v>
      </c>
      <c r="AF55" s="72">
        <f>Ruimtestaat[[#This Row],[Prest. (m2 /jaar) weekend]]+Ruimtestaat[[#This Row],[Prest. (m2 /jaar) werkdagen]]</f>
        <v>840</v>
      </c>
      <c r="AG55" s="72">
        <f>Ruimtestaat[[#This Row],[uren / jaar weekend]]+Ruimtestaat[[#This Row],[uren / jaar werkdagen]]</f>
        <v>0</v>
      </c>
      <c r="AH55" s="73">
        <f>Ruimtestaat[[#This Row],[kosten / jaar weekend]]+Ruimtestaat[[#This Row],[kosten / jaar werkdagen]]</f>
        <v>0</v>
      </c>
    </row>
    <row r="56" spans="1:34" ht="15" customHeight="1">
      <c r="A56" s="118">
        <v>1</v>
      </c>
      <c r="B56" s="24" t="str">
        <f>VLOOKUP(Ruimtestaat[[#This Row],[Code]],Locaties[#All],2,FALSE)</f>
        <v>Rembrandt College</v>
      </c>
      <c r="C56" s="24" t="str">
        <f>VLOOKUP(Ruimtestaat[[#This Row],[Code]],Locaties[#All],4,FALSE)</f>
        <v>Rembrandtlaan 2</v>
      </c>
      <c r="D56" s="24" t="str">
        <f>VLOOKUP(Ruimtestaat[[#This Row],[Code]],Locaties[#All],5,FALSE)</f>
        <v>3904 ZK</v>
      </c>
      <c r="E56" s="24" t="str">
        <f>VLOOKUP(Ruimtestaat[[#This Row],[Code]],Locaties[#All],6,FALSE)</f>
        <v>Veenendaal</v>
      </c>
      <c r="F56" s="66"/>
      <c r="G56" s="24" t="s">
        <v>465</v>
      </c>
      <c r="H56" s="24" t="s">
        <v>702</v>
      </c>
      <c r="J56" s="4" t="s">
        <v>614</v>
      </c>
      <c r="K56" s="24">
        <v>2</v>
      </c>
      <c r="L56" s="66" t="str">
        <f>VLOOKUP(K56,Ruimtegroepen[],2,FALSE)</f>
        <v>Kantoren</v>
      </c>
      <c r="M56" s="24" t="s">
        <v>645</v>
      </c>
      <c r="N56" s="24" t="s">
        <v>384</v>
      </c>
      <c r="O56" s="92">
        <v>12</v>
      </c>
      <c r="P56" s="92"/>
      <c r="Q56" s="101" t="str">
        <f>LEFT(VLOOKUP(Ruimtestaat[[#This Row],[Ruimte code]],Ruimtegroepen[#All],4,1),2)</f>
        <v xml:space="preserve">B </v>
      </c>
      <c r="R56" s="92"/>
      <c r="S56" s="93">
        <v>42</v>
      </c>
      <c r="T56" s="93" t="s">
        <v>18</v>
      </c>
      <c r="U56" s="94">
        <f>IF(S56&gt;0,IF(RIGHT(Ruimtestaat[[#This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56" s="94">
        <f>IF(U56&gt;0,VLOOKUP($K56,Ruimtegroepen[],3,FALSE)*VLOOKUP($M56,Vloersoorten[],3,FALSE)*VLOOKUP($T56,Frequenties[],3,FALSE)*VLOOKUP($A56,Locaties[],3,FALSE),0)</f>
        <v>0</v>
      </c>
      <c r="W56" s="95">
        <f>Ruimtestaat[[#This Row],[Uitvoeringen werkdagen]]*Ruimtestaat[[#This Row],[Oppervlak (netto)]]</f>
        <v>1512</v>
      </c>
      <c r="X56" s="96">
        <f>IF(V56&gt;0,Ruimtestaat[[#This Row],[Prest. (m2 /jaar) werkdagen]]/Ruimtestaat[[#This Row],[Norm (m2/uur) werkdagen]],0)</f>
        <v>0</v>
      </c>
      <c r="Y56" s="97">
        <f>Ruimtestaat[[#This Row],[uren / jaar werkdagen]]*Tariefsopbouw!$E$35</f>
        <v>0</v>
      </c>
      <c r="Z56" s="94"/>
      <c r="AA56" s="98">
        <f>IF(Ruimtestaat[[#This Row],[Frequentie weekend]]&gt;0,VALUE(LEFT(Z56,1))*S56,0)</f>
        <v>0</v>
      </c>
      <c r="AB56" s="94">
        <f>IF($AA56&gt;0,VLOOKUP($K56,Ruimtegroepen[],3,FALSE)*VLOOKUP($M56,Vloersoorten[],3,FALSE)*VLOOKUP($Z56,Frequenties[],3,FALSE)*VLOOKUP($A52,Locaties[],3,FALSE),0)</f>
        <v>0</v>
      </c>
      <c r="AC56" s="96">
        <f>Ruimtestaat[[#This Row],[Uitvoeringen weekend]]*Ruimtestaat[[#This Row],[Oppervlak (netto)]]</f>
        <v>0</v>
      </c>
      <c r="AD56" s="99">
        <f>IF(AC56&gt;0,Ruimtestaat[[#This Row],[Prest. (m2 /jaar) weekend]]/Ruimtestaat[[#This Row],[Norm (m2/uur) weekend]],0)</f>
        <v>0</v>
      </c>
      <c r="AE56" s="100">
        <f>Ruimtestaat[[#This Row],[uren / jaar weekend]]*Tariefsopbouw!$D$40</f>
        <v>0</v>
      </c>
      <c r="AF56" s="72">
        <f>Ruimtestaat[[#This Row],[Prest. (m2 /jaar) weekend]]+Ruimtestaat[[#This Row],[Prest. (m2 /jaar) werkdagen]]</f>
        <v>1512</v>
      </c>
      <c r="AG56" s="72">
        <f>Ruimtestaat[[#This Row],[uren / jaar weekend]]+Ruimtestaat[[#This Row],[uren / jaar werkdagen]]</f>
        <v>0</v>
      </c>
      <c r="AH56" s="73">
        <f>Ruimtestaat[[#This Row],[kosten / jaar weekend]]+Ruimtestaat[[#This Row],[kosten / jaar werkdagen]]</f>
        <v>0</v>
      </c>
    </row>
    <row r="57" spans="1:34" ht="15" customHeight="1">
      <c r="A57" s="118">
        <v>1</v>
      </c>
      <c r="B57" s="24" t="str">
        <f>VLOOKUP(Ruimtestaat[[#This Row],[Code]],Locaties[#All],2,FALSE)</f>
        <v>Rembrandt College</v>
      </c>
      <c r="C57" s="24" t="str">
        <f>VLOOKUP(Ruimtestaat[[#This Row],[Code]],Locaties[#All],4,FALSE)</f>
        <v>Rembrandtlaan 2</v>
      </c>
      <c r="D57" s="24" t="str">
        <f>VLOOKUP(Ruimtestaat[[#This Row],[Code]],Locaties[#All],5,FALSE)</f>
        <v>3904 ZK</v>
      </c>
      <c r="E57" s="24" t="str">
        <f>VLOOKUP(Ruimtestaat[[#This Row],[Code]],Locaties[#All],6,FALSE)</f>
        <v>Veenendaal</v>
      </c>
      <c r="F57" s="66"/>
      <c r="G57" s="24" t="s">
        <v>465</v>
      </c>
      <c r="H57" s="24" t="s">
        <v>703</v>
      </c>
      <c r="J57" s="4" t="s">
        <v>615</v>
      </c>
      <c r="K57" s="24">
        <v>2</v>
      </c>
      <c r="L57" s="66" t="str">
        <f>VLOOKUP(K57,Ruimtegroepen[],2,FALSE)</f>
        <v>Kantoren</v>
      </c>
      <c r="M57" s="24" t="s">
        <v>645</v>
      </c>
      <c r="N57" s="24" t="s">
        <v>384</v>
      </c>
      <c r="O57" s="92">
        <v>12</v>
      </c>
      <c r="P57" s="92"/>
      <c r="Q57" s="101" t="str">
        <f>LEFT(VLOOKUP(Ruimtestaat[[#This Row],[Ruimte code]],Ruimtegroepen[#All],4,1),2)</f>
        <v xml:space="preserve">B </v>
      </c>
      <c r="R57" s="92"/>
      <c r="S57" s="93">
        <v>42</v>
      </c>
      <c r="T57" s="93" t="s">
        <v>18</v>
      </c>
      <c r="U57" s="94">
        <f>IF(S57&gt;0,IF(RIGHT(Ruimtestaat[[#This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57" s="94">
        <f>IF(U57&gt;0,VLOOKUP($K57,Ruimtegroepen[],3,FALSE)*VLOOKUP($M57,Vloersoorten[],3,FALSE)*VLOOKUP($T57,Frequenties[],3,FALSE)*VLOOKUP($A57,Locaties[],3,FALSE),0)</f>
        <v>0</v>
      </c>
      <c r="W57" s="95">
        <f>Ruimtestaat[[#This Row],[Uitvoeringen werkdagen]]*Ruimtestaat[[#This Row],[Oppervlak (netto)]]</f>
        <v>1512</v>
      </c>
      <c r="X57" s="96">
        <f>IF(V57&gt;0,Ruimtestaat[[#This Row],[Prest. (m2 /jaar) werkdagen]]/Ruimtestaat[[#This Row],[Norm (m2/uur) werkdagen]],0)</f>
        <v>0</v>
      </c>
      <c r="Y57" s="97">
        <f>Ruimtestaat[[#This Row],[uren / jaar werkdagen]]*Tariefsopbouw!$E$35</f>
        <v>0</v>
      </c>
      <c r="Z57" s="94"/>
      <c r="AA57" s="98">
        <f>IF(Ruimtestaat[[#This Row],[Frequentie weekend]]&gt;0,VALUE(LEFT(Z57,1))*S57,0)</f>
        <v>0</v>
      </c>
      <c r="AB57" s="94">
        <f>IF($AA57&gt;0,VLOOKUP($K57,Ruimtegroepen[],3,FALSE)*VLOOKUP($M57,Vloersoorten[],3,FALSE)*VLOOKUP($Z57,Frequenties[],3,FALSE)*VLOOKUP($A49,Locaties[],3,FALSE),0)</f>
        <v>0</v>
      </c>
      <c r="AC57" s="96">
        <f>Ruimtestaat[[#This Row],[Uitvoeringen weekend]]*Ruimtestaat[[#This Row],[Oppervlak (netto)]]</f>
        <v>0</v>
      </c>
      <c r="AD57" s="99">
        <f>IF(AC57&gt;0,Ruimtestaat[[#This Row],[Prest. (m2 /jaar) weekend]]/Ruimtestaat[[#This Row],[Norm (m2/uur) weekend]],0)</f>
        <v>0</v>
      </c>
      <c r="AE57" s="100">
        <f>Ruimtestaat[[#This Row],[uren / jaar weekend]]*Tariefsopbouw!$D$40</f>
        <v>0</v>
      </c>
      <c r="AF57" s="72">
        <f>Ruimtestaat[[#This Row],[Prest. (m2 /jaar) weekend]]+Ruimtestaat[[#This Row],[Prest. (m2 /jaar) werkdagen]]</f>
        <v>1512</v>
      </c>
      <c r="AG57" s="72">
        <f>Ruimtestaat[[#This Row],[uren / jaar weekend]]+Ruimtestaat[[#This Row],[uren / jaar werkdagen]]</f>
        <v>0</v>
      </c>
      <c r="AH57" s="73">
        <f>Ruimtestaat[[#This Row],[kosten / jaar weekend]]+Ruimtestaat[[#This Row],[kosten / jaar werkdagen]]</f>
        <v>0</v>
      </c>
    </row>
    <row r="58" spans="1:34" ht="15" customHeight="1">
      <c r="A58" s="118">
        <v>1</v>
      </c>
      <c r="B58" s="24" t="str">
        <f>VLOOKUP(Ruimtestaat[[#This Row],[Code]],Locaties[#All],2,FALSE)</f>
        <v>Rembrandt College</v>
      </c>
      <c r="C58" s="24" t="str">
        <f>VLOOKUP(Ruimtestaat[[#This Row],[Code]],Locaties[#All],4,FALSE)</f>
        <v>Rembrandtlaan 2</v>
      </c>
      <c r="D58" s="24" t="str">
        <f>VLOOKUP(Ruimtestaat[[#This Row],[Code]],Locaties[#All],5,FALSE)</f>
        <v>3904 ZK</v>
      </c>
      <c r="E58" s="24" t="str">
        <f>VLOOKUP(Ruimtestaat[[#This Row],[Code]],Locaties[#All],6,FALSE)</f>
        <v>Veenendaal</v>
      </c>
      <c r="F58" s="66"/>
      <c r="G58" s="24" t="s">
        <v>466</v>
      </c>
      <c r="H58" s="24" t="s">
        <v>704</v>
      </c>
      <c r="I58" s="24" t="s">
        <v>515</v>
      </c>
      <c r="J58" s="4" t="s">
        <v>616</v>
      </c>
      <c r="K58" s="24">
        <v>16</v>
      </c>
      <c r="L58" s="66" t="str">
        <f>VLOOKUP(K58,Ruimtegroepen[],2,FALSE)</f>
        <v>Leslokalen theorie</v>
      </c>
      <c r="M58" s="24" t="s">
        <v>645</v>
      </c>
      <c r="N58" s="24" t="s">
        <v>384</v>
      </c>
      <c r="O58" s="92">
        <v>63</v>
      </c>
      <c r="P58" s="92"/>
      <c r="Q58" s="101" t="str">
        <f>LEFT(VLOOKUP(Ruimtestaat[[#This Row],[Ruimte code]],Ruimtegroepen[#All],4,1),2)</f>
        <v xml:space="preserve">L </v>
      </c>
      <c r="R58" s="92"/>
      <c r="S58" s="93">
        <v>40</v>
      </c>
      <c r="T58" s="93" t="s">
        <v>2</v>
      </c>
      <c r="U58" s="94">
        <f>IF(S58&gt;0,IF(RIGHT(Ruimtestaat[[#This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" s="94">
        <f>IF(U58&gt;0,VLOOKUP($K58,Ruimtegroepen[],3,FALSE)*VLOOKUP($M58,Vloersoorten[],3,FALSE)*VLOOKUP($T58,Frequenties[],3,FALSE)*VLOOKUP($A58,Locaties[],3,FALSE),0)</f>
        <v>0</v>
      </c>
      <c r="W58" s="95">
        <f>Ruimtestaat[[#This Row],[Uitvoeringen werkdagen]]*Ruimtestaat[[#This Row],[Oppervlak (netto)]]</f>
        <v>12600</v>
      </c>
      <c r="X58" s="96">
        <f>IF(V58&gt;0,Ruimtestaat[[#This Row],[Prest. (m2 /jaar) werkdagen]]/Ruimtestaat[[#This Row],[Norm (m2/uur) werkdagen]],0)</f>
        <v>0</v>
      </c>
      <c r="Y58" s="97">
        <f>Ruimtestaat[[#This Row],[uren / jaar werkdagen]]*Tariefsopbouw!$E$35</f>
        <v>0</v>
      </c>
      <c r="Z58" s="94"/>
      <c r="AA58" s="98">
        <f>IF(Ruimtestaat[[#This Row],[Frequentie weekend]]&gt;0,VALUE(LEFT(Z58,1))*S58,0)</f>
        <v>0</v>
      </c>
      <c r="AB58" s="94">
        <f>IF($AA58&gt;0,VLOOKUP($K58,Ruimtegroepen[],3,FALSE)*VLOOKUP($M58,Vloersoorten[],3,FALSE)*VLOOKUP($Z58,Frequenties[],3,FALSE)*VLOOKUP($A50,Locaties[],3,FALSE),0)</f>
        <v>0</v>
      </c>
      <c r="AC58" s="96">
        <f>Ruimtestaat[[#This Row],[Uitvoeringen weekend]]*Ruimtestaat[[#This Row],[Oppervlak (netto)]]</f>
        <v>0</v>
      </c>
      <c r="AD58" s="99">
        <f>IF(AC58&gt;0,Ruimtestaat[[#This Row],[Prest. (m2 /jaar) weekend]]/Ruimtestaat[[#This Row],[Norm (m2/uur) weekend]],0)</f>
        <v>0</v>
      </c>
      <c r="AE58" s="100">
        <f>Ruimtestaat[[#This Row],[uren / jaar weekend]]*Tariefsopbouw!$D$40</f>
        <v>0</v>
      </c>
      <c r="AF58" s="72">
        <f>Ruimtestaat[[#This Row],[Prest. (m2 /jaar) weekend]]+Ruimtestaat[[#This Row],[Prest. (m2 /jaar) werkdagen]]</f>
        <v>12600</v>
      </c>
      <c r="AG58" s="72">
        <f>Ruimtestaat[[#This Row],[uren / jaar weekend]]+Ruimtestaat[[#This Row],[uren / jaar werkdagen]]</f>
        <v>0</v>
      </c>
      <c r="AH58" s="73">
        <f>Ruimtestaat[[#This Row],[kosten / jaar weekend]]+Ruimtestaat[[#This Row],[kosten / jaar werkdagen]]</f>
        <v>0</v>
      </c>
    </row>
    <row r="59" spans="1:34" ht="15" customHeight="1">
      <c r="A59" s="118">
        <v>1</v>
      </c>
      <c r="B59" s="24" t="str">
        <f>VLOOKUP(Ruimtestaat[[#This Row],[Code]],Locaties[#All],2,FALSE)</f>
        <v>Rembrandt College</v>
      </c>
      <c r="C59" s="24" t="str">
        <f>VLOOKUP(Ruimtestaat[[#This Row],[Code]],Locaties[#All],4,FALSE)</f>
        <v>Rembrandtlaan 2</v>
      </c>
      <c r="D59" s="24" t="str">
        <f>VLOOKUP(Ruimtestaat[[#This Row],[Code]],Locaties[#All],5,FALSE)</f>
        <v>3904 ZK</v>
      </c>
      <c r="E59" s="24" t="str">
        <f>VLOOKUP(Ruimtestaat[[#This Row],[Code]],Locaties[#All],6,FALSE)</f>
        <v>Veenendaal</v>
      </c>
      <c r="F59" s="66"/>
      <c r="G59" s="24" t="s">
        <v>466</v>
      </c>
      <c r="H59" s="24" t="s">
        <v>534</v>
      </c>
      <c r="I59" s="24" t="s">
        <v>516</v>
      </c>
      <c r="J59" s="4" t="s">
        <v>617</v>
      </c>
      <c r="K59" s="24">
        <v>12</v>
      </c>
      <c r="L59" s="66" t="str">
        <f>VLOOKUP(K59,Ruimtegroepen[],2,FALSE)</f>
        <v>Kantine</v>
      </c>
      <c r="M59" s="24" t="s">
        <v>645</v>
      </c>
      <c r="N59" s="24" t="s">
        <v>384</v>
      </c>
      <c r="O59" s="92">
        <v>70</v>
      </c>
      <c r="P59" s="92"/>
      <c r="Q59" s="101" t="str">
        <f>LEFT(VLOOKUP(Ruimtestaat[[#This Row],[Ruimte code]],Ruimtegroepen[#All],4,1),2)</f>
        <v xml:space="preserve">V </v>
      </c>
      <c r="R59" s="92"/>
      <c r="S59" s="93">
        <v>42</v>
      </c>
      <c r="T59" s="93" t="s">
        <v>2</v>
      </c>
      <c r="U59" s="94">
        <f>IF(S59&gt;0,IF(RIGHT(Ruimtestaat[[#This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9" s="94">
        <f>IF(U59&gt;0,VLOOKUP($K59,Ruimtegroepen[],3,FALSE)*VLOOKUP($M59,Vloersoorten[],3,FALSE)*VLOOKUP($T59,Frequenties[],3,FALSE)*VLOOKUP($A59,Locaties[],3,FALSE),0)</f>
        <v>0</v>
      </c>
      <c r="W59" s="95">
        <f>Ruimtestaat[[#This Row],[Uitvoeringen werkdagen]]*Ruimtestaat[[#This Row],[Oppervlak (netto)]]</f>
        <v>14700</v>
      </c>
      <c r="X59" s="96">
        <f>IF(V59&gt;0,Ruimtestaat[[#This Row],[Prest. (m2 /jaar) werkdagen]]/Ruimtestaat[[#This Row],[Norm (m2/uur) werkdagen]],0)</f>
        <v>0</v>
      </c>
      <c r="Y59" s="97">
        <f>Ruimtestaat[[#This Row],[uren / jaar werkdagen]]*Tariefsopbouw!$E$35</f>
        <v>0</v>
      </c>
      <c r="Z59" s="94"/>
      <c r="AA59" s="98">
        <f>IF(Ruimtestaat[[#This Row],[Frequentie weekend]]&gt;0,VALUE(LEFT(Z59,1))*S59,0)</f>
        <v>0</v>
      </c>
      <c r="AB59" s="94">
        <f>IF($AA59&gt;0,VLOOKUP($K59,Ruimtegroepen[],3,FALSE)*VLOOKUP($M59,Vloersoorten[],3,FALSE)*VLOOKUP($Z59,Frequenties[],3,FALSE)*VLOOKUP($A51,Locaties[],3,FALSE),0)</f>
        <v>0</v>
      </c>
      <c r="AC59" s="96">
        <f>Ruimtestaat[[#This Row],[Uitvoeringen weekend]]*Ruimtestaat[[#This Row],[Oppervlak (netto)]]</f>
        <v>0</v>
      </c>
      <c r="AD59" s="99">
        <f>IF(AC59&gt;0,Ruimtestaat[[#This Row],[Prest. (m2 /jaar) weekend]]/Ruimtestaat[[#This Row],[Norm (m2/uur) weekend]],0)</f>
        <v>0</v>
      </c>
      <c r="AE59" s="100">
        <f>Ruimtestaat[[#This Row],[uren / jaar weekend]]*Tariefsopbouw!$D$40</f>
        <v>0</v>
      </c>
      <c r="AF59" s="72">
        <f>Ruimtestaat[[#This Row],[Prest. (m2 /jaar) weekend]]+Ruimtestaat[[#This Row],[Prest. (m2 /jaar) werkdagen]]</f>
        <v>14700</v>
      </c>
      <c r="AG59" s="72">
        <f>Ruimtestaat[[#This Row],[uren / jaar weekend]]+Ruimtestaat[[#This Row],[uren / jaar werkdagen]]</f>
        <v>0</v>
      </c>
      <c r="AH59" s="73">
        <f>Ruimtestaat[[#This Row],[kosten / jaar weekend]]+Ruimtestaat[[#This Row],[kosten / jaar werkdagen]]</f>
        <v>0</v>
      </c>
    </row>
    <row r="60" spans="1:34" ht="15" customHeight="1">
      <c r="A60" s="118">
        <v>1</v>
      </c>
      <c r="B60" s="24" t="str">
        <f>VLOOKUP(Ruimtestaat[[#This Row],[Code]],Locaties[#All],2,FALSE)</f>
        <v>Rembrandt College</v>
      </c>
      <c r="C60" s="24" t="str">
        <f>VLOOKUP(Ruimtestaat[[#This Row],[Code]],Locaties[#All],4,FALSE)</f>
        <v>Rembrandtlaan 2</v>
      </c>
      <c r="D60" s="24" t="str">
        <f>VLOOKUP(Ruimtestaat[[#This Row],[Code]],Locaties[#All],5,FALSE)</f>
        <v>3904 ZK</v>
      </c>
      <c r="E60" s="24" t="str">
        <f>VLOOKUP(Ruimtestaat[[#This Row],[Code]],Locaties[#All],6,FALSE)</f>
        <v>Veenendaal</v>
      </c>
      <c r="F60" s="66"/>
      <c r="G60" s="24" t="s">
        <v>466</v>
      </c>
      <c r="H60" s="24"/>
      <c r="I60" s="24" t="s">
        <v>517</v>
      </c>
      <c r="J60" s="4" t="s">
        <v>618</v>
      </c>
      <c r="K60" s="24">
        <v>15</v>
      </c>
      <c r="L60" s="66" t="str">
        <f>VLOOKUP(K60,Ruimtegroepen[],2,FALSE)</f>
        <v>Keuken/pantry</v>
      </c>
      <c r="M60" s="24" t="s">
        <v>645</v>
      </c>
      <c r="N60" s="24" t="s">
        <v>384</v>
      </c>
      <c r="O60" s="92">
        <v>4</v>
      </c>
      <c r="P60" s="92"/>
      <c r="Q60" s="101" t="str">
        <f>LEFT(VLOOKUP(Ruimtestaat[[#This Row],[Ruimte code]],Ruimtegroepen[#All],4,1),2)</f>
        <v xml:space="preserve">V </v>
      </c>
      <c r="R60" s="92"/>
      <c r="S60" s="93">
        <v>42</v>
      </c>
      <c r="T60" s="93" t="s">
        <v>2</v>
      </c>
      <c r="U60" s="94">
        <f>IF(S60&gt;0,IF(RIGHT(Ruimtestaat[[#This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60" s="94">
        <f>IF(U60&gt;0,VLOOKUP($K60,Ruimtegroepen[],3,FALSE)*VLOOKUP($M60,Vloersoorten[],3,FALSE)*VLOOKUP($T60,Frequenties[],3,FALSE)*VLOOKUP($A60,Locaties[],3,FALSE),0)</f>
        <v>0</v>
      </c>
      <c r="W60" s="95">
        <f>Ruimtestaat[[#This Row],[Uitvoeringen werkdagen]]*Ruimtestaat[[#This Row],[Oppervlak (netto)]]</f>
        <v>840</v>
      </c>
      <c r="X60" s="96">
        <f>IF(V60&gt;0,Ruimtestaat[[#This Row],[Prest. (m2 /jaar) werkdagen]]/Ruimtestaat[[#This Row],[Norm (m2/uur) werkdagen]],0)</f>
        <v>0</v>
      </c>
      <c r="Y60" s="97">
        <f>Ruimtestaat[[#This Row],[uren / jaar werkdagen]]*Tariefsopbouw!$E$35</f>
        <v>0</v>
      </c>
      <c r="Z60" s="94"/>
      <c r="AA60" s="98">
        <f>IF(Ruimtestaat[[#This Row],[Frequentie weekend]]&gt;0,VALUE(LEFT(Z60,1))*S60,0)</f>
        <v>0</v>
      </c>
      <c r="AB60" s="94">
        <f>IF($AA60&gt;0,VLOOKUP($K60,Ruimtegroepen[],3,FALSE)*VLOOKUP($M60,Vloersoorten[],3,FALSE)*VLOOKUP($Z60,Frequenties[],3,FALSE)*VLOOKUP($A52,Locaties[],3,FALSE),0)</f>
        <v>0</v>
      </c>
      <c r="AC60" s="96">
        <f>Ruimtestaat[[#This Row],[Uitvoeringen weekend]]*Ruimtestaat[[#This Row],[Oppervlak (netto)]]</f>
        <v>0</v>
      </c>
      <c r="AD60" s="99">
        <f>IF(AC60&gt;0,Ruimtestaat[[#This Row],[Prest. (m2 /jaar) weekend]]/Ruimtestaat[[#This Row],[Norm (m2/uur) weekend]],0)</f>
        <v>0</v>
      </c>
      <c r="AE60" s="100">
        <f>Ruimtestaat[[#This Row],[uren / jaar weekend]]*Tariefsopbouw!$D$40</f>
        <v>0</v>
      </c>
      <c r="AF60" s="72">
        <f>Ruimtestaat[[#This Row],[Prest. (m2 /jaar) weekend]]+Ruimtestaat[[#This Row],[Prest. (m2 /jaar) werkdagen]]</f>
        <v>840</v>
      </c>
      <c r="AG60" s="72">
        <f>Ruimtestaat[[#This Row],[uren / jaar weekend]]+Ruimtestaat[[#This Row],[uren / jaar werkdagen]]</f>
        <v>0</v>
      </c>
      <c r="AH60" s="73">
        <f>Ruimtestaat[[#This Row],[kosten / jaar weekend]]+Ruimtestaat[[#This Row],[kosten / jaar werkdagen]]</f>
        <v>0</v>
      </c>
    </row>
    <row r="61" spans="1:34" ht="15" customHeight="1">
      <c r="A61" s="118">
        <v>1</v>
      </c>
      <c r="B61" s="24" t="str">
        <f>VLOOKUP(Ruimtestaat[[#This Row],[Code]],Locaties[#All],2,FALSE)</f>
        <v>Rembrandt College</v>
      </c>
      <c r="C61" s="24" t="str">
        <f>VLOOKUP(Ruimtestaat[[#This Row],[Code]],Locaties[#All],4,FALSE)</f>
        <v>Rembrandtlaan 2</v>
      </c>
      <c r="D61" s="24" t="str">
        <f>VLOOKUP(Ruimtestaat[[#This Row],[Code]],Locaties[#All],5,FALSE)</f>
        <v>3904 ZK</v>
      </c>
      <c r="E61" s="24" t="str">
        <f>VLOOKUP(Ruimtestaat[[#This Row],[Code]],Locaties[#All],6,FALSE)</f>
        <v>Veenendaal</v>
      </c>
      <c r="F61" s="66"/>
      <c r="G61" s="24" t="s">
        <v>466</v>
      </c>
      <c r="H61" s="24" t="s">
        <v>533</v>
      </c>
      <c r="I61" s="24" t="s">
        <v>518</v>
      </c>
      <c r="J61" s="4" t="s">
        <v>619</v>
      </c>
      <c r="K61" s="24">
        <v>16</v>
      </c>
      <c r="L61" s="66" t="str">
        <f>VLOOKUP(K61,Ruimtegroepen[],2,FALSE)</f>
        <v>Leslokalen theorie</v>
      </c>
      <c r="M61" s="24" t="s">
        <v>645</v>
      </c>
      <c r="N61" s="24" t="s">
        <v>384</v>
      </c>
      <c r="O61" s="92">
        <v>25</v>
      </c>
      <c r="P61" s="92"/>
      <c r="Q61" s="101" t="str">
        <f>LEFT(VLOOKUP(Ruimtestaat[[#This Row],[Ruimte code]],Ruimtegroepen[#All],4,1),2)</f>
        <v xml:space="preserve">L </v>
      </c>
      <c r="R61" s="92"/>
      <c r="S61" s="93">
        <v>42</v>
      </c>
      <c r="T61" s="93" t="s">
        <v>2</v>
      </c>
      <c r="U61" s="94">
        <f>IF(S61&gt;0,IF(RIGHT(Ruimtestaat[[#This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61" s="94">
        <f>IF(U61&gt;0,VLOOKUP($K61,Ruimtegroepen[],3,FALSE)*VLOOKUP($M61,Vloersoorten[],3,FALSE)*VLOOKUP($T61,Frequenties[],3,FALSE)*VLOOKUP($A61,Locaties[],3,FALSE),0)</f>
        <v>0</v>
      </c>
      <c r="W61" s="95">
        <f>Ruimtestaat[[#This Row],[Uitvoeringen werkdagen]]*Ruimtestaat[[#This Row],[Oppervlak (netto)]]</f>
        <v>5250</v>
      </c>
      <c r="X61" s="96">
        <f>IF(V61&gt;0,Ruimtestaat[[#This Row],[Prest. (m2 /jaar) werkdagen]]/Ruimtestaat[[#This Row],[Norm (m2/uur) werkdagen]],0)</f>
        <v>0</v>
      </c>
      <c r="Y61" s="97">
        <f>Ruimtestaat[[#This Row],[uren / jaar werkdagen]]*Tariefsopbouw!$E$35</f>
        <v>0</v>
      </c>
      <c r="Z61" s="94"/>
      <c r="AA61" s="98">
        <f>IF(Ruimtestaat[[#This Row],[Frequentie weekend]]&gt;0,VALUE(LEFT(Z61,1))*S61,0)</f>
        <v>0</v>
      </c>
      <c r="AB61" s="94">
        <f>IF($AA61&gt;0,VLOOKUP($K61,Ruimtegroepen[],3,FALSE)*VLOOKUP($M61,Vloersoorten[],3,FALSE)*VLOOKUP($Z61,Frequenties[],3,FALSE)*VLOOKUP($A53,Locaties[],3,FALSE),0)</f>
        <v>0</v>
      </c>
      <c r="AC61" s="96">
        <f>Ruimtestaat[[#This Row],[Uitvoeringen weekend]]*Ruimtestaat[[#This Row],[Oppervlak (netto)]]</f>
        <v>0</v>
      </c>
      <c r="AD61" s="99">
        <f>IF(AC61&gt;0,Ruimtestaat[[#This Row],[Prest. (m2 /jaar) weekend]]/Ruimtestaat[[#This Row],[Norm (m2/uur) weekend]],0)</f>
        <v>0</v>
      </c>
      <c r="AE61" s="100">
        <f>Ruimtestaat[[#This Row],[uren / jaar weekend]]*Tariefsopbouw!$D$40</f>
        <v>0</v>
      </c>
      <c r="AF61" s="72">
        <f>Ruimtestaat[[#This Row],[Prest. (m2 /jaar) weekend]]+Ruimtestaat[[#This Row],[Prest. (m2 /jaar) werkdagen]]</f>
        <v>5250</v>
      </c>
      <c r="AG61" s="72">
        <f>Ruimtestaat[[#This Row],[uren / jaar weekend]]+Ruimtestaat[[#This Row],[uren / jaar werkdagen]]</f>
        <v>0</v>
      </c>
      <c r="AH61" s="73">
        <f>Ruimtestaat[[#This Row],[kosten / jaar weekend]]+Ruimtestaat[[#This Row],[kosten / jaar werkdagen]]</f>
        <v>0</v>
      </c>
    </row>
    <row r="62" spans="1:34" ht="15" customHeight="1">
      <c r="A62" s="118">
        <v>1</v>
      </c>
      <c r="B62" s="24" t="str">
        <f>VLOOKUP(Ruimtestaat[[#This Row],[Code]],Locaties[#All],2,FALSE)</f>
        <v>Rembrandt College</v>
      </c>
      <c r="C62" s="24" t="str">
        <f>VLOOKUP(Ruimtestaat[[#This Row],[Code]],Locaties[#All],4,FALSE)</f>
        <v>Rembrandtlaan 2</v>
      </c>
      <c r="D62" s="24" t="str">
        <f>VLOOKUP(Ruimtestaat[[#This Row],[Code]],Locaties[#All],5,FALSE)</f>
        <v>3904 ZK</v>
      </c>
      <c r="E62" s="24" t="str">
        <f>VLOOKUP(Ruimtestaat[[#This Row],[Code]],Locaties[#All],6,FALSE)</f>
        <v>Veenendaal</v>
      </c>
      <c r="F62" s="66"/>
      <c r="G62" s="24" t="s">
        <v>466</v>
      </c>
      <c r="H62" s="24" t="s">
        <v>532</v>
      </c>
      <c r="I62" s="24" t="s">
        <v>519</v>
      </c>
      <c r="J62" s="4" t="s">
        <v>620</v>
      </c>
      <c r="K62" s="24">
        <v>9</v>
      </c>
      <c r="L62" s="66" t="str">
        <f>VLOOKUP(K62,Ruimtegroepen[],2,FALSE)</f>
        <v>Bibliotheek / OLC</v>
      </c>
      <c r="M62" s="24" t="s">
        <v>645</v>
      </c>
      <c r="N62" s="24" t="s">
        <v>384</v>
      </c>
      <c r="O62" s="92">
        <v>185</v>
      </c>
      <c r="P62" s="92"/>
      <c r="Q62" s="101" t="str">
        <f>LEFT(VLOOKUP(Ruimtestaat[[#This Row],[Ruimte code]],Ruimtegroepen[#All],4,1),2)</f>
        <v xml:space="preserve">L </v>
      </c>
      <c r="R62" s="92"/>
      <c r="S62" s="93">
        <v>40</v>
      </c>
      <c r="T62" s="93" t="s">
        <v>2</v>
      </c>
      <c r="U62" s="94">
        <f>IF(S62&gt;0,IF(RIGHT(Ruimtestaat[[#This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2" s="94">
        <f>IF(U62&gt;0,VLOOKUP($K62,Ruimtegroepen[],3,FALSE)*VLOOKUP($M62,Vloersoorten[],3,FALSE)*VLOOKUP($T62,Frequenties[],3,FALSE)*VLOOKUP($A62,Locaties[],3,FALSE),0)</f>
        <v>0</v>
      </c>
      <c r="W62" s="95">
        <f>Ruimtestaat[[#This Row],[Uitvoeringen werkdagen]]*Ruimtestaat[[#This Row],[Oppervlak (netto)]]</f>
        <v>37000</v>
      </c>
      <c r="X62" s="96">
        <f>IF(V62&gt;0,Ruimtestaat[[#This Row],[Prest. (m2 /jaar) werkdagen]]/Ruimtestaat[[#This Row],[Norm (m2/uur) werkdagen]],0)</f>
        <v>0</v>
      </c>
      <c r="Y62" s="97">
        <f>Ruimtestaat[[#This Row],[uren / jaar werkdagen]]*Tariefsopbouw!$E$35</f>
        <v>0</v>
      </c>
      <c r="Z62" s="94"/>
      <c r="AA62" s="98">
        <f>IF(Ruimtestaat[[#This Row],[Frequentie weekend]]&gt;0,VALUE(LEFT(Z62,1))*S62,0)</f>
        <v>0</v>
      </c>
      <c r="AB62" s="94">
        <f>IF($AA62&gt;0,VLOOKUP($K62,Ruimtegroepen[],3,FALSE)*VLOOKUP($M62,Vloersoorten[],3,FALSE)*VLOOKUP($Z62,Frequenties[],3,FALSE)*VLOOKUP($A53,Locaties[],3,FALSE),0)</f>
        <v>0</v>
      </c>
      <c r="AC62" s="96">
        <f>Ruimtestaat[[#This Row],[Uitvoeringen weekend]]*Ruimtestaat[[#This Row],[Oppervlak (netto)]]</f>
        <v>0</v>
      </c>
      <c r="AD62" s="99">
        <f>IF(AC62&gt;0,Ruimtestaat[[#This Row],[Prest. (m2 /jaar) weekend]]/Ruimtestaat[[#This Row],[Norm (m2/uur) weekend]],0)</f>
        <v>0</v>
      </c>
      <c r="AE62" s="100">
        <f>Ruimtestaat[[#This Row],[uren / jaar weekend]]*Tariefsopbouw!$D$40</f>
        <v>0</v>
      </c>
      <c r="AF62" s="72">
        <f>Ruimtestaat[[#This Row],[Prest. (m2 /jaar) weekend]]+Ruimtestaat[[#This Row],[Prest. (m2 /jaar) werkdagen]]</f>
        <v>37000</v>
      </c>
      <c r="AG62" s="72">
        <f>Ruimtestaat[[#This Row],[uren / jaar weekend]]+Ruimtestaat[[#This Row],[uren / jaar werkdagen]]</f>
        <v>0</v>
      </c>
      <c r="AH62" s="73">
        <f>Ruimtestaat[[#This Row],[kosten / jaar weekend]]+Ruimtestaat[[#This Row],[kosten / jaar werkdagen]]</f>
        <v>0</v>
      </c>
    </row>
    <row r="63" spans="1:34" ht="15" customHeight="1">
      <c r="A63" s="118">
        <v>1</v>
      </c>
      <c r="B63" s="24" t="str">
        <f>VLOOKUP(Ruimtestaat[[#This Row],[Code]],Locaties[#All],2,FALSE)</f>
        <v>Rembrandt College</v>
      </c>
      <c r="C63" s="24" t="str">
        <f>VLOOKUP(Ruimtestaat[[#This Row],[Code]],Locaties[#All],4,FALSE)</f>
        <v>Rembrandtlaan 2</v>
      </c>
      <c r="D63" s="24" t="str">
        <f>VLOOKUP(Ruimtestaat[[#This Row],[Code]],Locaties[#All],5,FALSE)</f>
        <v>3904 ZK</v>
      </c>
      <c r="E63" s="24" t="str">
        <f>VLOOKUP(Ruimtestaat[[#This Row],[Code]],Locaties[#All],6,FALSE)</f>
        <v>Veenendaal</v>
      </c>
      <c r="F63" s="66"/>
      <c r="G63" s="24" t="s">
        <v>466</v>
      </c>
      <c r="H63" s="24" t="s">
        <v>705</v>
      </c>
      <c r="I63" s="28" t="s">
        <v>520</v>
      </c>
      <c r="J63" s="4" t="s">
        <v>621</v>
      </c>
      <c r="K63" s="24">
        <v>16</v>
      </c>
      <c r="L63" s="66" t="str">
        <f>VLOOKUP(K63,Ruimtegroepen[],2,FALSE)</f>
        <v>Leslokalen theorie</v>
      </c>
      <c r="M63" s="24" t="s">
        <v>645</v>
      </c>
      <c r="N63" s="24" t="s">
        <v>384</v>
      </c>
      <c r="O63" s="92">
        <v>85</v>
      </c>
      <c r="P63" s="92"/>
      <c r="Q63" s="101" t="str">
        <f>LEFT(VLOOKUP(Ruimtestaat[[#This Row],[Ruimte code]],Ruimtegroepen[#All],4,1),2)</f>
        <v xml:space="preserve">L </v>
      </c>
      <c r="R63" s="92"/>
      <c r="S63" s="93">
        <v>40</v>
      </c>
      <c r="T63" s="93" t="s">
        <v>2</v>
      </c>
      <c r="U63" s="94">
        <f>IF(S63&gt;0,IF(RIGHT(Ruimtestaat[[#This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3" s="94">
        <f>IF(U63&gt;0,VLOOKUP($K63,Ruimtegroepen[],3,FALSE)*VLOOKUP($M63,Vloersoorten[],3,FALSE)*VLOOKUP($T63,Frequenties[],3,FALSE)*VLOOKUP($A63,Locaties[],3,FALSE),0)</f>
        <v>0</v>
      </c>
      <c r="W63" s="95">
        <f>Ruimtestaat[[#This Row],[Uitvoeringen werkdagen]]*Ruimtestaat[[#This Row],[Oppervlak (netto)]]</f>
        <v>17000</v>
      </c>
      <c r="X63" s="96">
        <f>IF(V63&gt;0,Ruimtestaat[[#This Row],[Prest. (m2 /jaar) werkdagen]]/Ruimtestaat[[#This Row],[Norm (m2/uur) werkdagen]],0)</f>
        <v>0</v>
      </c>
      <c r="Y63" s="97">
        <f>Ruimtestaat[[#This Row],[uren / jaar werkdagen]]*Tariefsopbouw!$E$35</f>
        <v>0</v>
      </c>
      <c r="Z63" s="94"/>
      <c r="AA63" s="98">
        <f>IF(Ruimtestaat[[#This Row],[Frequentie weekend]]&gt;0,VALUE(LEFT(Z63,1))*S63,0)</f>
        <v>0</v>
      </c>
      <c r="AB63" s="94">
        <f>IF($AA63&gt;0,VLOOKUP($K63,Ruimtegroepen[],3,FALSE)*VLOOKUP($M63,Vloersoorten[],3,FALSE)*VLOOKUP($Z63,Frequenties[],3,FALSE)*VLOOKUP($A54,Locaties[],3,FALSE),0)</f>
        <v>0</v>
      </c>
      <c r="AC63" s="96">
        <f>Ruimtestaat[[#This Row],[Uitvoeringen weekend]]*Ruimtestaat[[#This Row],[Oppervlak (netto)]]</f>
        <v>0</v>
      </c>
      <c r="AD63" s="99">
        <f>IF(AC63&gt;0,Ruimtestaat[[#This Row],[Prest. (m2 /jaar) weekend]]/Ruimtestaat[[#This Row],[Norm (m2/uur) weekend]],0)</f>
        <v>0</v>
      </c>
      <c r="AE63" s="100">
        <f>Ruimtestaat[[#This Row],[uren / jaar weekend]]*Tariefsopbouw!$D$40</f>
        <v>0</v>
      </c>
      <c r="AF63" s="72">
        <f>Ruimtestaat[[#This Row],[Prest. (m2 /jaar) weekend]]+Ruimtestaat[[#This Row],[Prest. (m2 /jaar) werkdagen]]</f>
        <v>17000</v>
      </c>
      <c r="AG63" s="72">
        <f>Ruimtestaat[[#This Row],[uren / jaar weekend]]+Ruimtestaat[[#This Row],[uren / jaar werkdagen]]</f>
        <v>0</v>
      </c>
      <c r="AH63" s="73">
        <f>Ruimtestaat[[#This Row],[kosten / jaar weekend]]+Ruimtestaat[[#This Row],[kosten / jaar werkdagen]]</f>
        <v>0</v>
      </c>
    </row>
    <row r="64" spans="1:34" ht="15" customHeight="1">
      <c r="A64" s="118">
        <v>1</v>
      </c>
      <c r="B64" s="24" t="str">
        <f>VLOOKUP(Ruimtestaat[[#This Row],[Code]],Locaties[#All],2,FALSE)</f>
        <v>Rembrandt College</v>
      </c>
      <c r="C64" s="24" t="str">
        <f>VLOOKUP(Ruimtestaat[[#This Row],[Code]],Locaties[#All],4,FALSE)</f>
        <v>Rembrandtlaan 2</v>
      </c>
      <c r="D64" s="24" t="str">
        <f>VLOOKUP(Ruimtestaat[[#This Row],[Code]],Locaties[#All],5,FALSE)</f>
        <v>3904 ZK</v>
      </c>
      <c r="E64" s="24" t="str">
        <f>VLOOKUP(Ruimtestaat[[#This Row],[Code]],Locaties[#All],6,FALSE)</f>
        <v>Veenendaal</v>
      </c>
      <c r="F64" s="66"/>
      <c r="G64" s="24" t="s">
        <v>466</v>
      </c>
      <c r="H64" s="24" t="s">
        <v>531</v>
      </c>
      <c r="I64" s="28" t="s">
        <v>521</v>
      </c>
      <c r="J64" s="4" t="s">
        <v>622</v>
      </c>
      <c r="K64" s="24">
        <v>16</v>
      </c>
      <c r="L64" s="66" t="str">
        <f>VLOOKUP(K64,Ruimtegroepen[],2,FALSE)</f>
        <v>Leslokalen theorie</v>
      </c>
      <c r="M64" s="24" t="s">
        <v>645</v>
      </c>
      <c r="N64" s="24" t="s">
        <v>384</v>
      </c>
      <c r="O64" s="92">
        <v>50</v>
      </c>
      <c r="P64" s="92"/>
      <c r="Q64" s="101" t="str">
        <f>LEFT(VLOOKUP(Ruimtestaat[[#This Row],[Ruimte code]],Ruimtegroepen[#All],4,1),2)</f>
        <v xml:space="preserve">L </v>
      </c>
      <c r="R64" s="92"/>
      <c r="S64" s="93">
        <v>40</v>
      </c>
      <c r="T64" s="93" t="s">
        <v>2</v>
      </c>
      <c r="U64" s="94">
        <f>IF(S64&gt;0,IF(RIGHT(Ruimtestaat[[#This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4" s="94">
        <f>IF(U64&gt;0,VLOOKUP($K64,Ruimtegroepen[],3,FALSE)*VLOOKUP($M64,Vloersoorten[],3,FALSE)*VLOOKUP($T64,Frequenties[],3,FALSE)*VLOOKUP($A64,Locaties[],3,FALSE),0)</f>
        <v>0</v>
      </c>
      <c r="W64" s="95">
        <f>Ruimtestaat[[#This Row],[Uitvoeringen werkdagen]]*Ruimtestaat[[#This Row],[Oppervlak (netto)]]</f>
        <v>10000</v>
      </c>
      <c r="X64" s="96">
        <f>IF(V64&gt;0,Ruimtestaat[[#This Row],[Prest. (m2 /jaar) werkdagen]]/Ruimtestaat[[#This Row],[Norm (m2/uur) werkdagen]],0)</f>
        <v>0</v>
      </c>
      <c r="Y64" s="97">
        <f>Ruimtestaat[[#This Row],[uren / jaar werkdagen]]*Tariefsopbouw!$E$35</f>
        <v>0</v>
      </c>
      <c r="Z64" s="94"/>
      <c r="AA64" s="98">
        <f>IF(Ruimtestaat[[#This Row],[Frequentie weekend]]&gt;0,VALUE(LEFT(Z64,1))*S64,0)</f>
        <v>0</v>
      </c>
      <c r="AB64" s="94">
        <f>IF($AA64&gt;0,VLOOKUP($K64,Ruimtegroepen[],3,FALSE)*VLOOKUP($M64,Vloersoorten[],3,FALSE)*VLOOKUP($Z64,Frequenties[],3,FALSE)*VLOOKUP($A55,Locaties[],3,FALSE),0)</f>
        <v>0</v>
      </c>
      <c r="AC64" s="96">
        <f>Ruimtestaat[[#This Row],[Uitvoeringen weekend]]*Ruimtestaat[[#This Row],[Oppervlak (netto)]]</f>
        <v>0</v>
      </c>
      <c r="AD64" s="99">
        <f>IF(AC64&gt;0,Ruimtestaat[[#This Row],[Prest. (m2 /jaar) weekend]]/Ruimtestaat[[#This Row],[Norm (m2/uur) weekend]],0)</f>
        <v>0</v>
      </c>
      <c r="AE64" s="100">
        <f>Ruimtestaat[[#This Row],[uren / jaar weekend]]*Tariefsopbouw!$D$40</f>
        <v>0</v>
      </c>
      <c r="AF64" s="72">
        <f>Ruimtestaat[[#This Row],[Prest. (m2 /jaar) weekend]]+Ruimtestaat[[#This Row],[Prest. (m2 /jaar) werkdagen]]</f>
        <v>10000</v>
      </c>
      <c r="AG64" s="72">
        <f>Ruimtestaat[[#This Row],[uren / jaar weekend]]+Ruimtestaat[[#This Row],[uren / jaar werkdagen]]</f>
        <v>0</v>
      </c>
      <c r="AH64" s="73">
        <f>Ruimtestaat[[#This Row],[kosten / jaar weekend]]+Ruimtestaat[[#This Row],[kosten / jaar werkdagen]]</f>
        <v>0</v>
      </c>
    </row>
    <row r="65" spans="1:34" ht="15" customHeight="1">
      <c r="A65" s="118">
        <v>1</v>
      </c>
      <c r="B65" s="24" t="str">
        <f>VLOOKUP(Ruimtestaat[[#This Row],[Code]],Locaties[#All],2,FALSE)</f>
        <v>Rembrandt College</v>
      </c>
      <c r="C65" s="24" t="str">
        <f>VLOOKUP(Ruimtestaat[[#This Row],[Code]],Locaties[#All],4,FALSE)</f>
        <v>Rembrandtlaan 2</v>
      </c>
      <c r="D65" s="24" t="str">
        <f>VLOOKUP(Ruimtestaat[[#This Row],[Code]],Locaties[#All],5,FALSE)</f>
        <v>3904 ZK</v>
      </c>
      <c r="E65" s="24" t="str">
        <f>VLOOKUP(Ruimtestaat[[#This Row],[Code]],Locaties[#All],6,FALSE)</f>
        <v>Veenendaal</v>
      </c>
      <c r="F65" s="66"/>
      <c r="G65" s="24" t="s">
        <v>466</v>
      </c>
      <c r="H65" s="24" t="s">
        <v>530</v>
      </c>
      <c r="I65" s="28" t="s">
        <v>522</v>
      </c>
      <c r="J65" s="4" t="s">
        <v>622</v>
      </c>
      <c r="K65" s="24">
        <v>16</v>
      </c>
      <c r="L65" s="66" t="str">
        <f>VLOOKUP(K65,Ruimtegroepen[],2,FALSE)</f>
        <v>Leslokalen theorie</v>
      </c>
      <c r="M65" s="24" t="s">
        <v>645</v>
      </c>
      <c r="N65" s="24" t="s">
        <v>384</v>
      </c>
      <c r="O65" s="92">
        <v>50</v>
      </c>
      <c r="P65" s="92"/>
      <c r="Q65" s="101" t="str">
        <f>LEFT(VLOOKUP(Ruimtestaat[[#This Row],[Ruimte code]],Ruimtegroepen[#All],4,1),2)</f>
        <v xml:space="preserve">L </v>
      </c>
      <c r="R65" s="92"/>
      <c r="S65" s="93">
        <v>40</v>
      </c>
      <c r="T65" s="93" t="s">
        <v>2</v>
      </c>
      <c r="U65" s="94">
        <f>IF(S65&gt;0,IF(RIGHT(Ruimtestaat[[#This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5" s="94">
        <f>IF(U65&gt;0,VLOOKUP($K65,Ruimtegroepen[],3,FALSE)*VLOOKUP($M65,Vloersoorten[],3,FALSE)*VLOOKUP($T65,Frequenties[],3,FALSE)*VLOOKUP($A65,Locaties[],3,FALSE),0)</f>
        <v>0</v>
      </c>
      <c r="W65" s="95">
        <f>Ruimtestaat[[#This Row],[Uitvoeringen werkdagen]]*Ruimtestaat[[#This Row],[Oppervlak (netto)]]</f>
        <v>10000</v>
      </c>
      <c r="X65" s="96">
        <f>IF(V65&gt;0,Ruimtestaat[[#This Row],[Prest. (m2 /jaar) werkdagen]]/Ruimtestaat[[#This Row],[Norm (m2/uur) werkdagen]],0)</f>
        <v>0</v>
      </c>
      <c r="Y65" s="97">
        <f>Ruimtestaat[[#This Row],[uren / jaar werkdagen]]*Tariefsopbouw!$E$35</f>
        <v>0</v>
      </c>
      <c r="Z65" s="94"/>
      <c r="AA65" s="98">
        <f>IF(Ruimtestaat[[#This Row],[Frequentie weekend]]&gt;0,VALUE(LEFT(Z65,1))*S65,0)</f>
        <v>0</v>
      </c>
      <c r="AB65" s="94">
        <f>IF($AA65&gt;0,VLOOKUP($K65,Ruimtegroepen[],3,FALSE)*VLOOKUP($M65,Vloersoorten[],3,FALSE)*VLOOKUP($Z65,Frequenties[],3,FALSE)*VLOOKUP($A56,Locaties[],3,FALSE),0)</f>
        <v>0</v>
      </c>
      <c r="AC65" s="96">
        <f>Ruimtestaat[[#This Row],[Uitvoeringen weekend]]*Ruimtestaat[[#This Row],[Oppervlak (netto)]]</f>
        <v>0</v>
      </c>
      <c r="AD65" s="99">
        <f>IF(AC65&gt;0,Ruimtestaat[[#This Row],[Prest. (m2 /jaar) weekend]]/Ruimtestaat[[#This Row],[Norm (m2/uur) weekend]],0)</f>
        <v>0</v>
      </c>
      <c r="AE65" s="100">
        <f>Ruimtestaat[[#This Row],[uren / jaar weekend]]*Tariefsopbouw!$D$40</f>
        <v>0</v>
      </c>
      <c r="AF65" s="72">
        <f>Ruimtestaat[[#This Row],[Prest. (m2 /jaar) weekend]]+Ruimtestaat[[#This Row],[Prest. (m2 /jaar) werkdagen]]</f>
        <v>10000</v>
      </c>
      <c r="AG65" s="72">
        <f>Ruimtestaat[[#This Row],[uren / jaar weekend]]+Ruimtestaat[[#This Row],[uren / jaar werkdagen]]</f>
        <v>0</v>
      </c>
      <c r="AH65" s="73">
        <f>Ruimtestaat[[#This Row],[kosten / jaar weekend]]+Ruimtestaat[[#This Row],[kosten / jaar werkdagen]]</f>
        <v>0</v>
      </c>
    </row>
    <row r="66" spans="1:34" ht="15" customHeight="1">
      <c r="A66" s="118">
        <v>1</v>
      </c>
      <c r="B66" s="24" t="str">
        <f>VLOOKUP(Ruimtestaat[[#This Row],[Code]],Locaties[#All],2,FALSE)</f>
        <v>Rembrandt College</v>
      </c>
      <c r="C66" s="24" t="str">
        <f>VLOOKUP(Ruimtestaat[[#This Row],[Code]],Locaties[#All],4,FALSE)</f>
        <v>Rembrandtlaan 2</v>
      </c>
      <c r="D66" s="24" t="str">
        <f>VLOOKUP(Ruimtestaat[[#This Row],[Code]],Locaties[#All],5,FALSE)</f>
        <v>3904 ZK</v>
      </c>
      <c r="E66" s="24" t="str">
        <f>VLOOKUP(Ruimtestaat[[#This Row],[Code]],Locaties[#All],6,FALSE)</f>
        <v>Veenendaal</v>
      </c>
      <c r="F66" s="66"/>
      <c r="G66" s="24" t="s">
        <v>466</v>
      </c>
      <c r="H66" s="24" t="s">
        <v>529</v>
      </c>
      <c r="I66" s="28" t="s">
        <v>523</v>
      </c>
      <c r="J66" s="4" t="s">
        <v>622</v>
      </c>
      <c r="K66" s="24">
        <v>16</v>
      </c>
      <c r="L66" s="66" t="str">
        <f>VLOOKUP(K66,Ruimtegroepen[],2,FALSE)</f>
        <v>Leslokalen theorie</v>
      </c>
      <c r="M66" s="24" t="s">
        <v>645</v>
      </c>
      <c r="N66" s="24" t="s">
        <v>384</v>
      </c>
      <c r="O66" s="92">
        <v>50</v>
      </c>
      <c r="P66" s="92"/>
      <c r="Q66" s="101" t="str">
        <f>LEFT(VLOOKUP(Ruimtestaat[[#This Row],[Ruimte code]],Ruimtegroepen[#All],4,1),2)</f>
        <v xml:space="preserve">L </v>
      </c>
      <c r="R66" s="92"/>
      <c r="S66" s="93">
        <v>40</v>
      </c>
      <c r="T66" s="93" t="s">
        <v>2</v>
      </c>
      <c r="U66" s="94">
        <f>IF(S66&gt;0,IF(RIGHT(Ruimtestaat[[#This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6" s="94">
        <f>IF(U66&gt;0,VLOOKUP($K66,Ruimtegroepen[],3,FALSE)*VLOOKUP($M66,Vloersoorten[],3,FALSE)*VLOOKUP($T66,Frequenties[],3,FALSE)*VLOOKUP($A66,Locaties[],3,FALSE),0)</f>
        <v>0</v>
      </c>
      <c r="W66" s="95">
        <f>Ruimtestaat[[#This Row],[Uitvoeringen werkdagen]]*Ruimtestaat[[#This Row],[Oppervlak (netto)]]</f>
        <v>10000</v>
      </c>
      <c r="X66" s="96">
        <f>IF(V66&gt;0,Ruimtestaat[[#This Row],[Prest. (m2 /jaar) werkdagen]]/Ruimtestaat[[#This Row],[Norm (m2/uur) werkdagen]],0)</f>
        <v>0</v>
      </c>
      <c r="Y66" s="97">
        <f>Ruimtestaat[[#This Row],[uren / jaar werkdagen]]*Tariefsopbouw!$E$35</f>
        <v>0</v>
      </c>
      <c r="Z66" s="94"/>
      <c r="AA66" s="98">
        <f>IF(Ruimtestaat[[#This Row],[Frequentie weekend]]&gt;0,VALUE(LEFT(Z66,1))*S66,0)</f>
        <v>0</v>
      </c>
      <c r="AB66" s="94">
        <f>IF($AA66&gt;0,VLOOKUP($K66,Ruimtegroepen[],3,FALSE)*VLOOKUP($M66,Vloersoorten[],3,FALSE)*VLOOKUP($Z66,Frequenties[],3,FALSE)*VLOOKUP($A62,Locaties[],3,FALSE),0)</f>
        <v>0</v>
      </c>
      <c r="AC66" s="96">
        <f>Ruimtestaat[[#This Row],[Uitvoeringen weekend]]*Ruimtestaat[[#This Row],[Oppervlak (netto)]]</f>
        <v>0</v>
      </c>
      <c r="AD66" s="99">
        <f>IF(AC66&gt;0,Ruimtestaat[[#This Row],[Prest. (m2 /jaar) weekend]]/Ruimtestaat[[#This Row],[Norm (m2/uur) weekend]],0)</f>
        <v>0</v>
      </c>
      <c r="AE66" s="100">
        <f>Ruimtestaat[[#This Row],[uren / jaar weekend]]*Tariefsopbouw!$D$40</f>
        <v>0</v>
      </c>
      <c r="AF66" s="72">
        <f>Ruimtestaat[[#This Row],[Prest. (m2 /jaar) weekend]]+Ruimtestaat[[#This Row],[Prest. (m2 /jaar) werkdagen]]</f>
        <v>10000</v>
      </c>
      <c r="AG66" s="72">
        <f>Ruimtestaat[[#This Row],[uren / jaar weekend]]+Ruimtestaat[[#This Row],[uren / jaar werkdagen]]</f>
        <v>0</v>
      </c>
      <c r="AH66" s="73">
        <f>Ruimtestaat[[#This Row],[kosten / jaar weekend]]+Ruimtestaat[[#This Row],[kosten / jaar werkdagen]]</f>
        <v>0</v>
      </c>
    </row>
    <row r="67" spans="1:34" ht="15" customHeight="1">
      <c r="A67" s="118">
        <v>1</v>
      </c>
      <c r="B67" s="24" t="str">
        <f>VLOOKUP(Ruimtestaat[[#This Row],[Code]],Locaties[#All],2,FALSE)</f>
        <v>Rembrandt College</v>
      </c>
      <c r="C67" s="24" t="str">
        <f>VLOOKUP(Ruimtestaat[[#This Row],[Code]],Locaties[#All],4,FALSE)</f>
        <v>Rembrandtlaan 2</v>
      </c>
      <c r="D67" s="24" t="str">
        <f>VLOOKUP(Ruimtestaat[[#This Row],[Code]],Locaties[#All],5,FALSE)</f>
        <v>3904 ZK</v>
      </c>
      <c r="E67" s="24" t="str">
        <f>VLOOKUP(Ruimtestaat[[#This Row],[Code]],Locaties[#All],6,FALSE)</f>
        <v>Veenendaal</v>
      </c>
      <c r="F67" s="66"/>
      <c r="G67" s="24" t="s">
        <v>466</v>
      </c>
      <c r="H67" s="24" t="s">
        <v>528</v>
      </c>
      <c r="I67" s="28" t="s">
        <v>524</v>
      </c>
      <c r="J67" s="4" t="s">
        <v>622</v>
      </c>
      <c r="K67" s="24">
        <v>16</v>
      </c>
      <c r="L67" s="66" t="str">
        <f>VLOOKUP(K67,Ruimtegroepen[],2,FALSE)</f>
        <v>Leslokalen theorie</v>
      </c>
      <c r="M67" s="24" t="s">
        <v>645</v>
      </c>
      <c r="N67" s="24" t="s">
        <v>384</v>
      </c>
      <c r="O67" s="92">
        <v>50</v>
      </c>
      <c r="P67" s="92"/>
      <c r="Q67" s="101" t="str">
        <f>LEFT(VLOOKUP(Ruimtestaat[[#This Row],[Ruimte code]],Ruimtegroepen[#All],4,1),2)</f>
        <v xml:space="preserve">L </v>
      </c>
      <c r="R67" s="92"/>
      <c r="S67" s="93">
        <v>40</v>
      </c>
      <c r="T67" s="93" t="s">
        <v>2</v>
      </c>
      <c r="U67" s="94">
        <f>IF(S67&gt;0,IF(RIGHT(Ruimtestaat[[#This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7" s="94">
        <f>IF(U67&gt;0,VLOOKUP($K67,Ruimtegroepen[],3,FALSE)*VLOOKUP($M67,Vloersoorten[],3,FALSE)*VLOOKUP($T67,Frequenties[],3,FALSE)*VLOOKUP($A67,Locaties[],3,FALSE),0)</f>
        <v>0</v>
      </c>
      <c r="W67" s="95">
        <f>Ruimtestaat[[#This Row],[Uitvoeringen werkdagen]]*Ruimtestaat[[#This Row],[Oppervlak (netto)]]</f>
        <v>10000</v>
      </c>
      <c r="X67" s="96">
        <f>IF(V67&gt;0,Ruimtestaat[[#This Row],[Prest. (m2 /jaar) werkdagen]]/Ruimtestaat[[#This Row],[Norm (m2/uur) werkdagen]],0)</f>
        <v>0</v>
      </c>
      <c r="Y67" s="97">
        <f>Ruimtestaat[[#This Row],[uren / jaar werkdagen]]*Tariefsopbouw!$E$35</f>
        <v>0</v>
      </c>
      <c r="Z67" s="94"/>
      <c r="AA67" s="98">
        <f>IF(Ruimtestaat[[#This Row],[Frequentie weekend]]&gt;0,VALUE(LEFT(Z67,1))*S67,0)</f>
        <v>0</v>
      </c>
      <c r="AB67" s="94">
        <f>IF($AA67&gt;0,VLOOKUP($K67,Ruimtegroepen[],3,FALSE)*VLOOKUP($M67,Vloersoorten[],3,FALSE)*VLOOKUP($Z67,Frequenties[],3,FALSE)*VLOOKUP($A63,Locaties[],3,FALSE),0)</f>
        <v>0</v>
      </c>
      <c r="AC67" s="96">
        <f>Ruimtestaat[[#This Row],[Uitvoeringen weekend]]*Ruimtestaat[[#This Row],[Oppervlak (netto)]]</f>
        <v>0</v>
      </c>
      <c r="AD67" s="99">
        <f>IF(AC67&gt;0,Ruimtestaat[[#This Row],[Prest. (m2 /jaar) weekend]]/Ruimtestaat[[#This Row],[Norm (m2/uur) weekend]],0)</f>
        <v>0</v>
      </c>
      <c r="AE67" s="100">
        <f>Ruimtestaat[[#This Row],[uren / jaar weekend]]*Tariefsopbouw!$D$40</f>
        <v>0</v>
      </c>
      <c r="AF67" s="72">
        <f>Ruimtestaat[[#This Row],[Prest. (m2 /jaar) weekend]]+Ruimtestaat[[#This Row],[Prest. (m2 /jaar) werkdagen]]</f>
        <v>10000</v>
      </c>
      <c r="AG67" s="72">
        <f>Ruimtestaat[[#This Row],[uren / jaar weekend]]+Ruimtestaat[[#This Row],[uren / jaar werkdagen]]</f>
        <v>0</v>
      </c>
      <c r="AH67" s="73">
        <f>Ruimtestaat[[#This Row],[kosten / jaar weekend]]+Ruimtestaat[[#This Row],[kosten / jaar werkdagen]]</f>
        <v>0</v>
      </c>
    </row>
    <row r="68" spans="1:34" ht="15" customHeight="1">
      <c r="A68" s="118">
        <v>1</v>
      </c>
      <c r="B68" s="24" t="str">
        <f>VLOOKUP(Ruimtestaat[[#This Row],[Code]],Locaties[#All],2,FALSE)</f>
        <v>Rembrandt College</v>
      </c>
      <c r="C68" s="24" t="str">
        <f>VLOOKUP(Ruimtestaat[[#This Row],[Code]],Locaties[#All],4,FALSE)</f>
        <v>Rembrandtlaan 2</v>
      </c>
      <c r="D68" s="24" t="str">
        <f>VLOOKUP(Ruimtestaat[[#This Row],[Code]],Locaties[#All],5,FALSE)</f>
        <v>3904 ZK</v>
      </c>
      <c r="E68" s="24" t="str">
        <f>VLOOKUP(Ruimtestaat[[#This Row],[Code]],Locaties[#All],6,FALSE)</f>
        <v>Veenendaal</v>
      </c>
      <c r="F68" s="66"/>
      <c r="G68" s="24" t="s">
        <v>466</v>
      </c>
      <c r="H68" s="24"/>
      <c r="I68" s="28" t="s">
        <v>525</v>
      </c>
      <c r="J68" s="4" t="s">
        <v>623</v>
      </c>
      <c r="K68" s="24">
        <v>4</v>
      </c>
      <c r="L68" s="66" t="str">
        <f>VLOOKUP(K68,Ruimtegroepen[],2,FALSE)</f>
        <v>Vergader/spreekkamers</v>
      </c>
      <c r="M68" s="24" t="s">
        <v>645</v>
      </c>
      <c r="N68" s="24" t="s">
        <v>384</v>
      </c>
      <c r="O68" s="92">
        <v>8</v>
      </c>
      <c r="P68" s="92"/>
      <c r="Q68" s="101" t="str">
        <f>LEFT(VLOOKUP(Ruimtestaat[[#This Row],[Ruimte code]],Ruimtegroepen[#All],4,1),2)</f>
        <v xml:space="preserve">B </v>
      </c>
      <c r="R68" s="92"/>
      <c r="S68" s="93">
        <v>40</v>
      </c>
      <c r="T68" s="93" t="s">
        <v>18</v>
      </c>
      <c r="U68" s="94">
        <f>IF(S68&gt;0,IF(RIGHT(Ruimtestaat[[#This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68" s="94">
        <f>IF(U68&gt;0,VLOOKUP($K68,Ruimtegroepen[],3,FALSE)*VLOOKUP($M68,Vloersoorten[],3,FALSE)*VLOOKUP($T68,Frequenties[],3,FALSE)*VLOOKUP($A68,Locaties[],3,FALSE),0)</f>
        <v>0</v>
      </c>
      <c r="W68" s="95">
        <f>Ruimtestaat[[#This Row],[Uitvoeringen werkdagen]]*Ruimtestaat[[#This Row],[Oppervlak (netto)]]</f>
        <v>960</v>
      </c>
      <c r="X68" s="96">
        <f>IF(V68&gt;0,Ruimtestaat[[#This Row],[Prest. (m2 /jaar) werkdagen]]/Ruimtestaat[[#This Row],[Norm (m2/uur) werkdagen]],0)</f>
        <v>0</v>
      </c>
      <c r="Y68" s="97">
        <f>Ruimtestaat[[#This Row],[uren / jaar werkdagen]]*Tariefsopbouw!$E$35</f>
        <v>0</v>
      </c>
      <c r="Z68" s="94"/>
      <c r="AA68" s="98">
        <f>IF(Ruimtestaat[[#This Row],[Frequentie weekend]]&gt;0,VALUE(LEFT(Z68,1))*S68,0)</f>
        <v>0</v>
      </c>
      <c r="AB68" s="94">
        <f>IF($AA68&gt;0,VLOOKUP($K68,Ruimtegroepen[],3,FALSE)*VLOOKUP($M68,Vloersoorten[],3,FALSE)*VLOOKUP($Z68,Frequenties[],3,FALSE)*VLOOKUP($A64,Locaties[],3,FALSE),0)</f>
        <v>0</v>
      </c>
      <c r="AC68" s="96">
        <f>Ruimtestaat[[#This Row],[Uitvoeringen weekend]]*Ruimtestaat[[#This Row],[Oppervlak (netto)]]</f>
        <v>0</v>
      </c>
      <c r="AD68" s="99">
        <f>IF(AC68&gt;0,Ruimtestaat[[#This Row],[Prest. (m2 /jaar) weekend]]/Ruimtestaat[[#This Row],[Norm (m2/uur) weekend]],0)</f>
        <v>0</v>
      </c>
      <c r="AE68" s="100">
        <f>Ruimtestaat[[#This Row],[uren / jaar weekend]]*Tariefsopbouw!$D$40</f>
        <v>0</v>
      </c>
      <c r="AF68" s="72">
        <f>Ruimtestaat[[#This Row],[Prest. (m2 /jaar) weekend]]+Ruimtestaat[[#This Row],[Prest. (m2 /jaar) werkdagen]]</f>
        <v>960</v>
      </c>
      <c r="AG68" s="72">
        <f>Ruimtestaat[[#This Row],[uren / jaar weekend]]+Ruimtestaat[[#This Row],[uren / jaar werkdagen]]</f>
        <v>0</v>
      </c>
      <c r="AH68" s="73">
        <f>Ruimtestaat[[#This Row],[kosten / jaar weekend]]+Ruimtestaat[[#This Row],[kosten / jaar werkdagen]]</f>
        <v>0</v>
      </c>
    </row>
    <row r="69" spans="1:34" ht="15" customHeight="1">
      <c r="A69" s="118">
        <v>1</v>
      </c>
      <c r="B69" s="24" t="str">
        <f>VLOOKUP(Ruimtestaat[[#This Row],[Code]],Locaties[#All],2,FALSE)</f>
        <v>Rembrandt College</v>
      </c>
      <c r="C69" s="24" t="str">
        <f>VLOOKUP(Ruimtestaat[[#This Row],[Code]],Locaties[#All],4,FALSE)</f>
        <v>Rembrandtlaan 2</v>
      </c>
      <c r="D69" s="24" t="str">
        <f>VLOOKUP(Ruimtestaat[[#This Row],[Code]],Locaties[#All],5,FALSE)</f>
        <v>3904 ZK</v>
      </c>
      <c r="E69" s="24" t="str">
        <f>VLOOKUP(Ruimtestaat[[#This Row],[Code]],Locaties[#All],6,FALSE)</f>
        <v>Veenendaal</v>
      </c>
      <c r="F69" s="66"/>
      <c r="G69" s="24" t="s">
        <v>466</v>
      </c>
      <c r="H69" s="24" t="s">
        <v>527</v>
      </c>
      <c r="I69" s="28" t="s">
        <v>526</v>
      </c>
      <c r="J69" s="4" t="s">
        <v>622</v>
      </c>
      <c r="K69" s="24">
        <v>16</v>
      </c>
      <c r="L69" s="66" t="str">
        <f>VLOOKUP(K69,Ruimtegroepen[],2,FALSE)</f>
        <v>Leslokalen theorie</v>
      </c>
      <c r="M69" s="24" t="s">
        <v>645</v>
      </c>
      <c r="N69" s="24" t="s">
        <v>384</v>
      </c>
      <c r="O69" s="92">
        <v>50</v>
      </c>
      <c r="P69" s="92"/>
      <c r="Q69" s="101" t="str">
        <f>LEFT(VLOOKUP(Ruimtestaat[[#This Row],[Ruimte code]],Ruimtegroepen[#All],4,1),2)</f>
        <v xml:space="preserve">L </v>
      </c>
      <c r="R69" s="92"/>
      <c r="S69" s="93">
        <v>40</v>
      </c>
      <c r="T69" s="93" t="s">
        <v>2</v>
      </c>
      <c r="U69" s="94">
        <f>IF(S69&gt;0,IF(RIGHT(Ruimtestaat[[#This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9" s="94">
        <f>IF(U69&gt;0,VLOOKUP($K69,Ruimtegroepen[],3,FALSE)*VLOOKUP($M69,Vloersoorten[],3,FALSE)*VLOOKUP($T69,Frequenties[],3,FALSE)*VLOOKUP($A69,Locaties[],3,FALSE),0)</f>
        <v>0</v>
      </c>
      <c r="W69" s="95">
        <f>Ruimtestaat[[#This Row],[Uitvoeringen werkdagen]]*Ruimtestaat[[#This Row],[Oppervlak (netto)]]</f>
        <v>10000</v>
      </c>
      <c r="X69" s="96">
        <f>IF(V69&gt;0,Ruimtestaat[[#This Row],[Prest. (m2 /jaar) werkdagen]]/Ruimtestaat[[#This Row],[Norm (m2/uur) werkdagen]],0)</f>
        <v>0</v>
      </c>
      <c r="Y69" s="97">
        <f>Ruimtestaat[[#This Row],[uren / jaar werkdagen]]*Tariefsopbouw!$E$35</f>
        <v>0</v>
      </c>
      <c r="Z69" s="94"/>
      <c r="AA69" s="98">
        <f>IF(Ruimtestaat[[#This Row],[Frequentie weekend]]&gt;0,VALUE(LEFT(Z69,1))*S69,0)</f>
        <v>0</v>
      </c>
      <c r="AB69" s="94">
        <f>IF($AA69&gt;0,VLOOKUP($K69,Ruimtegroepen[],3,FALSE)*VLOOKUP($M69,Vloersoorten[],3,FALSE)*VLOOKUP($Z69,Frequenties[],3,FALSE)*VLOOKUP($A65,Locaties[],3,FALSE),0)</f>
        <v>0</v>
      </c>
      <c r="AC69" s="96">
        <f>Ruimtestaat[[#This Row],[Uitvoeringen weekend]]*Ruimtestaat[[#This Row],[Oppervlak (netto)]]</f>
        <v>0</v>
      </c>
      <c r="AD69" s="99">
        <f>IF(AC69&gt;0,Ruimtestaat[[#This Row],[Prest. (m2 /jaar) weekend]]/Ruimtestaat[[#This Row],[Norm (m2/uur) weekend]],0)</f>
        <v>0</v>
      </c>
      <c r="AE69" s="100">
        <f>Ruimtestaat[[#This Row],[uren / jaar weekend]]*Tariefsopbouw!$D$40</f>
        <v>0</v>
      </c>
      <c r="AF69" s="72">
        <f>Ruimtestaat[[#This Row],[Prest. (m2 /jaar) weekend]]+Ruimtestaat[[#This Row],[Prest. (m2 /jaar) werkdagen]]</f>
        <v>10000</v>
      </c>
      <c r="AG69" s="72">
        <f>Ruimtestaat[[#This Row],[uren / jaar weekend]]+Ruimtestaat[[#This Row],[uren / jaar werkdagen]]</f>
        <v>0</v>
      </c>
      <c r="AH69" s="73">
        <f>Ruimtestaat[[#This Row],[kosten / jaar weekend]]+Ruimtestaat[[#This Row],[kosten / jaar werkdagen]]</f>
        <v>0</v>
      </c>
    </row>
    <row r="70" spans="1:34" ht="15" customHeight="1">
      <c r="A70" s="118">
        <v>1</v>
      </c>
      <c r="B70" s="24" t="str">
        <f>VLOOKUP(Ruimtestaat[[#This Row],[Code]],Locaties[#All],2,FALSE)</f>
        <v>Rembrandt College</v>
      </c>
      <c r="C70" s="24" t="str">
        <f>VLOOKUP(Ruimtestaat[[#This Row],[Code]],Locaties[#All],4,FALSE)</f>
        <v>Rembrandtlaan 2</v>
      </c>
      <c r="D70" s="24" t="str">
        <f>VLOOKUP(Ruimtestaat[[#This Row],[Code]],Locaties[#All],5,FALSE)</f>
        <v>3904 ZK</v>
      </c>
      <c r="E70" s="24" t="str">
        <f>VLOOKUP(Ruimtestaat[[#This Row],[Code]],Locaties[#All],6,FALSE)</f>
        <v>Veenendaal</v>
      </c>
      <c r="F70" s="66"/>
      <c r="G70" s="24" t="s">
        <v>466</v>
      </c>
      <c r="H70" s="24" t="s">
        <v>526</v>
      </c>
      <c r="I70" s="28" t="s">
        <v>527</v>
      </c>
      <c r="J70" s="4" t="s">
        <v>622</v>
      </c>
      <c r="K70" s="24">
        <v>16</v>
      </c>
      <c r="L70" s="66" t="str">
        <f>VLOOKUP(K70,Ruimtegroepen[],2,FALSE)</f>
        <v>Leslokalen theorie</v>
      </c>
      <c r="M70" s="24" t="s">
        <v>645</v>
      </c>
      <c r="N70" s="24" t="s">
        <v>384</v>
      </c>
      <c r="O70" s="92">
        <v>48.3</v>
      </c>
      <c r="P70" s="92"/>
      <c r="Q70" s="101" t="str">
        <f>LEFT(VLOOKUP(Ruimtestaat[[#This Row],[Ruimte code]],Ruimtegroepen[#All],4,1),2)</f>
        <v xml:space="preserve">L </v>
      </c>
      <c r="R70" s="92"/>
      <c r="S70" s="93">
        <v>40</v>
      </c>
      <c r="T70" s="93" t="s">
        <v>2</v>
      </c>
      <c r="U70" s="94">
        <f>IF(S70&gt;0,IF(RIGHT(Ruimtestaat[[#This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0" s="94">
        <f>IF(U70&gt;0,VLOOKUP($K70,Ruimtegroepen[],3,FALSE)*VLOOKUP($M70,Vloersoorten[],3,FALSE)*VLOOKUP($T70,Frequenties[],3,FALSE)*VLOOKUP($A70,Locaties[],3,FALSE),0)</f>
        <v>0</v>
      </c>
      <c r="W70" s="95">
        <f>Ruimtestaat[[#This Row],[Uitvoeringen werkdagen]]*Ruimtestaat[[#This Row],[Oppervlak (netto)]]</f>
        <v>9660</v>
      </c>
      <c r="X70" s="96">
        <f>IF(V70&gt;0,Ruimtestaat[[#This Row],[Prest. (m2 /jaar) werkdagen]]/Ruimtestaat[[#This Row],[Norm (m2/uur) werkdagen]],0)</f>
        <v>0</v>
      </c>
      <c r="Y70" s="97">
        <f>Ruimtestaat[[#This Row],[uren / jaar werkdagen]]*Tariefsopbouw!$E$35</f>
        <v>0</v>
      </c>
      <c r="Z70" s="94"/>
      <c r="AA70" s="98">
        <f>IF(Ruimtestaat[[#This Row],[Frequentie weekend]]&gt;0,VALUE(LEFT(Z70,1))*S70,0)</f>
        <v>0</v>
      </c>
      <c r="AB70" s="94">
        <f>IF($AA70&gt;0,VLOOKUP($K70,Ruimtegroepen[],3,FALSE)*VLOOKUP($M70,Vloersoorten[],3,FALSE)*VLOOKUP($Z70,Frequenties[],3,FALSE)*VLOOKUP($A66,Locaties[],3,FALSE),0)</f>
        <v>0</v>
      </c>
      <c r="AC70" s="96">
        <f>Ruimtestaat[[#This Row],[Uitvoeringen weekend]]*Ruimtestaat[[#This Row],[Oppervlak (netto)]]</f>
        <v>0</v>
      </c>
      <c r="AD70" s="99">
        <f>IF(AC70&gt;0,Ruimtestaat[[#This Row],[Prest. (m2 /jaar) weekend]]/Ruimtestaat[[#This Row],[Norm (m2/uur) weekend]],0)</f>
        <v>0</v>
      </c>
      <c r="AE70" s="100">
        <f>Ruimtestaat[[#This Row],[uren / jaar weekend]]*Tariefsopbouw!$D$40</f>
        <v>0</v>
      </c>
      <c r="AF70" s="72">
        <f>Ruimtestaat[[#This Row],[Prest. (m2 /jaar) weekend]]+Ruimtestaat[[#This Row],[Prest. (m2 /jaar) werkdagen]]</f>
        <v>9660</v>
      </c>
      <c r="AG70" s="72">
        <f>Ruimtestaat[[#This Row],[uren / jaar weekend]]+Ruimtestaat[[#This Row],[uren / jaar werkdagen]]</f>
        <v>0</v>
      </c>
      <c r="AH70" s="73">
        <f>Ruimtestaat[[#This Row],[kosten / jaar weekend]]+Ruimtestaat[[#This Row],[kosten / jaar werkdagen]]</f>
        <v>0</v>
      </c>
    </row>
    <row r="71" spans="1:34" ht="15" customHeight="1">
      <c r="A71" s="118">
        <v>1</v>
      </c>
      <c r="B71" s="24" t="str">
        <f>VLOOKUP(Ruimtestaat[[#This Row],[Code]],Locaties[#All],2,FALSE)</f>
        <v>Rembrandt College</v>
      </c>
      <c r="C71" s="24" t="str">
        <f>VLOOKUP(Ruimtestaat[[#This Row],[Code]],Locaties[#All],4,FALSE)</f>
        <v>Rembrandtlaan 2</v>
      </c>
      <c r="D71" s="24" t="str">
        <f>VLOOKUP(Ruimtestaat[[#This Row],[Code]],Locaties[#All],5,FALSE)</f>
        <v>3904 ZK</v>
      </c>
      <c r="E71" s="24" t="str">
        <f>VLOOKUP(Ruimtestaat[[#This Row],[Code]],Locaties[#All],6,FALSE)</f>
        <v>Veenendaal</v>
      </c>
      <c r="F71" s="66"/>
      <c r="G71" s="24" t="s">
        <v>466</v>
      </c>
      <c r="H71" s="24" t="s">
        <v>525</v>
      </c>
      <c r="I71" s="28" t="s">
        <v>528</v>
      </c>
      <c r="J71" s="4" t="s">
        <v>622</v>
      </c>
      <c r="K71" s="24">
        <v>16</v>
      </c>
      <c r="L71" s="66" t="str">
        <f>VLOOKUP(K71,Ruimtegroepen[],2,FALSE)</f>
        <v>Leslokalen theorie</v>
      </c>
      <c r="M71" s="24" t="s">
        <v>645</v>
      </c>
      <c r="N71" s="24" t="s">
        <v>384</v>
      </c>
      <c r="O71" s="92">
        <v>50.3</v>
      </c>
      <c r="P71" s="92"/>
      <c r="Q71" s="101" t="str">
        <f>LEFT(VLOOKUP(Ruimtestaat[[#This Row],[Ruimte code]],Ruimtegroepen[#All],4,1),2)</f>
        <v xml:space="preserve">L </v>
      </c>
      <c r="R71" s="92"/>
      <c r="S71" s="93">
        <v>40</v>
      </c>
      <c r="T71" s="93" t="s">
        <v>2</v>
      </c>
      <c r="U71" s="94">
        <f>IF(S71&gt;0,IF(RIGHT(Ruimtestaat[[#This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1" s="94">
        <f>IF(U71&gt;0,VLOOKUP($K71,Ruimtegroepen[],3,FALSE)*VLOOKUP($M71,Vloersoorten[],3,FALSE)*VLOOKUP($T71,Frequenties[],3,FALSE)*VLOOKUP($A71,Locaties[],3,FALSE),0)</f>
        <v>0</v>
      </c>
      <c r="W71" s="95">
        <f>Ruimtestaat[[#This Row],[Uitvoeringen werkdagen]]*Ruimtestaat[[#This Row],[Oppervlak (netto)]]</f>
        <v>10060</v>
      </c>
      <c r="X71" s="96">
        <f>IF(V71&gt;0,Ruimtestaat[[#This Row],[Prest. (m2 /jaar) werkdagen]]/Ruimtestaat[[#This Row],[Norm (m2/uur) werkdagen]],0)</f>
        <v>0</v>
      </c>
      <c r="Y71" s="97">
        <f>Ruimtestaat[[#This Row],[uren / jaar werkdagen]]*Tariefsopbouw!$E$35</f>
        <v>0</v>
      </c>
      <c r="Z71" s="94"/>
      <c r="AA71" s="98">
        <f>IF(Ruimtestaat[[#This Row],[Frequentie weekend]]&gt;0,VALUE(LEFT(Z71,1))*S71,0)</f>
        <v>0</v>
      </c>
      <c r="AB71" s="94">
        <f>IF($AA71&gt;0,VLOOKUP($K71,Ruimtegroepen[],3,FALSE)*VLOOKUP($M71,Vloersoorten[],3,FALSE)*VLOOKUP($Z71,Frequenties[],3,FALSE)*VLOOKUP($A67,Locaties[],3,FALSE),0)</f>
        <v>0</v>
      </c>
      <c r="AC71" s="96">
        <f>Ruimtestaat[[#This Row],[Uitvoeringen weekend]]*Ruimtestaat[[#This Row],[Oppervlak (netto)]]</f>
        <v>0</v>
      </c>
      <c r="AD71" s="99">
        <f>IF(AC71&gt;0,Ruimtestaat[[#This Row],[Prest. (m2 /jaar) weekend]]/Ruimtestaat[[#This Row],[Norm (m2/uur) weekend]],0)</f>
        <v>0</v>
      </c>
      <c r="AE71" s="100">
        <f>Ruimtestaat[[#This Row],[uren / jaar weekend]]*Tariefsopbouw!$D$40</f>
        <v>0</v>
      </c>
      <c r="AF71" s="72">
        <f>Ruimtestaat[[#This Row],[Prest. (m2 /jaar) weekend]]+Ruimtestaat[[#This Row],[Prest. (m2 /jaar) werkdagen]]</f>
        <v>10060</v>
      </c>
      <c r="AG71" s="72">
        <f>Ruimtestaat[[#This Row],[uren / jaar weekend]]+Ruimtestaat[[#This Row],[uren / jaar werkdagen]]</f>
        <v>0</v>
      </c>
      <c r="AH71" s="73">
        <f>Ruimtestaat[[#This Row],[kosten / jaar weekend]]+Ruimtestaat[[#This Row],[kosten / jaar werkdagen]]</f>
        <v>0</v>
      </c>
    </row>
    <row r="72" spans="1:34" ht="15" customHeight="1">
      <c r="A72" s="118">
        <v>1</v>
      </c>
      <c r="B72" s="24" t="str">
        <f>VLOOKUP(Ruimtestaat[[#This Row],[Code]],Locaties[#All],2,FALSE)</f>
        <v>Rembrandt College</v>
      </c>
      <c r="C72" s="24" t="str">
        <f>VLOOKUP(Ruimtestaat[[#This Row],[Code]],Locaties[#All],4,FALSE)</f>
        <v>Rembrandtlaan 2</v>
      </c>
      <c r="D72" s="24" t="str">
        <f>VLOOKUP(Ruimtestaat[[#This Row],[Code]],Locaties[#All],5,FALSE)</f>
        <v>3904 ZK</v>
      </c>
      <c r="E72" s="24" t="str">
        <f>VLOOKUP(Ruimtestaat[[#This Row],[Code]],Locaties[#All],6,FALSE)</f>
        <v>Veenendaal</v>
      </c>
      <c r="F72" s="66"/>
      <c r="G72" s="24" t="s">
        <v>466</v>
      </c>
      <c r="H72" s="24" t="s">
        <v>524</v>
      </c>
      <c r="I72" s="28" t="s">
        <v>529</v>
      </c>
      <c r="J72" s="4" t="s">
        <v>622</v>
      </c>
      <c r="K72" s="24">
        <v>16</v>
      </c>
      <c r="L72" s="66" t="str">
        <f>VLOOKUP(K72,Ruimtegroepen[],2,FALSE)</f>
        <v>Leslokalen theorie</v>
      </c>
      <c r="M72" s="24" t="s">
        <v>645</v>
      </c>
      <c r="N72" s="24" t="s">
        <v>384</v>
      </c>
      <c r="O72" s="92">
        <v>50.3</v>
      </c>
      <c r="P72" s="92"/>
      <c r="Q72" s="101" t="str">
        <f>LEFT(VLOOKUP(Ruimtestaat[[#This Row],[Ruimte code]],Ruimtegroepen[#All],4,1),2)</f>
        <v xml:space="preserve">L </v>
      </c>
      <c r="R72" s="92"/>
      <c r="S72" s="93">
        <v>40</v>
      </c>
      <c r="T72" s="93" t="s">
        <v>2</v>
      </c>
      <c r="U72" s="94">
        <f>IF(S72&gt;0,IF(RIGHT(Ruimtestaat[[#This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2" s="94">
        <f>IF(U72&gt;0,VLOOKUP($K72,Ruimtegroepen[],3,FALSE)*VLOOKUP($M72,Vloersoorten[],3,FALSE)*VLOOKUP($T72,Frequenties[],3,FALSE)*VLOOKUP($A72,Locaties[],3,FALSE),0)</f>
        <v>0</v>
      </c>
      <c r="W72" s="95">
        <f>Ruimtestaat[[#This Row],[Uitvoeringen werkdagen]]*Ruimtestaat[[#This Row],[Oppervlak (netto)]]</f>
        <v>10060</v>
      </c>
      <c r="X72" s="96">
        <f>IF(V72&gt;0,Ruimtestaat[[#This Row],[Prest. (m2 /jaar) werkdagen]]/Ruimtestaat[[#This Row],[Norm (m2/uur) werkdagen]],0)</f>
        <v>0</v>
      </c>
      <c r="Y72" s="97">
        <f>Ruimtestaat[[#This Row],[uren / jaar werkdagen]]*Tariefsopbouw!$E$35</f>
        <v>0</v>
      </c>
      <c r="Z72" s="94"/>
      <c r="AA72" s="98">
        <f>IF(Ruimtestaat[[#This Row],[Frequentie weekend]]&gt;0,VALUE(LEFT(Z72,1))*S72,0)</f>
        <v>0</v>
      </c>
      <c r="AB72" s="94">
        <f>IF($AA72&gt;0,VLOOKUP($K72,Ruimtegroepen[],3,FALSE)*VLOOKUP($M72,Vloersoorten[],3,FALSE)*VLOOKUP($Z72,Frequenties[],3,FALSE)*VLOOKUP($A68,Locaties[],3,FALSE),0)</f>
        <v>0</v>
      </c>
      <c r="AC72" s="96">
        <f>Ruimtestaat[[#This Row],[Uitvoeringen weekend]]*Ruimtestaat[[#This Row],[Oppervlak (netto)]]</f>
        <v>0</v>
      </c>
      <c r="AD72" s="99">
        <f>IF(AC72&gt;0,Ruimtestaat[[#This Row],[Prest. (m2 /jaar) weekend]]/Ruimtestaat[[#This Row],[Norm (m2/uur) weekend]],0)</f>
        <v>0</v>
      </c>
      <c r="AE72" s="100">
        <f>Ruimtestaat[[#This Row],[uren / jaar weekend]]*Tariefsopbouw!$D$40</f>
        <v>0</v>
      </c>
      <c r="AF72" s="72">
        <f>Ruimtestaat[[#This Row],[Prest. (m2 /jaar) weekend]]+Ruimtestaat[[#This Row],[Prest. (m2 /jaar) werkdagen]]</f>
        <v>10060</v>
      </c>
      <c r="AG72" s="72">
        <f>Ruimtestaat[[#This Row],[uren / jaar weekend]]+Ruimtestaat[[#This Row],[uren / jaar werkdagen]]</f>
        <v>0</v>
      </c>
      <c r="AH72" s="73">
        <f>Ruimtestaat[[#This Row],[kosten / jaar weekend]]+Ruimtestaat[[#This Row],[kosten / jaar werkdagen]]</f>
        <v>0</v>
      </c>
    </row>
    <row r="73" spans="1:34" ht="15" customHeight="1">
      <c r="A73" s="118">
        <v>1</v>
      </c>
      <c r="B73" s="24" t="str">
        <f>VLOOKUP(Ruimtestaat[[#This Row],[Code]],Locaties[#All],2,FALSE)</f>
        <v>Rembrandt College</v>
      </c>
      <c r="C73" s="24" t="str">
        <f>VLOOKUP(Ruimtestaat[[#This Row],[Code]],Locaties[#All],4,FALSE)</f>
        <v>Rembrandtlaan 2</v>
      </c>
      <c r="D73" s="24" t="str">
        <f>VLOOKUP(Ruimtestaat[[#This Row],[Code]],Locaties[#All],5,FALSE)</f>
        <v>3904 ZK</v>
      </c>
      <c r="E73" s="24" t="str">
        <f>VLOOKUP(Ruimtestaat[[#This Row],[Code]],Locaties[#All],6,FALSE)</f>
        <v>Veenendaal</v>
      </c>
      <c r="F73" s="66"/>
      <c r="G73" s="24" t="s">
        <v>466</v>
      </c>
      <c r="H73" s="24" t="s">
        <v>523</v>
      </c>
      <c r="I73" s="28" t="s">
        <v>530</v>
      </c>
      <c r="J73" s="4" t="s">
        <v>622</v>
      </c>
      <c r="K73" s="24">
        <v>16</v>
      </c>
      <c r="L73" s="66" t="str">
        <f>VLOOKUP(K73,Ruimtegroepen[],2,FALSE)</f>
        <v>Leslokalen theorie</v>
      </c>
      <c r="M73" s="24" t="s">
        <v>645</v>
      </c>
      <c r="N73" s="24" t="s">
        <v>384</v>
      </c>
      <c r="O73" s="92">
        <v>50</v>
      </c>
      <c r="P73" s="92"/>
      <c r="Q73" s="101" t="str">
        <f>LEFT(VLOOKUP(Ruimtestaat[[#This Row],[Ruimte code]],Ruimtegroepen[#All],4,1),2)</f>
        <v xml:space="preserve">L </v>
      </c>
      <c r="R73" s="92"/>
      <c r="S73" s="93">
        <v>40</v>
      </c>
      <c r="T73" s="93" t="s">
        <v>2</v>
      </c>
      <c r="U73" s="94">
        <f>IF(S73&gt;0,IF(RIGHT(Ruimtestaat[[#This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3" s="94">
        <f>IF(U73&gt;0,VLOOKUP($K73,Ruimtegroepen[],3,FALSE)*VLOOKUP($M73,Vloersoorten[],3,FALSE)*VLOOKUP($T73,Frequenties[],3,FALSE)*VLOOKUP($A73,Locaties[],3,FALSE),0)</f>
        <v>0</v>
      </c>
      <c r="W73" s="95">
        <f>Ruimtestaat[[#This Row],[Uitvoeringen werkdagen]]*Ruimtestaat[[#This Row],[Oppervlak (netto)]]</f>
        <v>10000</v>
      </c>
      <c r="X73" s="96">
        <f>IF(V73&gt;0,Ruimtestaat[[#This Row],[Prest. (m2 /jaar) werkdagen]]/Ruimtestaat[[#This Row],[Norm (m2/uur) werkdagen]],0)</f>
        <v>0</v>
      </c>
      <c r="Y73" s="97">
        <f>Ruimtestaat[[#This Row],[uren / jaar werkdagen]]*Tariefsopbouw!$E$35</f>
        <v>0</v>
      </c>
      <c r="Z73" s="94"/>
      <c r="AA73" s="98">
        <f>IF(Ruimtestaat[[#This Row],[Frequentie weekend]]&gt;0,VALUE(LEFT(Z73,1))*S73,0)</f>
        <v>0</v>
      </c>
      <c r="AB73" s="94">
        <f>IF($AA73&gt;0,VLOOKUP($K73,Ruimtegroepen[],3,FALSE)*VLOOKUP($M73,Vloersoorten[],3,FALSE)*VLOOKUP($Z73,Frequenties[],3,FALSE)*VLOOKUP($A69,Locaties[],3,FALSE),0)</f>
        <v>0</v>
      </c>
      <c r="AC73" s="96">
        <f>Ruimtestaat[[#This Row],[Uitvoeringen weekend]]*Ruimtestaat[[#This Row],[Oppervlak (netto)]]</f>
        <v>0</v>
      </c>
      <c r="AD73" s="99">
        <f>IF(AC73&gt;0,Ruimtestaat[[#This Row],[Prest. (m2 /jaar) weekend]]/Ruimtestaat[[#This Row],[Norm (m2/uur) weekend]],0)</f>
        <v>0</v>
      </c>
      <c r="AE73" s="100">
        <f>Ruimtestaat[[#This Row],[uren / jaar weekend]]*Tariefsopbouw!$D$40</f>
        <v>0</v>
      </c>
      <c r="AF73" s="72">
        <f>Ruimtestaat[[#This Row],[Prest. (m2 /jaar) weekend]]+Ruimtestaat[[#This Row],[Prest. (m2 /jaar) werkdagen]]</f>
        <v>10000</v>
      </c>
      <c r="AG73" s="72">
        <f>Ruimtestaat[[#This Row],[uren / jaar weekend]]+Ruimtestaat[[#This Row],[uren / jaar werkdagen]]</f>
        <v>0</v>
      </c>
      <c r="AH73" s="73">
        <f>Ruimtestaat[[#This Row],[kosten / jaar weekend]]+Ruimtestaat[[#This Row],[kosten / jaar werkdagen]]</f>
        <v>0</v>
      </c>
    </row>
    <row r="74" spans="1:34" ht="15" customHeight="1">
      <c r="A74" s="118">
        <v>1</v>
      </c>
      <c r="B74" s="24" t="str">
        <f>VLOOKUP(Ruimtestaat[[#This Row],[Code]],Locaties[#All],2,FALSE)</f>
        <v>Rembrandt College</v>
      </c>
      <c r="C74" s="24" t="str">
        <f>VLOOKUP(Ruimtestaat[[#This Row],[Code]],Locaties[#All],4,FALSE)</f>
        <v>Rembrandtlaan 2</v>
      </c>
      <c r="D74" s="24" t="str">
        <f>VLOOKUP(Ruimtestaat[[#This Row],[Code]],Locaties[#All],5,FALSE)</f>
        <v>3904 ZK</v>
      </c>
      <c r="E74" s="24" t="str">
        <f>VLOOKUP(Ruimtestaat[[#This Row],[Code]],Locaties[#All],6,FALSE)</f>
        <v>Veenendaal</v>
      </c>
      <c r="F74" s="66"/>
      <c r="G74" s="24" t="s">
        <v>466</v>
      </c>
      <c r="H74" s="24" t="s">
        <v>522</v>
      </c>
      <c r="I74" s="28" t="s">
        <v>531</v>
      </c>
      <c r="J74" s="4" t="s">
        <v>624</v>
      </c>
      <c r="K74" s="24">
        <v>2</v>
      </c>
      <c r="L74" s="66" t="str">
        <f>VLOOKUP(K74,Ruimtegroepen[],2,FALSE)</f>
        <v>Kantoren</v>
      </c>
      <c r="M74" s="24" t="s">
        <v>645</v>
      </c>
      <c r="N74" s="24" t="s">
        <v>384</v>
      </c>
      <c r="O74" s="92">
        <v>21.5</v>
      </c>
      <c r="P74" s="92"/>
      <c r="Q74" s="101" t="str">
        <f>LEFT(VLOOKUP(Ruimtestaat[[#This Row],[Ruimte code]],Ruimtegroepen[#All],4,1),2)</f>
        <v xml:space="preserve">B </v>
      </c>
      <c r="R74" s="92"/>
      <c r="S74" s="93">
        <v>40</v>
      </c>
      <c r="T74" s="93" t="s">
        <v>18</v>
      </c>
      <c r="U74" s="94">
        <f>IF(S74&gt;0,IF(RIGHT(Ruimtestaat[[#This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74" s="94">
        <f>IF(U74&gt;0,VLOOKUP($K74,Ruimtegroepen[],3,FALSE)*VLOOKUP($M74,Vloersoorten[],3,FALSE)*VLOOKUP($T74,Frequenties[],3,FALSE)*VLOOKUP($A74,Locaties[],3,FALSE),0)</f>
        <v>0</v>
      </c>
      <c r="W74" s="95">
        <f>Ruimtestaat[[#This Row],[Uitvoeringen werkdagen]]*Ruimtestaat[[#This Row],[Oppervlak (netto)]]</f>
        <v>2580</v>
      </c>
      <c r="X74" s="96">
        <f>IF(V74&gt;0,Ruimtestaat[[#This Row],[Prest. (m2 /jaar) werkdagen]]/Ruimtestaat[[#This Row],[Norm (m2/uur) werkdagen]],0)</f>
        <v>0</v>
      </c>
      <c r="Y74" s="97">
        <f>Ruimtestaat[[#This Row],[uren / jaar werkdagen]]*Tariefsopbouw!$E$35</f>
        <v>0</v>
      </c>
      <c r="Z74" s="94"/>
      <c r="AA74" s="98">
        <f>IF(Ruimtestaat[[#This Row],[Frequentie weekend]]&gt;0,VALUE(LEFT(Z74,1))*S74,0)</f>
        <v>0</v>
      </c>
      <c r="AB74" s="94">
        <f>IF($AA74&gt;0,VLOOKUP($K74,Ruimtegroepen[],3,FALSE)*VLOOKUP($M74,Vloersoorten[],3,FALSE)*VLOOKUP($Z74,Frequenties[],3,FALSE)*VLOOKUP($A70,Locaties[],3,FALSE),0)</f>
        <v>0</v>
      </c>
      <c r="AC74" s="96">
        <f>Ruimtestaat[[#This Row],[Uitvoeringen weekend]]*Ruimtestaat[[#This Row],[Oppervlak (netto)]]</f>
        <v>0</v>
      </c>
      <c r="AD74" s="99">
        <f>IF(AC74&gt;0,Ruimtestaat[[#This Row],[Prest. (m2 /jaar) weekend]]/Ruimtestaat[[#This Row],[Norm (m2/uur) weekend]],0)</f>
        <v>0</v>
      </c>
      <c r="AE74" s="100">
        <f>Ruimtestaat[[#This Row],[uren / jaar weekend]]*Tariefsopbouw!$D$40</f>
        <v>0</v>
      </c>
      <c r="AF74" s="72">
        <f>Ruimtestaat[[#This Row],[Prest. (m2 /jaar) weekend]]+Ruimtestaat[[#This Row],[Prest. (m2 /jaar) werkdagen]]</f>
        <v>2580</v>
      </c>
      <c r="AG74" s="72">
        <f>Ruimtestaat[[#This Row],[uren / jaar weekend]]+Ruimtestaat[[#This Row],[uren / jaar werkdagen]]</f>
        <v>0</v>
      </c>
      <c r="AH74" s="73">
        <f>Ruimtestaat[[#This Row],[kosten / jaar weekend]]+Ruimtestaat[[#This Row],[kosten / jaar werkdagen]]</f>
        <v>0</v>
      </c>
    </row>
    <row r="75" spans="1:34" ht="15" customHeight="1">
      <c r="A75" s="118">
        <v>1</v>
      </c>
      <c r="B75" s="24" t="str">
        <f>VLOOKUP(Ruimtestaat[[#This Row],[Code]],Locaties[#All],2,FALSE)</f>
        <v>Rembrandt College</v>
      </c>
      <c r="C75" s="24" t="str">
        <f>VLOOKUP(Ruimtestaat[[#This Row],[Code]],Locaties[#All],4,FALSE)</f>
        <v>Rembrandtlaan 2</v>
      </c>
      <c r="D75" s="24" t="str">
        <f>VLOOKUP(Ruimtestaat[[#This Row],[Code]],Locaties[#All],5,FALSE)</f>
        <v>3904 ZK</v>
      </c>
      <c r="E75" s="24" t="str">
        <f>VLOOKUP(Ruimtestaat[[#This Row],[Code]],Locaties[#All],6,FALSE)</f>
        <v>Veenendaal</v>
      </c>
      <c r="F75" s="66"/>
      <c r="G75" s="24" t="s">
        <v>466</v>
      </c>
      <c r="H75" s="24" t="s">
        <v>521</v>
      </c>
      <c r="I75" s="28"/>
      <c r="J75" s="4" t="s">
        <v>625</v>
      </c>
      <c r="K75" s="24">
        <v>2</v>
      </c>
      <c r="L75" s="66" t="str">
        <f>VLOOKUP(K75,Ruimtegroepen[],2,FALSE)</f>
        <v>Kantoren</v>
      </c>
      <c r="M75" s="24" t="s">
        <v>645</v>
      </c>
      <c r="N75" s="24" t="s">
        <v>384</v>
      </c>
      <c r="O75" s="92">
        <v>21.5</v>
      </c>
      <c r="P75" s="92"/>
      <c r="Q75" s="101" t="str">
        <f>LEFT(VLOOKUP(Ruimtestaat[[#This Row],[Ruimte code]],Ruimtegroepen[#All],4,1),2)</f>
        <v xml:space="preserve">B </v>
      </c>
      <c r="R75" s="92"/>
      <c r="S75" s="93">
        <v>40</v>
      </c>
      <c r="T75" s="93" t="s">
        <v>18</v>
      </c>
      <c r="U75" s="94">
        <f>IF(S75&gt;0,IF(RIGHT(Ruimtestaat[[#This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75" s="94">
        <f>IF(U75&gt;0,VLOOKUP($K75,Ruimtegroepen[],3,FALSE)*VLOOKUP($M75,Vloersoorten[],3,FALSE)*VLOOKUP($T75,Frequenties[],3,FALSE)*VLOOKUP($A75,Locaties[],3,FALSE),0)</f>
        <v>0</v>
      </c>
      <c r="W75" s="95">
        <f>Ruimtestaat[[#This Row],[Uitvoeringen werkdagen]]*Ruimtestaat[[#This Row],[Oppervlak (netto)]]</f>
        <v>2580</v>
      </c>
      <c r="X75" s="96">
        <f>IF(V75&gt;0,Ruimtestaat[[#This Row],[Prest. (m2 /jaar) werkdagen]]/Ruimtestaat[[#This Row],[Norm (m2/uur) werkdagen]],0)</f>
        <v>0</v>
      </c>
      <c r="Y75" s="97">
        <f>Ruimtestaat[[#This Row],[uren / jaar werkdagen]]*Tariefsopbouw!$E$35</f>
        <v>0</v>
      </c>
      <c r="Z75" s="94"/>
      <c r="AA75" s="98">
        <f>IF(Ruimtestaat[[#This Row],[Frequentie weekend]]&gt;0,VALUE(LEFT(Z75,1))*S75,0)</f>
        <v>0</v>
      </c>
      <c r="AB75" s="94">
        <f>IF($AA75&gt;0,VLOOKUP($K75,Ruimtegroepen[],3,FALSE)*VLOOKUP($M75,Vloersoorten[],3,FALSE)*VLOOKUP($Z75,Frequenties[],3,FALSE)*VLOOKUP($A71,Locaties[],3,FALSE),0)</f>
        <v>0</v>
      </c>
      <c r="AC75" s="96">
        <f>Ruimtestaat[[#This Row],[Uitvoeringen weekend]]*Ruimtestaat[[#This Row],[Oppervlak (netto)]]</f>
        <v>0</v>
      </c>
      <c r="AD75" s="99">
        <f>IF(AC75&gt;0,Ruimtestaat[[#This Row],[Prest. (m2 /jaar) weekend]]/Ruimtestaat[[#This Row],[Norm (m2/uur) weekend]],0)</f>
        <v>0</v>
      </c>
      <c r="AE75" s="100">
        <f>Ruimtestaat[[#This Row],[uren / jaar weekend]]*Tariefsopbouw!$D$40</f>
        <v>0</v>
      </c>
      <c r="AF75" s="72">
        <f>Ruimtestaat[[#This Row],[Prest. (m2 /jaar) weekend]]+Ruimtestaat[[#This Row],[Prest. (m2 /jaar) werkdagen]]</f>
        <v>2580</v>
      </c>
      <c r="AG75" s="72">
        <f>Ruimtestaat[[#This Row],[uren / jaar weekend]]+Ruimtestaat[[#This Row],[uren / jaar werkdagen]]</f>
        <v>0</v>
      </c>
      <c r="AH75" s="73">
        <f>Ruimtestaat[[#This Row],[kosten / jaar weekend]]+Ruimtestaat[[#This Row],[kosten / jaar werkdagen]]</f>
        <v>0</v>
      </c>
    </row>
    <row r="76" spans="1:34" ht="15" customHeight="1">
      <c r="A76" s="118">
        <v>1</v>
      </c>
      <c r="B76" s="24" t="str">
        <f>VLOOKUP(Ruimtestaat[[#This Row],[Code]],Locaties[#All],2,FALSE)</f>
        <v>Rembrandt College</v>
      </c>
      <c r="C76" s="24" t="str">
        <f>VLOOKUP(Ruimtestaat[[#This Row],[Code]],Locaties[#All],4,FALSE)</f>
        <v>Rembrandtlaan 2</v>
      </c>
      <c r="D76" s="24" t="str">
        <f>VLOOKUP(Ruimtestaat[[#This Row],[Code]],Locaties[#All],5,FALSE)</f>
        <v>3904 ZK</v>
      </c>
      <c r="E76" s="24" t="str">
        <f>VLOOKUP(Ruimtestaat[[#This Row],[Code]],Locaties[#All],6,FALSE)</f>
        <v>Veenendaal</v>
      </c>
      <c r="F76" s="66"/>
      <c r="G76" s="24" t="s">
        <v>466</v>
      </c>
      <c r="H76" s="24" t="s">
        <v>520</v>
      </c>
      <c r="I76" s="28" t="s">
        <v>532</v>
      </c>
      <c r="J76" s="4" t="s">
        <v>626</v>
      </c>
      <c r="K76" s="24">
        <v>16</v>
      </c>
      <c r="L76" s="66" t="str">
        <f>VLOOKUP(K76,Ruimtegroepen[],2,FALSE)</f>
        <v>Leslokalen theorie</v>
      </c>
      <c r="M76" s="24" t="s">
        <v>645</v>
      </c>
      <c r="N76" s="24" t="s">
        <v>384</v>
      </c>
      <c r="O76" s="92">
        <v>185</v>
      </c>
      <c r="P76" s="92"/>
      <c r="Q76" s="101" t="str">
        <f>LEFT(VLOOKUP(Ruimtestaat[[#This Row],[Ruimte code]],Ruimtegroepen[#All],4,1),2)</f>
        <v xml:space="preserve">L </v>
      </c>
      <c r="R76" s="92"/>
      <c r="S76" s="93">
        <v>40</v>
      </c>
      <c r="T76" s="93" t="s">
        <v>2</v>
      </c>
      <c r="U76" s="94">
        <f>IF(S76&gt;0,IF(RIGHT(Ruimtestaat[[#This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6" s="94">
        <f>IF(U76&gt;0,VLOOKUP($K76,Ruimtegroepen[],3,FALSE)*VLOOKUP($M76,Vloersoorten[],3,FALSE)*VLOOKUP($T76,Frequenties[],3,FALSE)*VLOOKUP($A76,Locaties[],3,FALSE),0)</f>
        <v>0</v>
      </c>
      <c r="W76" s="95">
        <f>Ruimtestaat[[#This Row],[Uitvoeringen werkdagen]]*Ruimtestaat[[#This Row],[Oppervlak (netto)]]</f>
        <v>37000</v>
      </c>
      <c r="X76" s="96">
        <f>IF(V76&gt;0,Ruimtestaat[[#This Row],[Prest. (m2 /jaar) werkdagen]]/Ruimtestaat[[#This Row],[Norm (m2/uur) werkdagen]],0)</f>
        <v>0</v>
      </c>
      <c r="Y76" s="97">
        <f>Ruimtestaat[[#This Row],[uren / jaar werkdagen]]*Tariefsopbouw!$E$35</f>
        <v>0</v>
      </c>
      <c r="Z76" s="94"/>
      <c r="AA76" s="98">
        <f>IF(Ruimtestaat[[#This Row],[Frequentie weekend]]&gt;0,VALUE(LEFT(Z76,1))*S76,0)</f>
        <v>0</v>
      </c>
      <c r="AB76" s="94">
        <f>IF($AA76&gt;0,VLOOKUP($K76,Ruimtegroepen[],3,FALSE)*VLOOKUP($M76,Vloersoorten[],3,FALSE)*VLOOKUP($Z76,Frequenties[],3,FALSE)*VLOOKUP($A72,Locaties[],3,FALSE),0)</f>
        <v>0</v>
      </c>
      <c r="AC76" s="96">
        <f>Ruimtestaat[[#This Row],[Uitvoeringen weekend]]*Ruimtestaat[[#This Row],[Oppervlak (netto)]]</f>
        <v>0</v>
      </c>
      <c r="AD76" s="99">
        <f>IF(AC76&gt;0,Ruimtestaat[[#This Row],[Prest. (m2 /jaar) weekend]]/Ruimtestaat[[#This Row],[Norm (m2/uur) weekend]],0)</f>
        <v>0</v>
      </c>
      <c r="AE76" s="100">
        <f>Ruimtestaat[[#This Row],[uren / jaar weekend]]*Tariefsopbouw!$D$40</f>
        <v>0</v>
      </c>
      <c r="AF76" s="72">
        <f>Ruimtestaat[[#This Row],[Prest. (m2 /jaar) weekend]]+Ruimtestaat[[#This Row],[Prest. (m2 /jaar) werkdagen]]</f>
        <v>37000</v>
      </c>
      <c r="AG76" s="72">
        <f>Ruimtestaat[[#This Row],[uren / jaar weekend]]+Ruimtestaat[[#This Row],[uren / jaar werkdagen]]</f>
        <v>0</v>
      </c>
      <c r="AH76" s="73">
        <f>Ruimtestaat[[#This Row],[kosten / jaar weekend]]+Ruimtestaat[[#This Row],[kosten / jaar werkdagen]]</f>
        <v>0</v>
      </c>
    </row>
    <row r="77" spans="1:34" ht="15" customHeight="1">
      <c r="A77" s="118">
        <v>1</v>
      </c>
      <c r="B77" s="24" t="str">
        <f>VLOOKUP(Ruimtestaat[[#This Row],[Code]],Locaties[#All],2,FALSE)</f>
        <v>Rembrandt College</v>
      </c>
      <c r="C77" s="24" t="str">
        <f>VLOOKUP(Ruimtestaat[[#This Row],[Code]],Locaties[#All],4,FALSE)</f>
        <v>Rembrandtlaan 2</v>
      </c>
      <c r="D77" s="24" t="str">
        <f>VLOOKUP(Ruimtestaat[[#This Row],[Code]],Locaties[#All],5,FALSE)</f>
        <v>3904 ZK</v>
      </c>
      <c r="E77" s="24" t="str">
        <f>VLOOKUP(Ruimtestaat[[#This Row],[Code]],Locaties[#All],6,FALSE)</f>
        <v>Veenendaal</v>
      </c>
      <c r="F77" s="66"/>
      <c r="G77" s="24" t="s">
        <v>466</v>
      </c>
      <c r="H77" s="24" t="s">
        <v>519</v>
      </c>
      <c r="I77" s="28" t="s">
        <v>533</v>
      </c>
      <c r="J77" s="4" t="s">
        <v>622</v>
      </c>
      <c r="K77" s="24">
        <v>16</v>
      </c>
      <c r="L77" s="66" t="str">
        <f>VLOOKUP(K77,Ruimtegroepen[],2,FALSE)</f>
        <v>Leslokalen theorie</v>
      </c>
      <c r="M77" s="24" t="s">
        <v>645</v>
      </c>
      <c r="N77" s="24" t="s">
        <v>384</v>
      </c>
      <c r="O77" s="92">
        <v>60.3</v>
      </c>
      <c r="P77" s="92"/>
      <c r="Q77" s="101" t="str">
        <f>LEFT(VLOOKUP(Ruimtestaat[[#This Row],[Ruimte code]],Ruimtegroepen[#All],4,1),2)</f>
        <v xml:space="preserve">L </v>
      </c>
      <c r="R77" s="92"/>
      <c r="S77" s="93">
        <v>40</v>
      </c>
      <c r="T77" s="93" t="s">
        <v>2</v>
      </c>
      <c r="U77" s="94">
        <f>IF(S77&gt;0,IF(RIGHT(Ruimtestaat[[#This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7" s="94">
        <f>IF(U77&gt;0,VLOOKUP($K77,Ruimtegroepen[],3,FALSE)*VLOOKUP($M77,Vloersoorten[],3,FALSE)*VLOOKUP($T77,Frequenties[],3,FALSE)*VLOOKUP($A77,Locaties[],3,FALSE),0)</f>
        <v>0</v>
      </c>
      <c r="W77" s="95">
        <f>Ruimtestaat[[#This Row],[Uitvoeringen werkdagen]]*Ruimtestaat[[#This Row],[Oppervlak (netto)]]</f>
        <v>12060</v>
      </c>
      <c r="X77" s="96">
        <f>IF(V77&gt;0,Ruimtestaat[[#This Row],[Prest. (m2 /jaar) werkdagen]]/Ruimtestaat[[#This Row],[Norm (m2/uur) werkdagen]],0)</f>
        <v>0</v>
      </c>
      <c r="Y77" s="97">
        <f>Ruimtestaat[[#This Row],[uren / jaar werkdagen]]*Tariefsopbouw!$E$35</f>
        <v>0</v>
      </c>
      <c r="Z77" s="94"/>
      <c r="AA77" s="98">
        <f>IF(Ruimtestaat[[#This Row],[Frequentie weekend]]&gt;0,VALUE(LEFT(Z77,1))*S77,0)</f>
        <v>0</v>
      </c>
      <c r="AB77" s="94">
        <f>IF($AA77&gt;0,VLOOKUP($K77,Ruimtegroepen[],3,FALSE)*VLOOKUP($M77,Vloersoorten[],3,FALSE)*VLOOKUP($Z77,Frequenties[],3,FALSE)*VLOOKUP($A73,Locaties[],3,FALSE),0)</f>
        <v>0</v>
      </c>
      <c r="AC77" s="96">
        <f>Ruimtestaat[[#This Row],[Uitvoeringen weekend]]*Ruimtestaat[[#This Row],[Oppervlak (netto)]]</f>
        <v>0</v>
      </c>
      <c r="AD77" s="99">
        <f>IF(AC77&gt;0,Ruimtestaat[[#This Row],[Prest. (m2 /jaar) weekend]]/Ruimtestaat[[#This Row],[Norm (m2/uur) weekend]],0)</f>
        <v>0</v>
      </c>
      <c r="AE77" s="100">
        <f>Ruimtestaat[[#This Row],[uren / jaar weekend]]*Tariefsopbouw!$D$40</f>
        <v>0</v>
      </c>
      <c r="AF77" s="72">
        <f>Ruimtestaat[[#This Row],[Prest. (m2 /jaar) weekend]]+Ruimtestaat[[#This Row],[Prest. (m2 /jaar) werkdagen]]</f>
        <v>12060</v>
      </c>
      <c r="AG77" s="72">
        <f>Ruimtestaat[[#This Row],[uren / jaar weekend]]+Ruimtestaat[[#This Row],[uren / jaar werkdagen]]</f>
        <v>0</v>
      </c>
      <c r="AH77" s="73">
        <f>Ruimtestaat[[#This Row],[kosten / jaar weekend]]+Ruimtestaat[[#This Row],[kosten / jaar werkdagen]]</f>
        <v>0</v>
      </c>
    </row>
    <row r="78" spans="1:34" ht="15" customHeight="1">
      <c r="A78" s="118">
        <v>1</v>
      </c>
      <c r="B78" s="24" t="str">
        <f>VLOOKUP(Ruimtestaat[[#This Row],[Code]],Locaties[#All],2,FALSE)</f>
        <v>Rembrandt College</v>
      </c>
      <c r="C78" s="24" t="str">
        <f>VLOOKUP(Ruimtestaat[[#This Row],[Code]],Locaties[#All],4,FALSE)</f>
        <v>Rembrandtlaan 2</v>
      </c>
      <c r="D78" s="24" t="str">
        <f>VLOOKUP(Ruimtestaat[[#This Row],[Code]],Locaties[#All],5,FALSE)</f>
        <v>3904 ZK</v>
      </c>
      <c r="E78" s="24" t="str">
        <f>VLOOKUP(Ruimtestaat[[#This Row],[Code]],Locaties[#All],6,FALSE)</f>
        <v>Veenendaal</v>
      </c>
      <c r="F78" s="66"/>
      <c r="G78" s="24" t="s">
        <v>466</v>
      </c>
      <c r="H78" s="24" t="s">
        <v>518</v>
      </c>
      <c r="I78" s="24" t="s">
        <v>534</v>
      </c>
      <c r="J78" s="4" t="s">
        <v>622</v>
      </c>
      <c r="K78" s="24">
        <v>16</v>
      </c>
      <c r="L78" s="66" t="str">
        <f>VLOOKUP(K78,Ruimtegroepen[],2,FALSE)</f>
        <v>Leslokalen theorie</v>
      </c>
      <c r="M78" s="24" t="s">
        <v>645</v>
      </c>
      <c r="N78" s="24" t="s">
        <v>384</v>
      </c>
      <c r="O78" s="102">
        <v>50.25</v>
      </c>
      <c r="P78" s="92"/>
      <c r="Q78" s="101" t="str">
        <f>LEFT(VLOOKUP(Ruimtestaat[[#This Row],[Ruimte code]],Ruimtegroepen[#All],4,1),2)</f>
        <v xml:space="preserve">L </v>
      </c>
      <c r="R78" s="92"/>
      <c r="S78" s="93">
        <v>40</v>
      </c>
      <c r="T78" s="93" t="s">
        <v>2</v>
      </c>
      <c r="U78" s="94">
        <f>IF(S78&gt;0,IF(RIGHT(Ruimtestaat[[#This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8" s="94">
        <f>IF(U78&gt;0,VLOOKUP($K78,Ruimtegroepen[],3,FALSE)*VLOOKUP($M78,Vloersoorten[],3,FALSE)*VLOOKUP($T78,Frequenties[],3,FALSE)*VLOOKUP($A78,Locaties[],3,FALSE),0)</f>
        <v>0</v>
      </c>
      <c r="W78" s="95">
        <f>Ruimtestaat[[#This Row],[Uitvoeringen werkdagen]]*Ruimtestaat[[#This Row],[Oppervlak (netto)]]</f>
        <v>10050</v>
      </c>
      <c r="X78" s="96">
        <f>IF(V78&gt;0,Ruimtestaat[[#This Row],[Prest. (m2 /jaar) werkdagen]]/Ruimtestaat[[#This Row],[Norm (m2/uur) werkdagen]],0)</f>
        <v>0</v>
      </c>
      <c r="Y78" s="97">
        <f>Ruimtestaat[[#This Row],[uren / jaar werkdagen]]*Tariefsopbouw!$E$35</f>
        <v>0</v>
      </c>
      <c r="Z78" s="94"/>
      <c r="AA78" s="98">
        <f>IF(Ruimtestaat[[#This Row],[Frequentie weekend]]&gt;0,VALUE(LEFT(Z78,1))*S78,0)</f>
        <v>0</v>
      </c>
      <c r="AB78" s="94">
        <f>IF($AA78&gt;0,VLOOKUP($K78,Ruimtegroepen[],3,FALSE)*VLOOKUP($M78,Vloersoorten[],3,FALSE)*VLOOKUP($Z78,Frequenties[],3,FALSE)*VLOOKUP($A74,Locaties[],3,FALSE),0)</f>
        <v>0</v>
      </c>
      <c r="AC78" s="96">
        <f>Ruimtestaat[[#This Row],[Uitvoeringen weekend]]*Ruimtestaat[[#This Row],[Oppervlak (netto)]]</f>
        <v>0</v>
      </c>
      <c r="AD78" s="99">
        <f>IF(AC78&gt;0,Ruimtestaat[[#This Row],[Prest. (m2 /jaar) weekend]]/Ruimtestaat[[#This Row],[Norm (m2/uur) weekend]],0)</f>
        <v>0</v>
      </c>
      <c r="AE78" s="100">
        <f>Ruimtestaat[[#This Row],[uren / jaar weekend]]*Tariefsopbouw!$D$40</f>
        <v>0</v>
      </c>
      <c r="AF78" s="72">
        <f>Ruimtestaat[[#This Row],[Prest. (m2 /jaar) weekend]]+Ruimtestaat[[#This Row],[Prest. (m2 /jaar) werkdagen]]</f>
        <v>10050</v>
      </c>
      <c r="AG78" s="72">
        <f>Ruimtestaat[[#This Row],[uren / jaar weekend]]+Ruimtestaat[[#This Row],[uren / jaar werkdagen]]</f>
        <v>0</v>
      </c>
      <c r="AH78" s="73">
        <f>Ruimtestaat[[#This Row],[kosten / jaar weekend]]+Ruimtestaat[[#This Row],[kosten / jaar werkdagen]]</f>
        <v>0</v>
      </c>
    </row>
    <row r="79" spans="1:34" ht="15" customHeight="1">
      <c r="A79" s="118">
        <v>1</v>
      </c>
      <c r="B79" s="24" t="str">
        <f>VLOOKUP(Ruimtestaat[[#This Row],[Code]],Locaties[#All],2,FALSE)</f>
        <v>Rembrandt College</v>
      </c>
      <c r="C79" s="24" t="str">
        <f>VLOOKUP(Ruimtestaat[[#This Row],[Code]],Locaties[#All],4,FALSE)</f>
        <v>Rembrandtlaan 2</v>
      </c>
      <c r="D79" s="24" t="str">
        <f>VLOOKUP(Ruimtestaat[[#This Row],[Code]],Locaties[#All],5,FALSE)</f>
        <v>3904 ZK</v>
      </c>
      <c r="E79" s="24" t="str">
        <f>VLOOKUP(Ruimtestaat[[#This Row],[Code]],Locaties[#All],6,FALSE)</f>
        <v>Veenendaal</v>
      </c>
      <c r="F79" s="66"/>
      <c r="G79" s="24" t="s">
        <v>466</v>
      </c>
      <c r="H79" s="24" t="s">
        <v>516</v>
      </c>
      <c r="I79" s="28" t="s">
        <v>535</v>
      </c>
      <c r="J79" s="4" t="s">
        <v>627</v>
      </c>
      <c r="K79" s="24">
        <v>1</v>
      </c>
      <c r="L79" s="66" t="str">
        <f>VLOOKUP(K79,Ruimtegroepen[],2,FALSE)</f>
        <v>Magazijnen/bergingen</v>
      </c>
      <c r="M79" s="24" t="s">
        <v>645</v>
      </c>
      <c r="N79" s="24" t="s">
        <v>384</v>
      </c>
      <c r="O79" s="102">
        <v>30</v>
      </c>
      <c r="P79" s="92"/>
      <c r="Q79" s="101" t="str">
        <f>LEFT(VLOOKUP(Ruimtestaat[[#This Row],[Ruimte code]],Ruimtegroepen[#All],4,1),2)</f>
        <v xml:space="preserve">V </v>
      </c>
      <c r="R79" s="92"/>
      <c r="S79" s="93">
        <v>40</v>
      </c>
      <c r="T79" s="93" t="s">
        <v>2</v>
      </c>
      <c r="U79" s="94">
        <f>IF(S79&gt;0,IF(RIGHT(Ruimtestaat[[#This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9" s="94">
        <f>IF(U79&gt;0,VLOOKUP($K79,Ruimtegroepen[],3,FALSE)*VLOOKUP($M79,Vloersoorten[],3,FALSE)*VLOOKUP($T79,Frequenties[],3,FALSE)*VLOOKUP($A79,Locaties[],3,FALSE),0)</f>
        <v>0</v>
      </c>
      <c r="W79" s="95">
        <f>Ruimtestaat[[#This Row],[Uitvoeringen werkdagen]]*Ruimtestaat[[#This Row],[Oppervlak (netto)]]</f>
        <v>6000</v>
      </c>
      <c r="X79" s="96">
        <f>IF(V79&gt;0,Ruimtestaat[[#This Row],[Prest. (m2 /jaar) werkdagen]]/Ruimtestaat[[#This Row],[Norm (m2/uur) werkdagen]],0)</f>
        <v>0</v>
      </c>
      <c r="Y79" s="97">
        <f>Ruimtestaat[[#This Row],[uren / jaar werkdagen]]*Tariefsopbouw!$E$35</f>
        <v>0</v>
      </c>
      <c r="Z79" s="94"/>
      <c r="AA79" s="98">
        <f>IF(Ruimtestaat[[#This Row],[Frequentie weekend]]&gt;0,VALUE(LEFT(Z79,1))*S79,0)</f>
        <v>0</v>
      </c>
      <c r="AB79" s="94">
        <f>IF($AA79&gt;0,VLOOKUP($K79,Ruimtegroepen[],3,FALSE)*VLOOKUP($M79,Vloersoorten[],3,FALSE)*VLOOKUP($Z79,Frequenties[],3,FALSE)*VLOOKUP($A75,Locaties[],3,FALSE),0)</f>
        <v>0</v>
      </c>
      <c r="AC79" s="96">
        <f>Ruimtestaat[[#This Row],[Uitvoeringen weekend]]*Ruimtestaat[[#This Row],[Oppervlak (netto)]]</f>
        <v>0</v>
      </c>
      <c r="AD79" s="99">
        <f>IF(AC79&gt;0,Ruimtestaat[[#This Row],[Prest. (m2 /jaar) weekend]]/Ruimtestaat[[#This Row],[Norm (m2/uur) weekend]],0)</f>
        <v>0</v>
      </c>
      <c r="AE79" s="100">
        <f>Ruimtestaat[[#This Row],[uren / jaar weekend]]*Tariefsopbouw!$D$40</f>
        <v>0</v>
      </c>
      <c r="AF79" s="72">
        <f>Ruimtestaat[[#This Row],[Prest. (m2 /jaar) weekend]]+Ruimtestaat[[#This Row],[Prest. (m2 /jaar) werkdagen]]</f>
        <v>6000</v>
      </c>
      <c r="AG79" s="72">
        <f>Ruimtestaat[[#This Row],[uren / jaar weekend]]+Ruimtestaat[[#This Row],[uren / jaar werkdagen]]</f>
        <v>0</v>
      </c>
      <c r="AH79" s="73">
        <f>Ruimtestaat[[#This Row],[kosten / jaar weekend]]+Ruimtestaat[[#This Row],[kosten / jaar werkdagen]]</f>
        <v>0</v>
      </c>
    </row>
    <row r="80" spans="1:34" ht="15" customHeight="1">
      <c r="A80" s="118">
        <v>1</v>
      </c>
      <c r="B80" s="24" t="str">
        <f>VLOOKUP(Ruimtestaat[[#This Row],[Code]],Locaties[#All],2,FALSE)</f>
        <v>Rembrandt College</v>
      </c>
      <c r="C80" s="24" t="str">
        <f>VLOOKUP(Ruimtestaat[[#This Row],[Code]],Locaties[#All],4,FALSE)</f>
        <v>Rembrandtlaan 2</v>
      </c>
      <c r="D80" s="24" t="str">
        <f>VLOOKUP(Ruimtestaat[[#This Row],[Code]],Locaties[#All],5,FALSE)</f>
        <v>3904 ZK</v>
      </c>
      <c r="E80" s="24" t="str">
        <f>VLOOKUP(Ruimtestaat[[#This Row],[Code]],Locaties[#All],6,FALSE)</f>
        <v>Veenendaal</v>
      </c>
      <c r="F80" s="66"/>
      <c r="G80" s="24" t="s">
        <v>466</v>
      </c>
      <c r="H80" s="24" t="s">
        <v>515</v>
      </c>
      <c r="I80" s="28" t="s">
        <v>536</v>
      </c>
      <c r="J80" s="4" t="s">
        <v>628</v>
      </c>
      <c r="K80" s="24">
        <v>16</v>
      </c>
      <c r="L80" s="66" t="str">
        <f>VLOOKUP(K80,Ruimtegroepen[],2,FALSE)</f>
        <v>Leslokalen theorie</v>
      </c>
      <c r="M80" s="24" t="s">
        <v>645</v>
      </c>
      <c r="N80" s="24" t="s">
        <v>384</v>
      </c>
      <c r="O80" s="102">
        <v>50.25</v>
      </c>
      <c r="P80" s="92"/>
      <c r="Q80" s="101" t="str">
        <f>LEFT(VLOOKUP(Ruimtestaat[[#This Row],[Ruimte code]],Ruimtegroepen[#All],4,1),2)</f>
        <v xml:space="preserve">L </v>
      </c>
      <c r="R80" s="92"/>
      <c r="S80" s="93">
        <v>40</v>
      </c>
      <c r="T80" s="93" t="s">
        <v>2</v>
      </c>
      <c r="U80" s="94">
        <f>IF(S80&gt;0,IF(RIGHT(Ruimtestaat[[#This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0" s="94">
        <f>IF(U80&gt;0,VLOOKUP($K80,Ruimtegroepen[],3,FALSE)*VLOOKUP($M80,Vloersoorten[],3,FALSE)*VLOOKUP($T80,Frequenties[],3,FALSE)*VLOOKUP($A80,Locaties[],3,FALSE),0)</f>
        <v>0</v>
      </c>
      <c r="W80" s="95">
        <f>Ruimtestaat[[#This Row],[Uitvoeringen werkdagen]]*Ruimtestaat[[#This Row],[Oppervlak (netto)]]</f>
        <v>10050</v>
      </c>
      <c r="X80" s="96">
        <f>IF(V80&gt;0,Ruimtestaat[[#This Row],[Prest. (m2 /jaar) werkdagen]]/Ruimtestaat[[#This Row],[Norm (m2/uur) werkdagen]],0)</f>
        <v>0</v>
      </c>
      <c r="Y80" s="97">
        <f>Ruimtestaat[[#This Row],[uren / jaar werkdagen]]*Tariefsopbouw!$E$35</f>
        <v>0</v>
      </c>
      <c r="Z80" s="94"/>
      <c r="AA80" s="98">
        <f>IF(Ruimtestaat[[#This Row],[Frequentie weekend]]&gt;0,VALUE(LEFT(Z80,1))*S80,0)</f>
        <v>0</v>
      </c>
      <c r="AB80" s="94">
        <f>IF($AA80&gt;0,VLOOKUP($K80,Ruimtegroepen[],3,FALSE)*VLOOKUP($M80,Vloersoorten[],3,FALSE)*VLOOKUP($Z80,Frequenties[],3,FALSE)*VLOOKUP($A76,Locaties[],3,FALSE),0)</f>
        <v>0</v>
      </c>
      <c r="AC80" s="96">
        <f>Ruimtestaat[[#This Row],[Uitvoeringen weekend]]*Ruimtestaat[[#This Row],[Oppervlak (netto)]]</f>
        <v>0</v>
      </c>
      <c r="AD80" s="99">
        <f>IF(AC80&gt;0,Ruimtestaat[[#This Row],[Prest. (m2 /jaar) weekend]]/Ruimtestaat[[#This Row],[Norm (m2/uur) weekend]],0)</f>
        <v>0</v>
      </c>
      <c r="AE80" s="100">
        <f>Ruimtestaat[[#This Row],[uren / jaar weekend]]*Tariefsopbouw!$D$40</f>
        <v>0</v>
      </c>
      <c r="AF80" s="72">
        <f>Ruimtestaat[[#This Row],[Prest. (m2 /jaar) weekend]]+Ruimtestaat[[#This Row],[Prest. (m2 /jaar) werkdagen]]</f>
        <v>10050</v>
      </c>
      <c r="AG80" s="72">
        <f>Ruimtestaat[[#This Row],[uren / jaar weekend]]+Ruimtestaat[[#This Row],[uren / jaar werkdagen]]</f>
        <v>0</v>
      </c>
      <c r="AH80" s="73">
        <f>Ruimtestaat[[#This Row],[kosten / jaar weekend]]+Ruimtestaat[[#This Row],[kosten / jaar werkdagen]]</f>
        <v>0</v>
      </c>
    </row>
    <row r="81" spans="1:34" ht="15" customHeight="1">
      <c r="A81" s="118">
        <v>1</v>
      </c>
      <c r="B81" s="24" t="str">
        <f>VLOOKUP(Ruimtestaat[[#This Row],[Code]],Locaties[#All],2,FALSE)</f>
        <v>Rembrandt College</v>
      </c>
      <c r="C81" s="24" t="str">
        <f>VLOOKUP(Ruimtestaat[[#This Row],[Code]],Locaties[#All],4,FALSE)</f>
        <v>Rembrandtlaan 2</v>
      </c>
      <c r="D81" s="24" t="str">
        <f>VLOOKUP(Ruimtestaat[[#This Row],[Code]],Locaties[#All],5,FALSE)</f>
        <v>3904 ZK</v>
      </c>
      <c r="E81" s="24" t="str">
        <f>VLOOKUP(Ruimtestaat[[#This Row],[Code]],Locaties[#All],6,FALSE)</f>
        <v>Veenendaal</v>
      </c>
      <c r="F81" s="66"/>
      <c r="G81" s="24" t="s">
        <v>466</v>
      </c>
      <c r="H81" s="24" t="s">
        <v>706</v>
      </c>
      <c r="I81" s="28">
        <v>123</v>
      </c>
      <c r="J81" s="4" t="s">
        <v>629</v>
      </c>
      <c r="K81" s="24">
        <v>16</v>
      </c>
      <c r="L81" s="66" t="str">
        <f>VLOOKUP(K81,Ruimtegroepen[],2,FALSE)</f>
        <v>Leslokalen theorie</v>
      </c>
      <c r="M81" s="24" t="s">
        <v>645</v>
      </c>
      <c r="N81" s="24" t="s">
        <v>384</v>
      </c>
      <c r="O81" s="92">
        <v>60</v>
      </c>
      <c r="P81" s="92"/>
      <c r="Q81" s="101" t="str">
        <f>LEFT(VLOOKUP(Ruimtestaat[[#This Row],[Ruimte code]],Ruimtegroepen[#All],4,1),2)</f>
        <v xml:space="preserve">L </v>
      </c>
      <c r="R81" s="92"/>
      <c r="S81" s="93">
        <v>40</v>
      </c>
      <c r="T81" s="93" t="s">
        <v>2</v>
      </c>
      <c r="U81" s="94">
        <f>IF(S81&gt;0,IF(RIGHT(Ruimtestaat[[#This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1" s="94">
        <f>IF(U81&gt;0,VLOOKUP($K81,Ruimtegroepen[],3,FALSE)*VLOOKUP($M81,Vloersoorten[],3,FALSE)*VLOOKUP($T81,Frequenties[],3,FALSE)*VLOOKUP($A81,Locaties[],3,FALSE),0)</f>
        <v>0</v>
      </c>
      <c r="W81" s="95">
        <f>Ruimtestaat[[#This Row],[Uitvoeringen werkdagen]]*Ruimtestaat[[#This Row],[Oppervlak (netto)]]</f>
        <v>12000</v>
      </c>
      <c r="X81" s="96">
        <f>IF(V81&gt;0,Ruimtestaat[[#This Row],[Prest. (m2 /jaar) werkdagen]]/Ruimtestaat[[#This Row],[Norm (m2/uur) werkdagen]],0)</f>
        <v>0</v>
      </c>
      <c r="Y81" s="97">
        <f>Ruimtestaat[[#This Row],[uren / jaar werkdagen]]*Tariefsopbouw!$E$35</f>
        <v>0</v>
      </c>
      <c r="Z81" s="94"/>
      <c r="AA81" s="98">
        <f>IF(Ruimtestaat[[#This Row],[Frequentie weekend]]&gt;0,VALUE(LEFT(Z81,1))*S81,0)</f>
        <v>0</v>
      </c>
      <c r="AB81" s="94">
        <f>IF($AA81&gt;0,VLOOKUP($K81,Ruimtegroepen[],3,FALSE)*VLOOKUP($M81,Vloersoorten[],3,FALSE)*VLOOKUP($Z81,Frequenties[],3,FALSE)*VLOOKUP($A77,Locaties[],3,FALSE),0)</f>
        <v>0</v>
      </c>
      <c r="AC81" s="96">
        <f>Ruimtestaat[[#This Row],[Uitvoeringen weekend]]*Ruimtestaat[[#This Row],[Oppervlak (netto)]]</f>
        <v>0</v>
      </c>
      <c r="AD81" s="99">
        <f>IF(AC81&gt;0,Ruimtestaat[[#This Row],[Prest. (m2 /jaar) weekend]]/Ruimtestaat[[#This Row],[Norm (m2/uur) weekend]],0)</f>
        <v>0</v>
      </c>
      <c r="AE81" s="100">
        <f>Ruimtestaat[[#This Row],[uren / jaar weekend]]*Tariefsopbouw!$D$40</f>
        <v>0</v>
      </c>
      <c r="AF81" s="72">
        <f>Ruimtestaat[[#This Row],[Prest. (m2 /jaar) weekend]]+Ruimtestaat[[#This Row],[Prest. (m2 /jaar) werkdagen]]</f>
        <v>12000</v>
      </c>
      <c r="AG81" s="72">
        <f>Ruimtestaat[[#This Row],[uren / jaar weekend]]+Ruimtestaat[[#This Row],[uren / jaar werkdagen]]</f>
        <v>0</v>
      </c>
      <c r="AH81" s="73">
        <f>Ruimtestaat[[#This Row],[kosten / jaar weekend]]+Ruimtestaat[[#This Row],[kosten / jaar werkdagen]]</f>
        <v>0</v>
      </c>
    </row>
    <row r="82" spans="1:34" ht="15" customHeight="1">
      <c r="A82" s="118">
        <v>1</v>
      </c>
      <c r="B82" s="24" t="str">
        <f>VLOOKUP(Ruimtestaat[[#This Row],[Code]],Locaties[#All],2,FALSE)</f>
        <v>Rembrandt College</v>
      </c>
      <c r="C82" s="24" t="str">
        <f>VLOOKUP(Ruimtestaat[[#This Row],[Code]],Locaties[#All],4,FALSE)</f>
        <v>Rembrandtlaan 2</v>
      </c>
      <c r="D82" s="24" t="str">
        <f>VLOOKUP(Ruimtestaat[[#This Row],[Code]],Locaties[#All],5,FALSE)</f>
        <v>3904 ZK</v>
      </c>
      <c r="E82" s="24" t="str">
        <f>VLOOKUP(Ruimtestaat[[#This Row],[Code]],Locaties[#All],6,FALSE)</f>
        <v>Veenendaal</v>
      </c>
      <c r="F82" s="66"/>
      <c r="G82" s="24" t="s">
        <v>466</v>
      </c>
      <c r="H82" s="24"/>
      <c r="I82" s="28" t="s">
        <v>537</v>
      </c>
      <c r="J82" s="4" t="s">
        <v>630</v>
      </c>
      <c r="K82" s="24">
        <v>12</v>
      </c>
      <c r="L82" s="66" t="str">
        <f>VLOOKUP(K82,Ruimtegroepen[],2,FALSE)</f>
        <v>Kantine</v>
      </c>
      <c r="M82" s="24" t="s">
        <v>645</v>
      </c>
      <c r="N82" s="24" t="s">
        <v>384</v>
      </c>
      <c r="O82" s="92">
        <v>433</v>
      </c>
      <c r="P82" s="92"/>
      <c r="Q82" s="101" t="str">
        <f>LEFT(VLOOKUP(Ruimtestaat[[#This Row],[Ruimte code]],Ruimtegroepen[#All],4,1),2)</f>
        <v xml:space="preserve">V </v>
      </c>
      <c r="R82" s="92"/>
      <c r="S82" s="93">
        <v>40</v>
      </c>
      <c r="T82" s="93" t="s">
        <v>2</v>
      </c>
      <c r="U82" s="94">
        <f>IF(S82&gt;0,IF(RIGHT(Ruimtestaat[[#This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2" s="94">
        <f>IF(U82&gt;0,VLOOKUP($K82,Ruimtegroepen[],3,FALSE)*VLOOKUP($M82,Vloersoorten[],3,FALSE)*VLOOKUP($T82,Frequenties[],3,FALSE)*VLOOKUP($A82,Locaties[],3,FALSE),0)</f>
        <v>0</v>
      </c>
      <c r="W82" s="95">
        <f>Ruimtestaat[[#This Row],[Uitvoeringen werkdagen]]*Ruimtestaat[[#This Row],[Oppervlak (netto)]]</f>
        <v>86600</v>
      </c>
      <c r="X82" s="96">
        <f>IF(V82&gt;0,Ruimtestaat[[#This Row],[Prest. (m2 /jaar) werkdagen]]/Ruimtestaat[[#This Row],[Norm (m2/uur) werkdagen]],0)</f>
        <v>0</v>
      </c>
      <c r="Y82" s="97">
        <f>Ruimtestaat[[#This Row],[uren / jaar werkdagen]]*Tariefsopbouw!$E$35</f>
        <v>0</v>
      </c>
      <c r="Z82" s="94"/>
      <c r="AA82" s="98">
        <f>IF(Ruimtestaat[[#This Row],[Frequentie weekend]]&gt;0,VALUE(LEFT(Z82,1))*S82,0)</f>
        <v>0</v>
      </c>
      <c r="AB82" s="94">
        <f>IF($AA82&gt;0,VLOOKUP($K82,Ruimtegroepen[],3,FALSE)*VLOOKUP($M82,Vloersoorten[],3,FALSE)*VLOOKUP($Z82,Frequenties[],3,FALSE)*VLOOKUP($A78,Locaties[],3,FALSE),0)</f>
        <v>0</v>
      </c>
      <c r="AC82" s="96">
        <f>Ruimtestaat[[#This Row],[Uitvoeringen weekend]]*Ruimtestaat[[#This Row],[Oppervlak (netto)]]</f>
        <v>0</v>
      </c>
      <c r="AD82" s="99">
        <f>IF(AC82&gt;0,Ruimtestaat[[#This Row],[Prest. (m2 /jaar) weekend]]/Ruimtestaat[[#This Row],[Norm (m2/uur) weekend]],0)</f>
        <v>0</v>
      </c>
      <c r="AE82" s="100">
        <f>Ruimtestaat[[#This Row],[uren / jaar weekend]]*Tariefsopbouw!$D$40</f>
        <v>0</v>
      </c>
      <c r="AF82" s="72">
        <f>Ruimtestaat[[#This Row],[Prest. (m2 /jaar) weekend]]+Ruimtestaat[[#This Row],[Prest. (m2 /jaar) werkdagen]]</f>
        <v>86600</v>
      </c>
      <c r="AG82" s="72">
        <f>Ruimtestaat[[#This Row],[uren / jaar weekend]]+Ruimtestaat[[#This Row],[uren / jaar werkdagen]]</f>
        <v>0</v>
      </c>
      <c r="AH82" s="73">
        <f>Ruimtestaat[[#This Row],[kosten / jaar weekend]]+Ruimtestaat[[#This Row],[kosten / jaar werkdagen]]</f>
        <v>0</v>
      </c>
    </row>
    <row r="83" spans="1:34" ht="15" customHeight="1">
      <c r="A83" s="118">
        <v>1</v>
      </c>
      <c r="B83" s="24" t="str">
        <f>VLOOKUP(Ruimtestaat[[#This Row],[Code]],Locaties[#All],2,FALSE)</f>
        <v>Rembrandt College</v>
      </c>
      <c r="C83" s="24" t="str">
        <f>VLOOKUP(Ruimtestaat[[#This Row],[Code]],Locaties[#All],4,FALSE)</f>
        <v>Rembrandtlaan 2</v>
      </c>
      <c r="D83" s="24" t="str">
        <f>VLOOKUP(Ruimtestaat[[#This Row],[Code]],Locaties[#All],5,FALSE)</f>
        <v>3904 ZK</v>
      </c>
      <c r="E83" s="24" t="str">
        <f>VLOOKUP(Ruimtestaat[[#This Row],[Code]],Locaties[#All],6,FALSE)</f>
        <v>Veenendaal</v>
      </c>
      <c r="F83" s="66"/>
      <c r="G83" s="24" t="s">
        <v>466</v>
      </c>
      <c r="H83" s="24" t="s">
        <v>707</v>
      </c>
      <c r="I83" s="28" t="s">
        <v>538</v>
      </c>
      <c r="J83" s="4" t="s">
        <v>631</v>
      </c>
      <c r="K83" s="24">
        <v>2</v>
      </c>
      <c r="L83" s="66" t="str">
        <f>VLOOKUP(K83,Ruimtegroepen[],2,FALSE)</f>
        <v>Kantoren</v>
      </c>
      <c r="M83" s="24" t="s">
        <v>645</v>
      </c>
      <c r="N83" s="24" t="s">
        <v>384</v>
      </c>
      <c r="O83" s="92">
        <v>12.5</v>
      </c>
      <c r="P83" s="92"/>
      <c r="Q83" s="101" t="str">
        <f>LEFT(VLOOKUP(Ruimtestaat[[#This Row],[Ruimte code]],Ruimtegroepen[#All],4,1),2)</f>
        <v xml:space="preserve">B </v>
      </c>
      <c r="R83" s="92"/>
      <c r="S83" s="93">
        <v>40</v>
      </c>
      <c r="T83" s="93" t="s">
        <v>18</v>
      </c>
      <c r="U83" s="94">
        <f>IF(S83&gt;0,IF(RIGHT(Ruimtestaat[[#This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83" s="94">
        <f>IF(U83&gt;0,VLOOKUP($K83,Ruimtegroepen[],3,FALSE)*VLOOKUP($M83,Vloersoorten[],3,FALSE)*VLOOKUP($T83,Frequenties[],3,FALSE)*VLOOKUP($A83,Locaties[],3,FALSE),0)</f>
        <v>0</v>
      </c>
      <c r="W83" s="95">
        <f>Ruimtestaat[[#This Row],[Uitvoeringen werkdagen]]*Ruimtestaat[[#This Row],[Oppervlak (netto)]]</f>
        <v>1500</v>
      </c>
      <c r="X83" s="96">
        <f>IF(V83&gt;0,Ruimtestaat[[#This Row],[Prest. (m2 /jaar) werkdagen]]/Ruimtestaat[[#This Row],[Norm (m2/uur) werkdagen]],0)</f>
        <v>0</v>
      </c>
      <c r="Y83" s="97">
        <f>Ruimtestaat[[#This Row],[uren / jaar werkdagen]]*Tariefsopbouw!$E$35</f>
        <v>0</v>
      </c>
      <c r="Z83" s="94"/>
      <c r="AA83" s="98">
        <f>IF(Ruimtestaat[[#This Row],[Frequentie weekend]]&gt;0,VALUE(LEFT(Z83,1))*S83,0)</f>
        <v>0</v>
      </c>
      <c r="AB83" s="94">
        <f>IF($AA83&gt;0,VLOOKUP($K83,Ruimtegroepen[],3,FALSE)*VLOOKUP($M83,Vloersoorten[],3,FALSE)*VLOOKUP($Z83,Frequenties[],3,FALSE)*VLOOKUP($A79,Locaties[],3,FALSE),0)</f>
        <v>0</v>
      </c>
      <c r="AC83" s="96">
        <f>Ruimtestaat[[#This Row],[Uitvoeringen weekend]]*Ruimtestaat[[#This Row],[Oppervlak (netto)]]</f>
        <v>0</v>
      </c>
      <c r="AD83" s="99">
        <f>IF(AC83&gt;0,Ruimtestaat[[#This Row],[Prest. (m2 /jaar) weekend]]/Ruimtestaat[[#This Row],[Norm (m2/uur) weekend]],0)</f>
        <v>0</v>
      </c>
      <c r="AE83" s="100">
        <f>Ruimtestaat[[#This Row],[uren / jaar weekend]]*Tariefsopbouw!$D$40</f>
        <v>0</v>
      </c>
      <c r="AF83" s="72">
        <f>Ruimtestaat[[#This Row],[Prest. (m2 /jaar) weekend]]+Ruimtestaat[[#This Row],[Prest. (m2 /jaar) werkdagen]]</f>
        <v>1500</v>
      </c>
      <c r="AG83" s="72">
        <f>Ruimtestaat[[#This Row],[uren / jaar weekend]]+Ruimtestaat[[#This Row],[uren / jaar werkdagen]]</f>
        <v>0</v>
      </c>
      <c r="AH83" s="73">
        <f>Ruimtestaat[[#This Row],[kosten / jaar weekend]]+Ruimtestaat[[#This Row],[kosten / jaar werkdagen]]</f>
        <v>0</v>
      </c>
    </row>
    <row r="84" spans="1:34" ht="15" customHeight="1">
      <c r="A84" s="118">
        <v>1</v>
      </c>
      <c r="B84" s="24" t="str">
        <f>VLOOKUP(Ruimtestaat[[#This Row],[Code]],Locaties[#All],2,FALSE)</f>
        <v>Rembrandt College</v>
      </c>
      <c r="C84" s="24" t="str">
        <f>VLOOKUP(Ruimtestaat[[#This Row],[Code]],Locaties[#All],4,FALSE)</f>
        <v>Rembrandtlaan 2</v>
      </c>
      <c r="D84" s="24" t="str">
        <f>VLOOKUP(Ruimtestaat[[#This Row],[Code]],Locaties[#All],5,FALSE)</f>
        <v>3904 ZK</v>
      </c>
      <c r="E84" s="24" t="str">
        <f>VLOOKUP(Ruimtestaat[[#This Row],[Code]],Locaties[#All],6,FALSE)</f>
        <v>Veenendaal</v>
      </c>
      <c r="F84" s="66"/>
      <c r="G84" s="24" t="s">
        <v>466</v>
      </c>
      <c r="H84" s="24" t="s">
        <v>708</v>
      </c>
      <c r="I84" s="28" t="s">
        <v>539</v>
      </c>
      <c r="J84" s="4" t="s">
        <v>600</v>
      </c>
      <c r="K84" s="24">
        <v>5</v>
      </c>
      <c r="L84" s="66" t="str">
        <f>VLOOKUP(K84,Ruimtegroepen[],2,FALSE)</f>
        <v>Sanitair</v>
      </c>
      <c r="M84" s="24" t="s">
        <v>113</v>
      </c>
      <c r="N84" s="24" t="s">
        <v>647</v>
      </c>
      <c r="O84" s="92">
        <v>8</v>
      </c>
      <c r="P84" s="92"/>
      <c r="Q84" s="101" t="str">
        <f>LEFT(VLOOKUP(Ruimtestaat[[#This Row],[Ruimte code]],Ruimtegroepen[#All],4,1),2)</f>
        <v xml:space="preserve">S </v>
      </c>
      <c r="R84" s="92"/>
      <c r="S84" s="93">
        <v>50</v>
      </c>
      <c r="T84" s="93" t="s">
        <v>19</v>
      </c>
      <c r="U84" s="94">
        <f>IF(S84&gt;0,IF(RIGHT(Ruimtestaat[[#This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84" s="94">
        <f>IF(U84&gt;0,VLOOKUP($K84,Ruimtegroepen[],3,FALSE)*VLOOKUP($M84,Vloersoorten[],3,FALSE)*VLOOKUP($T84,Frequenties[],3,FALSE)*VLOOKUP($A84,Locaties[],3,FALSE),0)</f>
        <v>0</v>
      </c>
      <c r="W84" s="95">
        <f>Ruimtestaat[[#This Row],[Uitvoeringen werkdagen]]*Ruimtestaat[[#This Row],[Oppervlak (netto)]]</f>
        <v>4000</v>
      </c>
      <c r="X84" s="96">
        <f>IF(V84&gt;0,Ruimtestaat[[#This Row],[Prest. (m2 /jaar) werkdagen]]/Ruimtestaat[[#This Row],[Norm (m2/uur) werkdagen]],0)</f>
        <v>0</v>
      </c>
      <c r="Y84" s="97">
        <f>Ruimtestaat[[#This Row],[uren / jaar werkdagen]]*Tariefsopbouw!$E$35</f>
        <v>0</v>
      </c>
      <c r="Z84" s="94"/>
      <c r="AA84" s="98">
        <f>IF(Ruimtestaat[[#This Row],[Frequentie weekend]]&gt;0,VALUE(LEFT(Z84,1))*S84,0)</f>
        <v>0</v>
      </c>
      <c r="AB84" s="94">
        <f>IF($AA84&gt;0,VLOOKUP($K84,Ruimtegroepen[],3,FALSE)*VLOOKUP($M84,Vloersoorten[],3,FALSE)*VLOOKUP($Z84,Frequenties[],3,FALSE)*VLOOKUP($A80,Locaties[],3,FALSE),0)</f>
        <v>0</v>
      </c>
      <c r="AC84" s="96">
        <f>Ruimtestaat[[#This Row],[Uitvoeringen weekend]]*Ruimtestaat[[#This Row],[Oppervlak (netto)]]</f>
        <v>0</v>
      </c>
      <c r="AD84" s="99">
        <f>IF(AC84&gt;0,Ruimtestaat[[#This Row],[Prest. (m2 /jaar) weekend]]/Ruimtestaat[[#This Row],[Norm (m2/uur) weekend]],0)</f>
        <v>0</v>
      </c>
      <c r="AE84" s="100">
        <f>Ruimtestaat[[#This Row],[uren / jaar weekend]]*Tariefsopbouw!$D$40</f>
        <v>0</v>
      </c>
      <c r="AF84" s="72">
        <f>Ruimtestaat[[#This Row],[Prest. (m2 /jaar) weekend]]+Ruimtestaat[[#This Row],[Prest. (m2 /jaar) werkdagen]]</f>
        <v>4000</v>
      </c>
      <c r="AG84" s="72">
        <f>Ruimtestaat[[#This Row],[uren / jaar weekend]]+Ruimtestaat[[#This Row],[uren / jaar werkdagen]]</f>
        <v>0</v>
      </c>
      <c r="AH84" s="73">
        <f>Ruimtestaat[[#This Row],[kosten / jaar weekend]]+Ruimtestaat[[#This Row],[kosten / jaar werkdagen]]</f>
        <v>0</v>
      </c>
    </row>
    <row r="85" spans="1:34" ht="15" customHeight="1">
      <c r="A85" s="118">
        <v>1</v>
      </c>
      <c r="B85" s="24" t="str">
        <f>VLOOKUP(Ruimtestaat[[#This Row],[Code]],Locaties[#All],2,FALSE)</f>
        <v>Rembrandt College</v>
      </c>
      <c r="C85" s="24" t="str">
        <f>VLOOKUP(Ruimtestaat[[#This Row],[Code]],Locaties[#All],4,FALSE)</f>
        <v>Rembrandtlaan 2</v>
      </c>
      <c r="D85" s="24" t="str">
        <f>VLOOKUP(Ruimtestaat[[#This Row],[Code]],Locaties[#All],5,FALSE)</f>
        <v>3904 ZK</v>
      </c>
      <c r="E85" s="24" t="str">
        <f>VLOOKUP(Ruimtestaat[[#This Row],[Code]],Locaties[#All],6,FALSE)</f>
        <v>Veenendaal</v>
      </c>
      <c r="F85" s="66"/>
      <c r="G85" s="24" t="s">
        <v>466</v>
      </c>
      <c r="H85" s="24"/>
      <c r="I85" s="28" t="s">
        <v>540</v>
      </c>
      <c r="J85" s="4" t="s">
        <v>632</v>
      </c>
      <c r="K85" s="24">
        <v>6</v>
      </c>
      <c r="L85" s="66" t="str">
        <f>VLOOKUP(K85,Ruimtegroepen[],2,FALSE)</f>
        <v>Gangen/hallen</v>
      </c>
      <c r="M85" s="24" t="s">
        <v>645</v>
      </c>
      <c r="N85" s="24" t="s">
        <v>384</v>
      </c>
      <c r="O85" s="92">
        <v>163.5</v>
      </c>
      <c r="P85" s="92"/>
      <c r="Q85" s="101" t="str">
        <f>LEFT(VLOOKUP(Ruimtestaat[[#This Row],[Ruimte code]],Ruimtegroepen[#All],4,1),2)</f>
        <v xml:space="preserve">V </v>
      </c>
      <c r="R85" s="92"/>
      <c r="S85" s="93">
        <v>40</v>
      </c>
      <c r="T85" s="93" t="s">
        <v>2</v>
      </c>
      <c r="U85" s="94">
        <f>IF(S85&gt;0,IF(RIGHT(Ruimtestaat[[#This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5" s="94">
        <f>IF(U85&gt;0,VLOOKUP($K85,Ruimtegroepen[],3,FALSE)*VLOOKUP($M85,Vloersoorten[],3,FALSE)*VLOOKUP($T85,Frequenties[],3,FALSE)*VLOOKUP($A85,Locaties[],3,FALSE),0)</f>
        <v>0</v>
      </c>
      <c r="W85" s="95">
        <f>Ruimtestaat[[#This Row],[Uitvoeringen werkdagen]]*Ruimtestaat[[#This Row],[Oppervlak (netto)]]</f>
        <v>32700</v>
      </c>
      <c r="X85" s="96">
        <f>IF(V85&gt;0,Ruimtestaat[[#This Row],[Prest. (m2 /jaar) werkdagen]]/Ruimtestaat[[#This Row],[Norm (m2/uur) werkdagen]],0)</f>
        <v>0</v>
      </c>
      <c r="Y85" s="97">
        <f>Ruimtestaat[[#This Row],[uren / jaar werkdagen]]*Tariefsopbouw!$E$35</f>
        <v>0</v>
      </c>
      <c r="Z85" s="94"/>
      <c r="AA85" s="98">
        <f>IF(Ruimtestaat[[#This Row],[Frequentie weekend]]&gt;0,VALUE(LEFT(Z85,1))*S85,0)</f>
        <v>0</v>
      </c>
      <c r="AB85" s="94">
        <f>IF($AA85&gt;0,VLOOKUP($K85,Ruimtegroepen[],3,FALSE)*VLOOKUP($M85,Vloersoorten[],3,FALSE)*VLOOKUP($Z85,Frequenties[],3,FALSE)*VLOOKUP($A81,Locaties[],3,FALSE),0)</f>
        <v>0</v>
      </c>
      <c r="AC85" s="96">
        <f>Ruimtestaat[[#This Row],[Uitvoeringen weekend]]*Ruimtestaat[[#This Row],[Oppervlak (netto)]]</f>
        <v>0</v>
      </c>
      <c r="AD85" s="99">
        <f>IF(AC85&gt;0,Ruimtestaat[[#This Row],[Prest. (m2 /jaar) weekend]]/Ruimtestaat[[#This Row],[Norm (m2/uur) weekend]],0)</f>
        <v>0</v>
      </c>
      <c r="AE85" s="100">
        <f>Ruimtestaat[[#This Row],[uren / jaar weekend]]*Tariefsopbouw!$D$40</f>
        <v>0</v>
      </c>
      <c r="AF85" s="72">
        <f>Ruimtestaat[[#This Row],[Prest. (m2 /jaar) weekend]]+Ruimtestaat[[#This Row],[Prest. (m2 /jaar) werkdagen]]</f>
        <v>32700</v>
      </c>
      <c r="AG85" s="72">
        <f>Ruimtestaat[[#This Row],[uren / jaar weekend]]+Ruimtestaat[[#This Row],[uren / jaar werkdagen]]</f>
        <v>0</v>
      </c>
      <c r="AH85" s="73">
        <f>Ruimtestaat[[#This Row],[kosten / jaar weekend]]+Ruimtestaat[[#This Row],[kosten / jaar werkdagen]]</f>
        <v>0</v>
      </c>
    </row>
    <row r="86" spans="1:34" ht="15" customHeight="1">
      <c r="A86" s="118">
        <v>1</v>
      </c>
      <c r="B86" s="24" t="str">
        <f>VLOOKUP(Ruimtestaat[[#This Row],[Code]],Locaties[#All],2,FALSE)</f>
        <v>Rembrandt College</v>
      </c>
      <c r="C86" s="24" t="str">
        <f>VLOOKUP(Ruimtestaat[[#This Row],[Code]],Locaties[#All],4,FALSE)</f>
        <v>Rembrandtlaan 2</v>
      </c>
      <c r="D86" s="24" t="str">
        <f>VLOOKUP(Ruimtestaat[[#This Row],[Code]],Locaties[#All],5,FALSE)</f>
        <v>3904 ZK</v>
      </c>
      <c r="E86" s="24" t="str">
        <f>VLOOKUP(Ruimtestaat[[#This Row],[Code]],Locaties[#All],6,FALSE)</f>
        <v>Veenendaal</v>
      </c>
      <c r="F86" s="66"/>
      <c r="G86" s="24" t="s">
        <v>466</v>
      </c>
      <c r="H86" s="24"/>
      <c r="I86" s="28" t="s">
        <v>540</v>
      </c>
      <c r="J86" s="4" t="s">
        <v>633</v>
      </c>
      <c r="K86" s="24">
        <v>6</v>
      </c>
      <c r="L86" s="66" t="str">
        <f>VLOOKUP(K86,Ruimtegroepen[],2,FALSE)</f>
        <v>Gangen/hallen</v>
      </c>
      <c r="M86" s="24" t="s">
        <v>645</v>
      </c>
      <c r="N86" s="24" t="s">
        <v>384</v>
      </c>
      <c r="O86" s="92">
        <v>129.30000000000001</v>
      </c>
      <c r="P86" s="92"/>
      <c r="Q86" s="101" t="str">
        <f>LEFT(VLOOKUP(Ruimtestaat[[#This Row],[Ruimte code]],Ruimtegroepen[#All],4,1),2)</f>
        <v xml:space="preserve">V </v>
      </c>
      <c r="R86" s="92"/>
      <c r="S86" s="93">
        <v>40</v>
      </c>
      <c r="T86" s="93" t="s">
        <v>2</v>
      </c>
      <c r="U86" s="94">
        <f>IF(S86&gt;0,IF(RIGHT(Ruimtestaat[[#This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6" s="94">
        <f>IF(U86&gt;0,VLOOKUP($K86,Ruimtegroepen[],3,FALSE)*VLOOKUP($M86,Vloersoorten[],3,FALSE)*VLOOKUP($T86,Frequenties[],3,FALSE)*VLOOKUP($A86,Locaties[],3,FALSE),0)</f>
        <v>0</v>
      </c>
      <c r="W86" s="95">
        <f>Ruimtestaat[[#This Row],[Uitvoeringen werkdagen]]*Ruimtestaat[[#This Row],[Oppervlak (netto)]]</f>
        <v>25860.000000000004</v>
      </c>
      <c r="X86" s="96">
        <f>IF(V86&gt;0,Ruimtestaat[[#This Row],[Prest. (m2 /jaar) werkdagen]]/Ruimtestaat[[#This Row],[Norm (m2/uur) werkdagen]],0)</f>
        <v>0</v>
      </c>
      <c r="Y86" s="97">
        <f>Ruimtestaat[[#This Row],[uren / jaar werkdagen]]*Tariefsopbouw!$E$35</f>
        <v>0</v>
      </c>
      <c r="Z86" s="94"/>
      <c r="AA86" s="98">
        <f>IF(Ruimtestaat[[#This Row],[Frequentie weekend]]&gt;0,VALUE(LEFT(Z86,1))*S86,0)</f>
        <v>0</v>
      </c>
      <c r="AB86" s="94">
        <f>IF($AA86&gt;0,VLOOKUP($K86,Ruimtegroepen[],3,FALSE)*VLOOKUP($M86,Vloersoorten[],3,FALSE)*VLOOKUP($Z86,Frequenties[],3,FALSE)*VLOOKUP($A82,Locaties[],3,FALSE),0)</f>
        <v>0</v>
      </c>
      <c r="AC86" s="96">
        <f>Ruimtestaat[[#This Row],[Uitvoeringen weekend]]*Ruimtestaat[[#This Row],[Oppervlak (netto)]]</f>
        <v>0</v>
      </c>
      <c r="AD86" s="99">
        <f>IF(AC86&gt;0,Ruimtestaat[[#This Row],[Prest. (m2 /jaar) weekend]]/Ruimtestaat[[#This Row],[Norm (m2/uur) weekend]],0)</f>
        <v>0</v>
      </c>
      <c r="AE86" s="100">
        <f>Ruimtestaat[[#This Row],[uren / jaar weekend]]*Tariefsopbouw!$D$40</f>
        <v>0</v>
      </c>
      <c r="AF86" s="72">
        <f>Ruimtestaat[[#This Row],[Prest. (m2 /jaar) weekend]]+Ruimtestaat[[#This Row],[Prest. (m2 /jaar) werkdagen]]</f>
        <v>25860.000000000004</v>
      </c>
      <c r="AG86" s="72">
        <f>Ruimtestaat[[#This Row],[uren / jaar weekend]]+Ruimtestaat[[#This Row],[uren / jaar werkdagen]]</f>
        <v>0</v>
      </c>
      <c r="AH86" s="73">
        <f>Ruimtestaat[[#This Row],[kosten / jaar weekend]]+Ruimtestaat[[#This Row],[kosten / jaar werkdagen]]</f>
        <v>0</v>
      </c>
    </row>
    <row r="87" spans="1:34" ht="15" customHeight="1">
      <c r="A87" s="118">
        <v>1</v>
      </c>
      <c r="B87" s="24" t="str">
        <f>VLOOKUP(Ruimtestaat[[#This Row],[Code]],Locaties[#All],2,FALSE)</f>
        <v>Rembrandt College</v>
      </c>
      <c r="C87" s="24" t="str">
        <f>VLOOKUP(Ruimtestaat[[#This Row],[Code]],Locaties[#All],4,FALSE)</f>
        <v>Rembrandtlaan 2</v>
      </c>
      <c r="D87" s="24" t="str">
        <f>VLOOKUP(Ruimtestaat[[#This Row],[Code]],Locaties[#All],5,FALSE)</f>
        <v>3904 ZK</v>
      </c>
      <c r="E87" s="24" t="str">
        <f>VLOOKUP(Ruimtestaat[[#This Row],[Code]],Locaties[#All],6,FALSE)</f>
        <v>Veenendaal</v>
      </c>
      <c r="F87" s="66"/>
      <c r="G87" s="24" t="s">
        <v>466</v>
      </c>
      <c r="H87" s="24" t="s">
        <v>709</v>
      </c>
      <c r="I87" s="28" t="s">
        <v>541</v>
      </c>
      <c r="J87" s="4" t="s">
        <v>599</v>
      </c>
      <c r="K87" s="24">
        <v>5</v>
      </c>
      <c r="L87" s="66" t="str">
        <f>VLOOKUP(K87,Ruimtegroepen[],2,FALSE)</f>
        <v>Sanitair</v>
      </c>
      <c r="M87" s="24" t="s">
        <v>113</v>
      </c>
      <c r="N87" s="24" t="s">
        <v>647</v>
      </c>
      <c r="O87" s="92">
        <v>8</v>
      </c>
      <c r="P87" s="92"/>
      <c r="Q87" s="101" t="str">
        <f>LEFT(VLOOKUP(Ruimtestaat[[#This Row],[Ruimte code]],Ruimtegroepen[#All],4,1),2)</f>
        <v xml:space="preserve">S </v>
      </c>
      <c r="R87" s="101"/>
      <c r="S87" s="93">
        <v>50</v>
      </c>
      <c r="T87" s="93" t="s">
        <v>19</v>
      </c>
      <c r="U87" s="94">
        <f>IF(S87&gt;0,IF(RIGHT(Ruimtestaat[[#This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87" s="94">
        <f>IF(U87&gt;0,VLOOKUP($K87,Ruimtegroepen[],3,FALSE)*VLOOKUP($M87,Vloersoorten[],3,FALSE)*VLOOKUP($T87,Frequenties[],3,FALSE)*VLOOKUP($A87,Locaties[],3,FALSE),0)</f>
        <v>0</v>
      </c>
      <c r="W87" s="95">
        <f>Ruimtestaat[[#This Row],[Uitvoeringen werkdagen]]*Ruimtestaat[[#This Row],[Oppervlak (netto)]]</f>
        <v>4000</v>
      </c>
      <c r="X87" s="96">
        <f>IF(V87&gt;0,Ruimtestaat[[#This Row],[Prest. (m2 /jaar) werkdagen]]/Ruimtestaat[[#This Row],[Norm (m2/uur) werkdagen]],0)</f>
        <v>0</v>
      </c>
      <c r="Y87" s="97">
        <f>Ruimtestaat[[#This Row],[uren / jaar werkdagen]]*Tariefsopbouw!$E$35</f>
        <v>0</v>
      </c>
      <c r="Z87" s="94"/>
      <c r="AA87" s="98">
        <f>IF(Ruimtestaat[[#This Row],[Frequentie weekend]]&gt;0,VALUE(LEFT(Z87,1))*S87,0)</f>
        <v>0</v>
      </c>
      <c r="AB87" s="94">
        <f>IF($AA87&gt;0,VLOOKUP($K87,Ruimtegroepen[],3,FALSE)*VLOOKUP($M87,Vloersoorten[],3,FALSE)*VLOOKUP($Z87,Frequenties[],3,FALSE)*VLOOKUP($A83,Locaties[],3,FALSE),0)</f>
        <v>0</v>
      </c>
      <c r="AC87" s="96">
        <f>Ruimtestaat[[#This Row],[Uitvoeringen weekend]]*Ruimtestaat[[#This Row],[Oppervlak (netto)]]</f>
        <v>0</v>
      </c>
      <c r="AD87" s="99">
        <f>IF(AC87&gt;0,Ruimtestaat[[#This Row],[Prest. (m2 /jaar) weekend]]/Ruimtestaat[[#This Row],[Norm (m2/uur) weekend]],0)</f>
        <v>0</v>
      </c>
      <c r="AE87" s="100">
        <f>Ruimtestaat[[#This Row],[uren / jaar weekend]]*Tariefsopbouw!$D$40</f>
        <v>0</v>
      </c>
      <c r="AF87" s="72">
        <f>Ruimtestaat[[#This Row],[Prest. (m2 /jaar) weekend]]+Ruimtestaat[[#This Row],[Prest. (m2 /jaar) werkdagen]]</f>
        <v>4000</v>
      </c>
      <c r="AG87" s="72">
        <f>Ruimtestaat[[#This Row],[uren / jaar weekend]]+Ruimtestaat[[#This Row],[uren / jaar werkdagen]]</f>
        <v>0</v>
      </c>
      <c r="AH87" s="73">
        <f>Ruimtestaat[[#This Row],[kosten / jaar weekend]]+Ruimtestaat[[#This Row],[kosten / jaar werkdagen]]</f>
        <v>0</v>
      </c>
    </row>
    <row r="88" spans="1:34" ht="15" customHeight="1">
      <c r="A88" s="118">
        <v>1</v>
      </c>
      <c r="B88" s="24" t="str">
        <f>VLOOKUP(Ruimtestaat[[#This Row],[Code]],Locaties[#All],2,FALSE)</f>
        <v>Rembrandt College</v>
      </c>
      <c r="C88" s="24" t="str">
        <f>VLOOKUP(Ruimtestaat[[#This Row],[Code]],Locaties[#All],4,FALSE)</f>
        <v>Rembrandtlaan 2</v>
      </c>
      <c r="D88" s="24" t="str">
        <f>VLOOKUP(Ruimtestaat[[#This Row],[Code]],Locaties[#All],5,FALSE)</f>
        <v>3904 ZK</v>
      </c>
      <c r="E88" s="24" t="str">
        <f>VLOOKUP(Ruimtestaat[[#This Row],[Code]],Locaties[#All],6,FALSE)</f>
        <v>Veenendaal</v>
      </c>
      <c r="F88" s="66"/>
      <c r="G88" s="24" t="s">
        <v>466</v>
      </c>
      <c r="H88" s="24"/>
      <c r="I88" s="28" t="s">
        <v>542</v>
      </c>
      <c r="J88" s="4" t="s">
        <v>612</v>
      </c>
      <c r="K88" s="24">
        <v>10</v>
      </c>
      <c r="L88" s="66" t="str">
        <f>VLOOKUP(K88,Ruimtegroepen[],2,FALSE)</f>
        <v>Trappenhuizen/lift</v>
      </c>
      <c r="M88" s="24" t="s">
        <v>114</v>
      </c>
      <c r="N88" s="24" t="s">
        <v>648</v>
      </c>
      <c r="O88" s="92">
        <v>54</v>
      </c>
      <c r="P88" s="92"/>
      <c r="Q88" s="101" t="str">
        <f>LEFT(VLOOKUP(Ruimtestaat[[#This Row],[Ruimte code]],Ruimtegroepen[#All],4,1),2)</f>
        <v xml:space="preserve">V </v>
      </c>
      <c r="R88" s="101"/>
      <c r="S88" s="93">
        <v>40</v>
      </c>
      <c r="T88" s="93" t="s">
        <v>2</v>
      </c>
      <c r="U88" s="94">
        <f>IF(S88&gt;0,IF(RIGHT(Ruimtestaat[[#This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8" s="94">
        <f>IF(U88&gt;0,VLOOKUP($K88,Ruimtegroepen[],3,FALSE)*VLOOKUP($M88,Vloersoorten[],3,FALSE)*VLOOKUP($T88,Frequenties[],3,FALSE)*VLOOKUP($A88,Locaties[],3,FALSE),0)</f>
        <v>0</v>
      </c>
      <c r="W88" s="95">
        <f>Ruimtestaat[[#This Row],[Uitvoeringen werkdagen]]*Ruimtestaat[[#This Row],[Oppervlak (netto)]]</f>
        <v>10800</v>
      </c>
      <c r="X88" s="96">
        <f>IF(V88&gt;0,Ruimtestaat[[#This Row],[Prest. (m2 /jaar) werkdagen]]/Ruimtestaat[[#This Row],[Norm (m2/uur) werkdagen]],0)</f>
        <v>0</v>
      </c>
      <c r="Y88" s="97">
        <f>Ruimtestaat[[#This Row],[uren / jaar werkdagen]]*Tariefsopbouw!$E$35</f>
        <v>0</v>
      </c>
      <c r="Z88" s="94"/>
      <c r="AA88" s="98">
        <f>IF(Ruimtestaat[[#This Row],[Frequentie weekend]]&gt;0,VALUE(LEFT(Z88,1))*S88,0)</f>
        <v>0</v>
      </c>
      <c r="AB88" s="94">
        <f>IF($AA88&gt;0,VLOOKUP($K88,Ruimtegroepen[],3,FALSE)*VLOOKUP($M88,Vloersoorten[],3,FALSE)*VLOOKUP($Z88,Frequenties[],3,FALSE)*VLOOKUP($A85,Locaties[],3,FALSE),0)</f>
        <v>0</v>
      </c>
      <c r="AC88" s="96">
        <f>Ruimtestaat[[#This Row],[Uitvoeringen weekend]]*Ruimtestaat[[#This Row],[Oppervlak (netto)]]</f>
        <v>0</v>
      </c>
      <c r="AD88" s="99">
        <f>IF(AC88&gt;0,Ruimtestaat[[#This Row],[Prest. (m2 /jaar) weekend]]/Ruimtestaat[[#This Row],[Norm (m2/uur) weekend]],0)</f>
        <v>0</v>
      </c>
      <c r="AE88" s="100">
        <f>Ruimtestaat[[#This Row],[uren / jaar weekend]]*Tariefsopbouw!$D$40</f>
        <v>0</v>
      </c>
      <c r="AF88" s="72">
        <f>Ruimtestaat[[#This Row],[Prest. (m2 /jaar) weekend]]+Ruimtestaat[[#This Row],[Prest. (m2 /jaar) werkdagen]]</f>
        <v>10800</v>
      </c>
      <c r="AG88" s="72">
        <f>Ruimtestaat[[#This Row],[uren / jaar weekend]]+Ruimtestaat[[#This Row],[uren / jaar werkdagen]]</f>
        <v>0</v>
      </c>
      <c r="AH88" s="73">
        <f>Ruimtestaat[[#This Row],[kosten / jaar weekend]]+Ruimtestaat[[#This Row],[kosten / jaar werkdagen]]</f>
        <v>0</v>
      </c>
    </row>
    <row r="89" spans="1:34" ht="15" customHeight="1">
      <c r="A89" s="118">
        <v>1</v>
      </c>
      <c r="B89" s="24" t="str">
        <f>VLOOKUP(Ruimtestaat[[#This Row],[Code]],Locaties[#All],2,FALSE)</f>
        <v>Rembrandt College</v>
      </c>
      <c r="C89" s="24" t="str">
        <f>VLOOKUP(Ruimtestaat[[#This Row],[Code]],Locaties[#All],4,FALSE)</f>
        <v>Rembrandtlaan 2</v>
      </c>
      <c r="D89" s="24" t="str">
        <f>VLOOKUP(Ruimtestaat[[#This Row],[Code]],Locaties[#All],5,FALSE)</f>
        <v>3904 ZK</v>
      </c>
      <c r="E89" s="24" t="str">
        <f>VLOOKUP(Ruimtestaat[[#This Row],[Code]],Locaties[#All],6,FALSE)</f>
        <v>Veenendaal</v>
      </c>
      <c r="F89" s="66"/>
      <c r="G89" s="24" t="s">
        <v>466</v>
      </c>
      <c r="H89" s="24"/>
      <c r="I89" s="28" t="s">
        <v>543</v>
      </c>
      <c r="J89" s="4" t="s">
        <v>611</v>
      </c>
      <c r="K89" s="24">
        <v>6</v>
      </c>
      <c r="L89" s="66" t="str">
        <f>VLOOKUP(K89,Ruimtegroepen[],2,FALSE)</f>
        <v>Gangen/hallen</v>
      </c>
      <c r="M89" s="24" t="s">
        <v>645</v>
      </c>
      <c r="N89" s="24" t="s">
        <v>384</v>
      </c>
      <c r="O89" s="92">
        <v>14</v>
      </c>
      <c r="P89" s="92"/>
      <c r="Q89" s="101" t="str">
        <f>LEFT(VLOOKUP(Ruimtestaat[[#This Row],[Ruimte code]],Ruimtegroepen[#All],4,1),2)</f>
        <v xml:space="preserve">V </v>
      </c>
      <c r="R89" s="101"/>
      <c r="S89" s="93">
        <v>40</v>
      </c>
      <c r="T89" s="93" t="s">
        <v>2</v>
      </c>
      <c r="U89" s="94">
        <f>IF(S89&gt;0,IF(RIGHT(Ruimtestaat[[#This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9" s="94">
        <f>IF(U89&gt;0,VLOOKUP($K89,Ruimtegroepen[],3,FALSE)*VLOOKUP($M89,Vloersoorten[],3,FALSE)*VLOOKUP($T89,Frequenties[],3,FALSE)*VLOOKUP($A89,Locaties[],3,FALSE),0)</f>
        <v>0</v>
      </c>
      <c r="W89" s="95">
        <f>Ruimtestaat[[#This Row],[Uitvoeringen werkdagen]]*Ruimtestaat[[#This Row],[Oppervlak (netto)]]</f>
        <v>2800</v>
      </c>
      <c r="X89" s="96">
        <f>IF(V89&gt;0,Ruimtestaat[[#This Row],[Prest. (m2 /jaar) werkdagen]]/Ruimtestaat[[#This Row],[Norm (m2/uur) werkdagen]],0)</f>
        <v>0</v>
      </c>
      <c r="Y89" s="97">
        <f>Ruimtestaat[[#This Row],[uren / jaar werkdagen]]*Tariefsopbouw!$E$35</f>
        <v>0</v>
      </c>
      <c r="Z89" s="94"/>
      <c r="AA89" s="98">
        <f>IF(Ruimtestaat[[#This Row],[Frequentie weekend]]&gt;0,VALUE(LEFT(Z89,1))*S89,0)</f>
        <v>0</v>
      </c>
      <c r="AB89" s="94">
        <f>IF($AA89&gt;0,VLOOKUP($K89,Ruimtegroepen[],3,FALSE)*VLOOKUP($M89,Vloersoorten[],3,FALSE)*VLOOKUP($Z89,Frequenties[],3,FALSE)*VLOOKUP($A86,Locaties[],3,FALSE),0)</f>
        <v>0</v>
      </c>
      <c r="AC89" s="96">
        <f>Ruimtestaat[[#This Row],[Uitvoeringen weekend]]*Ruimtestaat[[#This Row],[Oppervlak (netto)]]</f>
        <v>0</v>
      </c>
      <c r="AD89" s="99">
        <f>IF(AC89&gt;0,Ruimtestaat[[#This Row],[Prest. (m2 /jaar) weekend]]/Ruimtestaat[[#This Row],[Norm (m2/uur) weekend]],0)</f>
        <v>0</v>
      </c>
      <c r="AE89" s="100">
        <f>Ruimtestaat[[#This Row],[uren / jaar weekend]]*Tariefsopbouw!$D$40</f>
        <v>0</v>
      </c>
      <c r="AF89" s="72">
        <f>Ruimtestaat[[#This Row],[Prest. (m2 /jaar) weekend]]+Ruimtestaat[[#This Row],[Prest. (m2 /jaar) werkdagen]]</f>
        <v>2800</v>
      </c>
      <c r="AG89" s="72">
        <f>Ruimtestaat[[#This Row],[uren / jaar weekend]]+Ruimtestaat[[#This Row],[uren / jaar werkdagen]]</f>
        <v>0</v>
      </c>
      <c r="AH89" s="73">
        <f>Ruimtestaat[[#This Row],[kosten / jaar weekend]]+Ruimtestaat[[#This Row],[kosten / jaar werkdagen]]</f>
        <v>0</v>
      </c>
    </row>
    <row r="90" spans="1:34" ht="15" customHeight="1">
      <c r="A90" s="118">
        <v>1</v>
      </c>
      <c r="B90" s="24" t="str">
        <f>VLOOKUP(Ruimtestaat[[#This Row],[Code]],Locaties[#All],2,FALSE)</f>
        <v>Rembrandt College</v>
      </c>
      <c r="C90" s="24" t="str">
        <f>VLOOKUP(Ruimtestaat[[#This Row],[Code]],Locaties[#All],4,FALSE)</f>
        <v>Rembrandtlaan 2</v>
      </c>
      <c r="D90" s="24" t="str">
        <f>VLOOKUP(Ruimtestaat[[#This Row],[Code]],Locaties[#All],5,FALSE)</f>
        <v>3904 ZK</v>
      </c>
      <c r="E90" s="24" t="str">
        <f>VLOOKUP(Ruimtestaat[[#This Row],[Code]],Locaties[#All],6,FALSE)</f>
        <v>Veenendaal</v>
      </c>
      <c r="F90" s="66"/>
      <c r="G90" s="24" t="s">
        <v>466</v>
      </c>
      <c r="H90" s="24"/>
      <c r="I90" s="28" t="s">
        <v>544</v>
      </c>
      <c r="J90" s="4" t="s">
        <v>612</v>
      </c>
      <c r="K90" s="24">
        <v>10</v>
      </c>
      <c r="L90" s="66" t="str">
        <f>VLOOKUP(K90,Ruimtegroepen[],2,FALSE)</f>
        <v>Trappenhuizen/lift</v>
      </c>
      <c r="M90" s="24" t="s">
        <v>114</v>
      </c>
      <c r="N90" s="24" t="s">
        <v>648</v>
      </c>
      <c r="O90" s="92">
        <v>11.5</v>
      </c>
      <c r="P90" s="92"/>
      <c r="Q90" s="101" t="str">
        <f>LEFT(VLOOKUP(Ruimtestaat[[#This Row],[Ruimte code]],Ruimtegroepen[#All],4,1),2)</f>
        <v xml:space="preserve">V </v>
      </c>
      <c r="R90" s="101"/>
      <c r="S90" s="93">
        <v>40</v>
      </c>
      <c r="T90" s="93" t="s">
        <v>2</v>
      </c>
      <c r="U90" s="94">
        <f>IF(S90&gt;0,IF(RIGHT(Ruimtestaat[[#This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0" s="94">
        <f>IF(U90&gt;0,VLOOKUP($K90,Ruimtegroepen[],3,FALSE)*VLOOKUP($M90,Vloersoorten[],3,FALSE)*VLOOKUP($T90,Frequenties[],3,FALSE)*VLOOKUP($A90,Locaties[],3,FALSE),0)</f>
        <v>0</v>
      </c>
      <c r="W90" s="95">
        <f>Ruimtestaat[[#This Row],[Uitvoeringen werkdagen]]*Ruimtestaat[[#This Row],[Oppervlak (netto)]]</f>
        <v>2300</v>
      </c>
      <c r="X90" s="96">
        <f>IF(V90&gt;0,Ruimtestaat[[#This Row],[Prest. (m2 /jaar) werkdagen]]/Ruimtestaat[[#This Row],[Norm (m2/uur) werkdagen]],0)</f>
        <v>0</v>
      </c>
      <c r="Y90" s="97">
        <f>Ruimtestaat[[#This Row],[uren / jaar werkdagen]]*Tariefsopbouw!$E$35</f>
        <v>0</v>
      </c>
      <c r="Z90" s="94"/>
      <c r="AA90" s="98">
        <f>IF(Ruimtestaat[[#This Row],[Frequentie weekend]]&gt;0,VALUE(LEFT(Z90,1))*S90,0)</f>
        <v>0</v>
      </c>
      <c r="AB90" s="94">
        <f>IF($AA90&gt;0,VLOOKUP($K90,Ruimtegroepen[],3,FALSE)*VLOOKUP($M90,Vloersoorten[],3,FALSE)*VLOOKUP($Z90,Frequenties[],3,FALSE)*VLOOKUP($A87,Locaties[],3,FALSE),0)</f>
        <v>0</v>
      </c>
      <c r="AC90" s="96">
        <f>Ruimtestaat[[#This Row],[Uitvoeringen weekend]]*Ruimtestaat[[#This Row],[Oppervlak (netto)]]</f>
        <v>0</v>
      </c>
      <c r="AD90" s="99">
        <f>IF(AC90&gt;0,Ruimtestaat[[#This Row],[Prest. (m2 /jaar) weekend]]/Ruimtestaat[[#This Row],[Norm (m2/uur) weekend]],0)</f>
        <v>0</v>
      </c>
      <c r="AE90" s="100">
        <f>Ruimtestaat[[#This Row],[uren / jaar weekend]]*Tariefsopbouw!$D$40</f>
        <v>0</v>
      </c>
      <c r="AF90" s="72">
        <f>Ruimtestaat[[#This Row],[Prest. (m2 /jaar) weekend]]+Ruimtestaat[[#This Row],[Prest. (m2 /jaar) werkdagen]]</f>
        <v>2300</v>
      </c>
      <c r="AG90" s="72">
        <f>Ruimtestaat[[#This Row],[uren / jaar weekend]]+Ruimtestaat[[#This Row],[uren / jaar werkdagen]]</f>
        <v>0</v>
      </c>
      <c r="AH90" s="73">
        <f>Ruimtestaat[[#This Row],[kosten / jaar weekend]]+Ruimtestaat[[#This Row],[kosten / jaar werkdagen]]</f>
        <v>0</v>
      </c>
    </row>
    <row r="91" spans="1:34" ht="15" customHeight="1">
      <c r="A91" s="118">
        <v>1</v>
      </c>
      <c r="B91" s="24" t="str">
        <f>VLOOKUP(Ruimtestaat[[#This Row],[Code]],Locaties[#All],2,FALSE)</f>
        <v>Rembrandt College</v>
      </c>
      <c r="C91" s="24" t="str">
        <f>VLOOKUP(Ruimtestaat[[#This Row],[Code]],Locaties[#All],4,FALSE)</f>
        <v>Rembrandtlaan 2</v>
      </c>
      <c r="D91" s="24" t="str">
        <f>VLOOKUP(Ruimtestaat[[#This Row],[Code]],Locaties[#All],5,FALSE)</f>
        <v>3904 ZK</v>
      </c>
      <c r="E91" s="24" t="str">
        <f>VLOOKUP(Ruimtestaat[[#This Row],[Code]],Locaties[#All],6,FALSE)</f>
        <v>Veenendaal</v>
      </c>
      <c r="F91" s="66"/>
      <c r="G91" s="24" t="s">
        <v>466</v>
      </c>
      <c r="H91" s="24" t="s">
        <v>710</v>
      </c>
      <c r="I91" s="28" t="s">
        <v>545</v>
      </c>
      <c r="J91" s="4" t="s">
        <v>600</v>
      </c>
      <c r="K91" s="24">
        <v>5</v>
      </c>
      <c r="L91" s="66" t="str">
        <f>VLOOKUP(K91,Ruimtegroepen[],2,FALSE)</f>
        <v>Sanitair</v>
      </c>
      <c r="M91" s="24" t="s">
        <v>113</v>
      </c>
      <c r="N91" s="24" t="s">
        <v>647</v>
      </c>
      <c r="O91" s="92">
        <v>6</v>
      </c>
      <c r="P91" s="92"/>
      <c r="Q91" s="101" t="str">
        <f>LEFT(VLOOKUP(Ruimtestaat[[#This Row],[Ruimte code]],Ruimtegroepen[#All],4,1),2)</f>
        <v xml:space="preserve">S </v>
      </c>
      <c r="R91" s="101"/>
      <c r="S91" s="93">
        <v>50</v>
      </c>
      <c r="T91" s="93" t="s">
        <v>19</v>
      </c>
      <c r="U91" s="94">
        <f>IF(S91&gt;0,IF(RIGHT(Ruimtestaat[[#This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91" s="94">
        <f>IF(U91&gt;0,VLOOKUP($K91,Ruimtegroepen[],3,FALSE)*VLOOKUP($M91,Vloersoorten[],3,FALSE)*VLOOKUP($T91,Frequenties[],3,FALSE)*VLOOKUP($A91,Locaties[],3,FALSE),0)</f>
        <v>0</v>
      </c>
      <c r="W91" s="95">
        <f>Ruimtestaat[[#This Row],[Uitvoeringen werkdagen]]*Ruimtestaat[[#This Row],[Oppervlak (netto)]]</f>
        <v>3000</v>
      </c>
      <c r="X91" s="96">
        <f>IF(V91&gt;0,Ruimtestaat[[#This Row],[Prest. (m2 /jaar) werkdagen]]/Ruimtestaat[[#This Row],[Norm (m2/uur) werkdagen]],0)</f>
        <v>0</v>
      </c>
      <c r="Y91" s="97">
        <f>Ruimtestaat[[#This Row],[uren / jaar werkdagen]]*Tariefsopbouw!$E$35</f>
        <v>0</v>
      </c>
      <c r="Z91" s="94"/>
      <c r="AA91" s="98">
        <f>IF(Ruimtestaat[[#This Row],[Frequentie weekend]]&gt;0,VALUE(LEFT(Z91,1))*S91,0)</f>
        <v>0</v>
      </c>
      <c r="AB91" s="94">
        <f>IF($AA91&gt;0,VLOOKUP($K91,Ruimtegroepen[],3,FALSE)*VLOOKUP($M91,Vloersoorten[],3,FALSE)*VLOOKUP($Z91,Frequenties[],3,FALSE)*VLOOKUP(#REF!,Locaties[],3,FALSE),0)</f>
        <v>0</v>
      </c>
      <c r="AC91" s="96">
        <f>Ruimtestaat[[#This Row],[Uitvoeringen weekend]]*Ruimtestaat[[#This Row],[Oppervlak (netto)]]</f>
        <v>0</v>
      </c>
      <c r="AD91" s="99">
        <f>IF(AC91&gt;0,Ruimtestaat[[#This Row],[Prest. (m2 /jaar) weekend]]/Ruimtestaat[[#This Row],[Norm (m2/uur) weekend]],0)</f>
        <v>0</v>
      </c>
      <c r="AE91" s="100">
        <f>Ruimtestaat[[#This Row],[uren / jaar weekend]]*Tariefsopbouw!$D$40</f>
        <v>0</v>
      </c>
      <c r="AF91" s="72">
        <f>Ruimtestaat[[#This Row],[Prest. (m2 /jaar) weekend]]+Ruimtestaat[[#This Row],[Prest. (m2 /jaar) werkdagen]]</f>
        <v>3000</v>
      </c>
      <c r="AG91" s="72">
        <f>Ruimtestaat[[#This Row],[uren / jaar weekend]]+Ruimtestaat[[#This Row],[uren / jaar werkdagen]]</f>
        <v>0</v>
      </c>
      <c r="AH91" s="73">
        <f>Ruimtestaat[[#This Row],[kosten / jaar weekend]]+Ruimtestaat[[#This Row],[kosten / jaar werkdagen]]</f>
        <v>0</v>
      </c>
    </row>
    <row r="92" spans="1:34" ht="15" customHeight="1">
      <c r="A92" s="118">
        <v>1</v>
      </c>
      <c r="B92" s="24" t="str">
        <f>VLOOKUP(Ruimtestaat[[#This Row],[Code]],Locaties[#All],2,FALSE)</f>
        <v>Rembrandt College</v>
      </c>
      <c r="C92" s="24" t="str">
        <f>VLOOKUP(Ruimtestaat[[#This Row],[Code]],Locaties[#All],4,FALSE)</f>
        <v>Rembrandtlaan 2</v>
      </c>
      <c r="D92" s="24" t="str">
        <f>VLOOKUP(Ruimtestaat[[#This Row],[Code]],Locaties[#All],5,FALSE)</f>
        <v>3904 ZK</v>
      </c>
      <c r="E92" s="24" t="str">
        <f>VLOOKUP(Ruimtestaat[[#This Row],[Code]],Locaties[#All],6,FALSE)</f>
        <v>Veenendaal</v>
      </c>
      <c r="F92" s="66"/>
      <c r="G92" s="24" t="s">
        <v>466</v>
      </c>
      <c r="H92" s="24" t="s">
        <v>711</v>
      </c>
      <c r="I92" s="28" t="s">
        <v>546</v>
      </c>
      <c r="J92" s="66" t="s">
        <v>599</v>
      </c>
      <c r="K92" s="173">
        <v>5</v>
      </c>
      <c r="L92" s="66" t="str">
        <f>VLOOKUP(K92,Ruimtegroepen[],2,FALSE)</f>
        <v>Sanitair</v>
      </c>
      <c r="M92" s="24" t="s">
        <v>113</v>
      </c>
      <c r="N92" s="24" t="s">
        <v>647</v>
      </c>
      <c r="O92" s="92">
        <v>5</v>
      </c>
      <c r="P92" s="172"/>
      <c r="Q92" s="174" t="str">
        <f>LEFT(VLOOKUP(Ruimtestaat[[#This Row],[Ruimte code]],Ruimtegroepen[#All],4,1),2)</f>
        <v xml:space="preserve">S </v>
      </c>
      <c r="R92" s="175"/>
      <c r="S92" s="93">
        <v>50</v>
      </c>
      <c r="T92" s="93" t="s">
        <v>19</v>
      </c>
      <c r="U92" s="94">
        <f>IF(S92&gt;0,IF(RIGHT(Ruimtestaat[[#This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92" s="94">
        <f>IF(U92&gt;0,VLOOKUP($K92,Ruimtegroepen[],3,FALSE)*VLOOKUP($M92,Vloersoorten[],3,FALSE)*VLOOKUP($T92,Frequenties[],3,FALSE)*VLOOKUP($A92,Locaties[],3,FALSE),0)</f>
        <v>0</v>
      </c>
      <c r="W92" s="95">
        <f>Ruimtestaat[[#This Row],[Uitvoeringen werkdagen]]*Ruimtestaat[[#This Row],[Oppervlak (netto)]]</f>
        <v>2500</v>
      </c>
      <c r="X92" s="96">
        <f>IF(V92&gt;0,Ruimtestaat[[#This Row],[Prest. (m2 /jaar) werkdagen]]/Ruimtestaat[[#This Row],[Norm (m2/uur) werkdagen]],0)</f>
        <v>0</v>
      </c>
      <c r="Y92" s="97">
        <f>Ruimtestaat[[#This Row],[uren / jaar werkdagen]]*Tariefsopbouw!$E$35</f>
        <v>0</v>
      </c>
      <c r="Z92" s="94"/>
      <c r="AA92" s="98">
        <f>IF(Ruimtestaat[[#This Row],[Frequentie weekend]]&gt;0,VALUE(LEFT(Z92,1))*S92,0)</f>
        <v>0</v>
      </c>
      <c r="AB92" s="94">
        <f>IF($AA92&gt;0,VLOOKUP($K92,Ruimtegroepen[],3,FALSE)*VLOOKUP($M92,Vloersoorten[],3,FALSE)*VLOOKUP($Z92,Frequenties[],3,FALSE)*VLOOKUP($A88,Locaties[],3,FALSE),0)</f>
        <v>0</v>
      </c>
      <c r="AC92" s="96">
        <f>Ruimtestaat[[#This Row],[Uitvoeringen weekend]]*Ruimtestaat[[#This Row],[Oppervlak (netto)]]</f>
        <v>0</v>
      </c>
      <c r="AD92" s="99">
        <f>IF(AC92&gt;0,Ruimtestaat[[#This Row],[Prest. (m2 /jaar) weekend]]/Ruimtestaat[[#This Row],[Norm (m2/uur) weekend]],0)</f>
        <v>0</v>
      </c>
      <c r="AE92" s="100">
        <f>Ruimtestaat[[#This Row],[uren / jaar weekend]]*Tariefsopbouw!$D$40</f>
        <v>0</v>
      </c>
      <c r="AF92" s="72">
        <f>Ruimtestaat[[#This Row],[Prest. (m2 /jaar) weekend]]+Ruimtestaat[[#This Row],[Prest. (m2 /jaar) werkdagen]]</f>
        <v>2500</v>
      </c>
      <c r="AG92" s="72">
        <f>Ruimtestaat[[#This Row],[uren / jaar weekend]]+Ruimtestaat[[#This Row],[uren / jaar werkdagen]]</f>
        <v>0</v>
      </c>
      <c r="AH92" s="73">
        <f>Ruimtestaat[[#This Row],[kosten / jaar weekend]]+Ruimtestaat[[#This Row],[kosten / jaar werkdagen]]</f>
        <v>0</v>
      </c>
    </row>
    <row r="93" spans="1:34" ht="15" customHeight="1">
      <c r="A93" s="118">
        <v>1</v>
      </c>
      <c r="B93" s="24" t="str">
        <f>VLOOKUP(Ruimtestaat[[#This Row],[Code]],Locaties[#All],2,FALSE)</f>
        <v>Rembrandt College</v>
      </c>
      <c r="C93" s="24" t="str">
        <f>VLOOKUP(Ruimtestaat[[#This Row],[Code]],Locaties[#All],4,FALSE)</f>
        <v>Rembrandtlaan 2</v>
      </c>
      <c r="D93" s="24" t="str">
        <f>VLOOKUP(Ruimtestaat[[#This Row],[Code]],Locaties[#All],5,FALSE)</f>
        <v>3904 ZK</v>
      </c>
      <c r="E93" s="24" t="str">
        <f>VLOOKUP(Ruimtestaat[[#This Row],[Code]],Locaties[#All],6,FALSE)</f>
        <v>Veenendaal</v>
      </c>
      <c r="F93" s="66"/>
      <c r="G93" s="24" t="s">
        <v>466</v>
      </c>
      <c r="H93" s="24"/>
      <c r="I93" s="28" t="s">
        <v>547</v>
      </c>
      <c r="J93" s="4" t="s">
        <v>612</v>
      </c>
      <c r="K93" s="24">
        <v>10</v>
      </c>
      <c r="L93" s="66" t="str">
        <f>VLOOKUP(K93,Ruimtegroepen[],2,FALSE)</f>
        <v>Trappenhuizen/lift</v>
      </c>
      <c r="M93" s="24" t="s">
        <v>114</v>
      </c>
      <c r="N93" s="24" t="s">
        <v>648</v>
      </c>
      <c r="O93" s="92">
        <v>5.8</v>
      </c>
      <c r="P93" s="92"/>
      <c r="Q93" s="101" t="str">
        <f>LEFT(VLOOKUP(Ruimtestaat[[#This Row],[Ruimte code]],Ruimtegroepen[#All],4,1),2)</f>
        <v xml:space="preserve">V </v>
      </c>
      <c r="R93" s="101"/>
      <c r="S93" s="93">
        <v>40</v>
      </c>
      <c r="T93" s="93" t="s">
        <v>2</v>
      </c>
      <c r="U93" s="94">
        <f>IF(S93&gt;0,IF(RIGHT(Ruimtestaat[[#This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3" s="94">
        <f>IF(U93&gt;0,VLOOKUP($K93,Ruimtegroepen[],3,FALSE)*VLOOKUP($M93,Vloersoorten[],3,FALSE)*VLOOKUP($T93,Frequenties[],3,FALSE)*VLOOKUP($A93,Locaties[],3,FALSE),0)</f>
        <v>0</v>
      </c>
      <c r="W93" s="95">
        <f>Ruimtestaat[[#This Row],[Uitvoeringen werkdagen]]*Ruimtestaat[[#This Row],[Oppervlak (netto)]]</f>
        <v>1160</v>
      </c>
      <c r="X93" s="96">
        <f>IF(V93&gt;0,Ruimtestaat[[#This Row],[Prest. (m2 /jaar) werkdagen]]/Ruimtestaat[[#This Row],[Norm (m2/uur) werkdagen]],0)</f>
        <v>0</v>
      </c>
      <c r="Y93" s="97">
        <f>Ruimtestaat[[#This Row],[uren / jaar werkdagen]]*Tariefsopbouw!$E$35</f>
        <v>0</v>
      </c>
      <c r="Z93" s="94"/>
      <c r="AA93" s="98">
        <f>IF(Ruimtestaat[[#This Row],[Frequentie weekend]]&gt;0,VALUE(LEFT(Z93,1))*S93,0)</f>
        <v>0</v>
      </c>
      <c r="AB93" s="94">
        <f>IF($AA93&gt;0,VLOOKUP($K93,Ruimtegroepen[],3,FALSE)*VLOOKUP($M93,Vloersoorten[],3,FALSE)*VLOOKUP($Z93,Frequenties[],3,FALSE)*VLOOKUP($A89,Locaties[],3,FALSE),0)</f>
        <v>0</v>
      </c>
      <c r="AC93" s="96">
        <f>Ruimtestaat[[#This Row],[Uitvoeringen weekend]]*Ruimtestaat[[#This Row],[Oppervlak (netto)]]</f>
        <v>0</v>
      </c>
      <c r="AD93" s="99">
        <f>IF(AC93&gt;0,Ruimtestaat[[#This Row],[Prest. (m2 /jaar) weekend]]/Ruimtestaat[[#This Row],[Norm (m2/uur) weekend]],0)</f>
        <v>0</v>
      </c>
      <c r="AE93" s="100">
        <f>Ruimtestaat[[#This Row],[uren / jaar weekend]]*Tariefsopbouw!$D$40</f>
        <v>0</v>
      </c>
      <c r="AF93" s="72">
        <f>Ruimtestaat[[#This Row],[Prest. (m2 /jaar) weekend]]+Ruimtestaat[[#This Row],[Prest. (m2 /jaar) werkdagen]]</f>
        <v>1160</v>
      </c>
      <c r="AG93" s="72">
        <f>Ruimtestaat[[#This Row],[uren / jaar weekend]]+Ruimtestaat[[#This Row],[uren / jaar werkdagen]]</f>
        <v>0</v>
      </c>
      <c r="AH93" s="73">
        <f>Ruimtestaat[[#This Row],[kosten / jaar weekend]]+Ruimtestaat[[#This Row],[kosten / jaar werkdagen]]</f>
        <v>0</v>
      </c>
    </row>
    <row r="94" spans="1:34" ht="15" customHeight="1">
      <c r="A94" s="118">
        <v>1</v>
      </c>
      <c r="B94" s="24" t="str">
        <f>VLOOKUP(Ruimtestaat[[#This Row],[Code]],Locaties[#All],2,FALSE)</f>
        <v>Rembrandt College</v>
      </c>
      <c r="C94" s="24" t="str">
        <f>VLOOKUP(Ruimtestaat[[#This Row],[Code]],Locaties[#All],4,FALSE)</f>
        <v>Rembrandtlaan 2</v>
      </c>
      <c r="D94" s="24" t="str">
        <f>VLOOKUP(Ruimtestaat[[#This Row],[Code]],Locaties[#All],5,FALSE)</f>
        <v>3904 ZK</v>
      </c>
      <c r="E94" s="24" t="str">
        <f>VLOOKUP(Ruimtestaat[[#This Row],[Code]],Locaties[#All],6,FALSE)</f>
        <v>Veenendaal</v>
      </c>
      <c r="F94" s="66"/>
      <c r="G94" s="24" t="s">
        <v>466</v>
      </c>
      <c r="H94" s="24"/>
      <c r="I94" s="28" t="s">
        <v>548</v>
      </c>
      <c r="J94" s="4" t="s">
        <v>612</v>
      </c>
      <c r="K94" s="24">
        <v>10</v>
      </c>
      <c r="L94" s="66" t="str">
        <f>VLOOKUP(K94,Ruimtegroepen[],2,FALSE)</f>
        <v>Trappenhuizen/lift</v>
      </c>
      <c r="M94" s="24" t="s">
        <v>114</v>
      </c>
      <c r="N94" s="24" t="s">
        <v>648</v>
      </c>
      <c r="O94" s="92">
        <v>16.2</v>
      </c>
      <c r="P94" s="92"/>
      <c r="Q94" s="101" t="str">
        <f>LEFT(VLOOKUP(Ruimtestaat[[#This Row],[Ruimte code]],Ruimtegroepen[#All],4,1),2)</f>
        <v xml:space="preserve">V </v>
      </c>
      <c r="R94" s="101"/>
      <c r="S94" s="93">
        <v>40</v>
      </c>
      <c r="T94" s="93" t="s">
        <v>2</v>
      </c>
      <c r="U94" s="94">
        <f>IF(S94&gt;0,IF(RIGHT(Ruimtestaat[[#This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4" s="94">
        <f>IF(U94&gt;0,VLOOKUP($K94,Ruimtegroepen[],3,FALSE)*VLOOKUP($M94,Vloersoorten[],3,FALSE)*VLOOKUP($T94,Frequenties[],3,FALSE)*VLOOKUP($A94,Locaties[],3,FALSE),0)</f>
        <v>0</v>
      </c>
      <c r="W94" s="95">
        <f>Ruimtestaat[[#This Row],[Uitvoeringen werkdagen]]*Ruimtestaat[[#This Row],[Oppervlak (netto)]]</f>
        <v>3240</v>
      </c>
      <c r="X94" s="96">
        <f>IF(V94&gt;0,Ruimtestaat[[#This Row],[Prest. (m2 /jaar) werkdagen]]/Ruimtestaat[[#This Row],[Norm (m2/uur) werkdagen]],0)</f>
        <v>0</v>
      </c>
      <c r="Y94" s="97">
        <f>Ruimtestaat[[#This Row],[uren / jaar werkdagen]]*Tariefsopbouw!$E$35</f>
        <v>0</v>
      </c>
      <c r="Z94" s="94"/>
      <c r="AA94" s="98">
        <f>IF(Ruimtestaat[[#This Row],[Frequentie weekend]]&gt;0,VALUE(LEFT(Z94,1))*S94,0)</f>
        <v>0</v>
      </c>
      <c r="AB94" s="94">
        <f>IF($AA94&gt;0,VLOOKUP($K94,Ruimtegroepen[],3,FALSE)*VLOOKUP($M94,Vloersoorten[],3,FALSE)*VLOOKUP($Z94,Frequenties[],3,FALSE)*VLOOKUP($A90,Locaties[],3,FALSE),0)</f>
        <v>0</v>
      </c>
      <c r="AC94" s="96">
        <f>Ruimtestaat[[#This Row],[Uitvoeringen weekend]]*Ruimtestaat[[#This Row],[Oppervlak (netto)]]</f>
        <v>0</v>
      </c>
      <c r="AD94" s="99">
        <f>IF(AC94&gt;0,Ruimtestaat[[#This Row],[Prest. (m2 /jaar) weekend]]/Ruimtestaat[[#This Row],[Norm (m2/uur) weekend]],0)</f>
        <v>0</v>
      </c>
      <c r="AE94" s="100">
        <f>Ruimtestaat[[#This Row],[uren / jaar weekend]]*Tariefsopbouw!$D$40</f>
        <v>0</v>
      </c>
      <c r="AF94" s="72">
        <f>Ruimtestaat[[#This Row],[Prest. (m2 /jaar) weekend]]+Ruimtestaat[[#This Row],[Prest. (m2 /jaar) werkdagen]]</f>
        <v>3240</v>
      </c>
      <c r="AG94" s="72">
        <f>Ruimtestaat[[#This Row],[uren / jaar weekend]]+Ruimtestaat[[#This Row],[uren / jaar werkdagen]]</f>
        <v>0</v>
      </c>
      <c r="AH94" s="73">
        <f>Ruimtestaat[[#This Row],[kosten / jaar weekend]]+Ruimtestaat[[#This Row],[kosten / jaar werkdagen]]</f>
        <v>0</v>
      </c>
    </row>
    <row r="95" spans="1:34" ht="15" customHeight="1">
      <c r="A95" s="118">
        <v>1</v>
      </c>
      <c r="B95" s="24" t="str">
        <f>VLOOKUP(Ruimtestaat[[#This Row],[Code]],Locaties[#All],2,FALSE)</f>
        <v>Rembrandt College</v>
      </c>
      <c r="C95" s="24" t="str">
        <f>VLOOKUP(Ruimtestaat[[#This Row],[Code]],Locaties[#All],4,FALSE)</f>
        <v>Rembrandtlaan 2</v>
      </c>
      <c r="D95" s="24" t="str">
        <f>VLOOKUP(Ruimtestaat[[#This Row],[Code]],Locaties[#All],5,FALSE)</f>
        <v>3904 ZK</v>
      </c>
      <c r="E95" s="24" t="str">
        <f>VLOOKUP(Ruimtestaat[[#This Row],[Code]],Locaties[#All],6,FALSE)</f>
        <v>Veenendaal</v>
      </c>
      <c r="F95" s="66"/>
      <c r="G95" s="24" t="s">
        <v>466</v>
      </c>
      <c r="H95" s="24"/>
      <c r="I95" s="28" t="s">
        <v>549</v>
      </c>
      <c r="J95" s="4" t="s">
        <v>612</v>
      </c>
      <c r="K95" s="24">
        <v>10</v>
      </c>
      <c r="L95" s="66" t="str">
        <f>VLOOKUP(K95,Ruimtegroepen[],2,FALSE)</f>
        <v>Trappenhuizen/lift</v>
      </c>
      <c r="M95" s="24" t="s">
        <v>114</v>
      </c>
      <c r="N95" s="24" t="s">
        <v>648</v>
      </c>
      <c r="O95" s="92">
        <v>10</v>
      </c>
      <c r="P95" s="92"/>
      <c r="Q95" s="101" t="str">
        <f>LEFT(VLOOKUP(Ruimtestaat[[#This Row],[Ruimte code]],Ruimtegroepen[#All],4,1),2)</f>
        <v xml:space="preserve">V </v>
      </c>
      <c r="R95" s="101"/>
      <c r="S95" s="93">
        <v>40</v>
      </c>
      <c r="T95" s="93" t="s">
        <v>2</v>
      </c>
      <c r="U95" s="94">
        <f>IF(S95&gt;0,IF(RIGHT(Ruimtestaat[[#This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5" s="94">
        <f>IF(U95&gt;0,VLOOKUP($K95,Ruimtegroepen[],3,FALSE)*VLOOKUP($M95,Vloersoorten[],3,FALSE)*VLOOKUP($T95,Frequenties[],3,FALSE)*VLOOKUP($A95,Locaties[],3,FALSE),0)</f>
        <v>0</v>
      </c>
      <c r="W95" s="95">
        <f>Ruimtestaat[[#This Row],[Uitvoeringen werkdagen]]*Ruimtestaat[[#This Row],[Oppervlak (netto)]]</f>
        <v>2000</v>
      </c>
      <c r="X95" s="96">
        <f>IF(V95&gt;0,Ruimtestaat[[#This Row],[Prest. (m2 /jaar) werkdagen]]/Ruimtestaat[[#This Row],[Norm (m2/uur) werkdagen]],0)</f>
        <v>0</v>
      </c>
      <c r="Y95" s="97">
        <f>Ruimtestaat[[#This Row],[uren / jaar werkdagen]]*Tariefsopbouw!$E$35</f>
        <v>0</v>
      </c>
      <c r="Z95" s="94"/>
      <c r="AA95" s="98">
        <f>IF(Ruimtestaat[[#This Row],[Frequentie weekend]]&gt;0,VALUE(LEFT(Z95,1))*S95,0)</f>
        <v>0</v>
      </c>
      <c r="AB95" s="94">
        <f>IF($AA95&gt;0,VLOOKUP($K95,Ruimtegroepen[],3,FALSE)*VLOOKUP($M95,Vloersoorten[],3,FALSE)*VLOOKUP($Z95,Frequenties[],3,FALSE)*VLOOKUP($A91,Locaties[],3,FALSE),0)</f>
        <v>0</v>
      </c>
      <c r="AC95" s="96">
        <f>Ruimtestaat[[#This Row],[Uitvoeringen weekend]]*Ruimtestaat[[#This Row],[Oppervlak (netto)]]</f>
        <v>0</v>
      </c>
      <c r="AD95" s="99">
        <f>IF(AC95&gt;0,Ruimtestaat[[#This Row],[Prest. (m2 /jaar) weekend]]/Ruimtestaat[[#This Row],[Norm (m2/uur) weekend]],0)</f>
        <v>0</v>
      </c>
      <c r="AE95" s="100">
        <f>Ruimtestaat[[#This Row],[uren / jaar weekend]]*Tariefsopbouw!$D$40</f>
        <v>0</v>
      </c>
      <c r="AF95" s="72">
        <f>Ruimtestaat[[#This Row],[Prest. (m2 /jaar) weekend]]+Ruimtestaat[[#This Row],[Prest. (m2 /jaar) werkdagen]]</f>
        <v>2000</v>
      </c>
      <c r="AG95" s="72">
        <f>Ruimtestaat[[#This Row],[uren / jaar weekend]]+Ruimtestaat[[#This Row],[uren / jaar werkdagen]]</f>
        <v>0</v>
      </c>
      <c r="AH95" s="73">
        <f>Ruimtestaat[[#This Row],[kosten / jaar weekend]]+Ruimtestaat[[#This Row],[kosten / jaar werkdagen]]</f>
        <v>0</v>
      </c>
    </row>
    <row r="96" spans="1:34" ht="15" customHeight="1">
      <c r="A96" s="118">
        <v>1</v>
      </c>
      <c r="B96" s="24" t="str">
        <f>VLOOKUP(Ruimtestaat[[#This Row],[Code]],Locaties[#All],2,FALSE)</f>
        <v>Rembrandt College</v>
      </c>
      <c r="C96" s="24" t="str">
        <f>VLOOKUP(Ruimtestaat[[#This Row],[Code]],Locaties[#All],4,FALSE)</f>
        <v>Rembrandtlaan 2</v>
      </c>
      <c r="D96" s="24" t="str">
        <f>VLOOKUP(Ruimtestaat[[#This Row],[Code]],Locaties[#All],5,FALSE)</f>
        <v>3904 ZK</v>
      </c>
      <c r="E96" s="24" t="str">
        <f>VLOOKUP(Ruimtestaat[[#This Row],[Code]],Locaties[#All],6,FALSE)</f>
        <v>Veenendaal</v>
      </c>
      <c r="F96" s="66"/>
      <c r="G96" s="24" t="s">
        <v>466</v>
      </c>
      <c r="H96" s="24"/>
      <c r="I96" s="28" t="s">
        <v>550</v>
      </c>
      <c r="J96" s="4" t="s">
        <v>634</v>
      </c>
      <c r="K96" s="24">
        <v>12</v>
      </c>
      <c r="L96" s="66" t="str">
        <f>VLOOKUP(K96,Ruimtegroepen[],2,FALSE)</f>
        <v>Kantine</v>
      </c>
      <c r="M96" s="24" t="s">
        <v>645</v>
      </c>
      <c r="N96" s="24" t="s">
        <v>384</v>
      </c>
      <c r="O96" s="92">
        <v>107</v>
      </c>
      <c r="P96" s="92"/>
      <c r="Q96" s="101" t="str">
        <f>LEFT(VLOOKUP(Ruimtestaat[[#This Row],[Ruimte code]],Ruimtegroepen[#All],4,1),2)</f>
        <v xml:space="preserve">V </v>
      </c>
      <c r="R96" s="101"/>
      <c r="S96" s="93">
        <v>40</v>
      </c>
      <c r="T96" s="93" t="s">
        <v>2</v>
      </c>
      <c r="U96" s="94">
        <f>IF(S96&gt;0,IF(RIGHT(Ruimtestaat[[#This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6" s="94">
        <f>IF(U96&gt;0,VLOOKUP($K96,Ruimtegroepen[],3,FALSE)*VLOOKUP($M96,Vloersoorten[],3,FALSE)*VLOOKUP($T96,Frequenties[],3,FALSE)*VLOOKUP($A96,Locaties[],3,FALSE),0)</f>
        <v>0</v>
      </c>
      <c r="W96" s="95">
        <f>Ruimtestaat[[#This Row],[Uitvoeringen werkdagen]]*Ruimtestaat[[#This Row],[Oppervlak (netto)]]</f>
        <v>21400</v>
      </c>
      <c r="X96" s="96">
        <f>IF(V96&gt;0,Ruimtestaat[[#This Row],[Prest. (m2 /jaar) werkdagen]]/Ruimtestaat[[#This Row],[Norm (m2/uur) werkdagen]],0)</f>
        <v>0</v>
      </c>
      <c r="Y96" s="97">
        <f>Ruimtestaat[[#This Row],[uren / jaar werkdagen]]*Tariefsopbouw!$E$35</f>
        <v>0</v>
      </c>
      <c r="Z96" s="94"/>
      <c r="AA96" s="98">
        <f>IF(Ruimtestaat[[#This Row],[Frequentie weekend]]&gt;0,VALUE(LEFT(Z96,1))*S96,0)</f>
        <v>0</v>
      </c>
      <c r="AB96" s="94">
        <f>IF($AA96&gt;0,VLOOKUP($K96,Ruimtegroepen[],3,FALSE)*VLOOKUP($M96,Vloersoorten[],3,FALSE)*VLOOKUP($Z96,Frequenties[],3,FALSE)*VLOOKUP($A92,Locaties[],3,FALSE),0)</f>
        <v>0</v>
      </c>
      <c r="AC96" s="96">
        <f>Ruimtestaat[[#This Row],[Uitvoeringen weekend]]*Ruimtestaat[[#This Row],[Oppervlak (netto)]]</f>
        <v>0</v>
      </c>
      <c r="AD96" s="99">
        <f>IF(AC96&gt;0,Ruimtestaat[[#This Row],[Prest. (m2 /jaar) weekend]]/Ruimtestaat[[#This Row],[Norm (m2/uur) weekend]],0)</f>
        <v>0</v>
      </c>
      <c r="AE96" s="100">
        <f>Ruimtestaat[[#This Row],[uren / jaar weekend]]*Tariefsopbouw!$D$40</f>
        <v>0</v>
      </c>
      <c r="AF96" s="72">
        <f>Ruimtestaat[[#This Row],[Prest. (m2 /jaar) weekend]]+Ruimtestaat[[#This Row],[Prest. (m2 /jaar) werkdagen]]</f>
        <v>21400</v>
      </c>
      <c r="AG96" s="72">
        <f>Ruimtestaat[[#This Row],[uren / jaar weekend]]+Ruimtestaat[[#This Row],[uren / jaar werkdagen]]</f>
        <v>0</v>
      </c>
      <c r="AH96" s="73">
        <f>Ruimtestaat[[#This Row],[kosten / jaar weekend]]+Ruimtestaat[[#This Row],[kosten / jaar werkdagen]]</f>
        <v>0</v>
      </c>
    </row>
    <row r="97" spans="1:34" ht="15" customHeight="1">
      <c r="A97" s="118">
        <v>1</v>
      </c>
      <c r="B97" s="24" t="str">
        <f>VLOOKUP(Ruimtestaat[[#This Row],[Code]],Locaties[#All],2,FALSE)</f>
        <v>Rembrandt College</v>
      </c>
      <c r="C97" s="24" t="str">
        <f>VLOOKUP(Ruimtestaat[[#This Row],[Code]],Locaties[#All],4,FALSE)</f>
        <v>Rembrandtlaan 2</v>
      </c>
      <c r="D97" s="24" t="str">
        <f>VLOOKUP(Ruimtestaat[[#This Row],[Code]],Locaties[#All],5,FALSE)</f>
        <v>3904 ZK</v>
      </c>
      <c r="E97" s="24" t="str">
        <f>VLOOKUP(Ruimtestaat[[#This Row],[Code]],Locaties[#All],6,FALSE)</f>
        <v>Veenendaal</v>
      </c>
      <c r="F97" s="66"/>
      <c r="G97" s="24" t="s">
        <v>466</v>
      </c>
      <c r="H97" s="24"/>
      <c r="I97" s="28" t="s">
        <v>551</v>
      </c>
      <c r="J97" s="4" t="s">
        <v>604</v>
      </c>
      <c r="K97" s="24">
        <v>6</v>
      </c>
      <c r="L97" s="66" t="str">
        <f>VLOOKUP(K97,Ruimtegroepen[],2,FALSE)</f>
        <v>Gangen/hallen</v>
      </c>
      <c r="M97" s="24" t="s">
        <v>645</v>
      </c>
      <c r="N97" s="24" t="s">
        <v>384</v>
      </c>
      <c r="O97" s="92">
        <v>60</v>
      </c>
      <c r="P97" s="92"/>
      <c r="Q97" s="101" t="str">
        <f>LEFT(VLOOKUP(Ruimtestaat[[#This Row],[Ruimte code]],Ruimtegroepen[#All],4,1),2)</f>
        <v xml:space="preserve">V </v>
      </c>
      <c r="R97" s="101"/>
      <c r="S97" s="93">
        <v>40</v>
      </c>
      <c r="T97" s="93" t="s">
        <v>2</v>
      </c>
      <c r="U97" s="94">
        <f>IF(S97&gt;0,IF(RIGHT(Ruimtestaat[[#This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7" s="94">
        <f>IF(U97&gt;0,VLOOKUP($K97,Ruimtegroepen[],3,FALSE)*VLOOKUP($M97,Vloersoorten[],3,FALSE)*VLOOKUP($T97,Frequenties[],3,FALSE)*VLOOKUP($A97,Locaties[],3,FALSE),0)</f>
        <v>0</v>
      </c>
      <c r="W97" s="95">
        <f>Ruimtestaat[[#This Row],[Uitvoeringen werkdagen]]*Ruimtestaat[[#This Row],[Oppervlak (netto)]]</f>
        <v>12000</v>
      </c>
      <c r="X97" s="96">
        <f>IF(V97&gt;0,Ruimtestaat[[#This Row],[Prest. (m2 /jaar) werkdagen]]/Ruimtestaat[[#This Row],[Norm (m2/uur) werkdagen]],0)</f>
        <v>0</v>
      </c>
      <c r="Y97" s="97">
        <f>Ruimtestaat[[#This Row],[uren / jaar werkdagen]]*Tariefsopbouw!$E$35</f>
        <v>0</v>
      </c>
      <c r="Z97" s="94"/>
      <c r="AA97" s="98">
        <f>IF(Ruimtestaat[[#This Row],[Frequentie weekend]]&gt;0,VALUE(LEFT(Z97,1))*S97,0)</f>
        <v>0</v>
      </c>
      <c r="AB97" s="94">
        <f>IF($AA97&gt;0,VLOOKUP($K97,Ruimtegroepen[],3,FALSE)*VLOOKUP($M97,Vloersoorten[],3,FALSE)*VLOOKUP($Z97,Frequenties[],3,FALSE)*VLOOKUP($A93,Locaties[],3,FALSE),0)</f>
        <v>0</v>
      </c>
      <c r="AC97" s="96">
        <f>Ruimtestaat[[#This Row],[Uitvoeringen weekend]]*Ruimtestaat[[#This Row],[Oppervlak (netto)]]</f>
        <v>0</v>
      </c>
      <c r="AD97" s="99">
        <f>IF(AC97&gt;0,Ruimtestaat[[#This Row],[Prest. (m2 /jaar) weekend]]/Ruimtestaat[[#This Row],[Norm (m2/uur) weekend]],0)</f>
        <v>0</v>
      </c>
      <c r="AE97" s="100">
        <f>Ruimtestaat[[#This Row],[uren / jaar weekend]]*Tariefsopbouw!$D$40</f>
        <v>0</v>
      </c>
      <c r="AF97" s="72">
        <f>Ruimtestaat[[#This Row],[Prest. (m2 /jaar) weekend]]+Ruimtestaat[[#This Row],[Prest. (m2 /jaar) werkdagen]]</f>
        <v>12000</v>
      </c>
      <c r="AG97" s="72">
        <f>Ruimtestaat[[#This Row],[uren / jaar weekend]]+Ruimtestaat[[#This Row],[uren / jaar werkdagen]]</f>
        <v>0</v>
      </c>
      <c r="AH97" s="73">
        <f>Ruimtestaat[[#This Row],[kosten / jaar weekend]]+Ruimtestaat[[#This Row],[kosten / jaar werkdagen]]</f>
        <v>0</v>
      </c>
    </row>
    <row r="98" spans="1:34" ht="15" customHeight="1">
      <c r="A98" s="118">
        <v>1</v>
      </c>
      <c r="B98" s="24" t="str">
        <f>VLOOKUP(Ruimtestaat[[#This Row],[Code]],Locaties[#All],2,FALSE)</f>
        <v>Rembrandt College</v>
      </c>
      <c r="C98" s="24" t="str">
        <f>VLOOKUP(Ruimtestaat[[#This Row],[Code]],Locaties[#All],4,FALSE)</f>
        <v>Rembrandtlaan 2</v>
      </c>
      <c r="D98" s="24" t="str">
        <f>VLOOKUP(Ruimtestaat[[#This Row],[Code]],Locaties[#All],5,FALSE)</f>
        <v>3904 ZK</v>
      </c>
      <c r="E98" s="24" t="str">
        <f>VLOOKUP(Ruimtestaat[[#This Row],[Code]],Locaties[#All],6,FALSE)</f>
        <v>Veenendaal</v>
      </c>
      <c r="F98" s="66"/>
      <c r="G98" s="24" t="s">
        <v>466</v>
      </c>
      <c r="H98" s="24" t="s">
        <v>712</v>
      </c>
      <c r="I98" s="28" t="s">
        <v>552</v>
      </c>
      <c r="J98" s="4" t="s">
        <v>635</v>
      </c>
      <c r="K98" s="24">
        <v>5</v>
      </c>
      <c r="L98" s="66" t="str">
        <f>VLOOKUP(K98,Ruimtegroepen[],2,FALSE)</f>
        <v>Sanitair</v>
      </c>
      <c r="M98" s="24" t="s">
        <v>113</v>
      </c>
      <c r="N98" s="24" t="s">
        <v>647</v>
      </c>
      <c r="O98" s="92">
        <v>6.5</v>
      </c>
      <c r="P98" s="92"/>
      <c r="Q98" s="101" t="str">
        <f>LEFT(VLOOKUP(Ruimtestaat[[#This Row],[Ruimte code]],Ruimtegroepen[#All],4,1),2)</f>
        <v xml:space="preserve">S </v>
      </c>
      <c r="R98" s="101"/>
      <c r="S98" s="93">
        <v>50</v>
      </c>
      <c r="T98" s="93" t="s">
        <v>19</v>
      </c>
      <c r="U98" s="94">
        <f>IF(S98&gt;0,IF(RIGHT(Ruimtestaat[[#This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98" s="94">
        <f>IF(U98&gt;0,VLOOKUP($K98,Ruimtegroepen[],3,FALSE)*VLOOKUP($M98,Vloersoorten[],3,FALSE)*VLOOKUP($T98,Frequenties[],3,FALSE)*VLOOKUP($A98,Locaties[],3,FALSE),0)</f>
        <v>0</v>
      </c>
      <c r="W98" s="95">
        <f>Ruimtestaat[[#This Row],[Uitvoeringen werkdagen]]*Ruimtestaat[[#This Row],[Oppervlak (netto)]]</f>
        <v>3250</v>
      </c>
      <c r="X98" s="96">
        <f>IF(V98&gt;0,Ruimtestaat[[#This Row],[Prest. (m2 /jaar) werkdagen]]/Ruimtestaat[[#This Row],[Norm (m2/uur) werkdagen]],0)</f>
        <v>0</v>
      </c>
      <c r="Y98" s="97">
        <f>Ruimtestaat[[#This Row],[uren / jaar werkdagen]]*Tariefsopbouw!$E$35</f>
        <v>0</v>
      </c>
      <c r="Z98" s="94"/>
      <c r="AA98" s="98">
        <f>IF(Ruimtestaat[[#This Row],[Frequentie weekend]]&gt;0,VALUE(LEFT(Z98,1))*S98,0)</f>
        <v>0</v>
      </c>
      <c r="AB98" s="94">
        <f>IF($AA98&gt;0,VLOOKUP($K98,Ruimtegroepen[],3,FALSE)*VLOOKUP($M98,Vloersoorten[],3,FALSE)*VLOOKUP($Z98,Frequenties[],3,FALSE)*VLOOKUP($A94,Locaties[],3,FALSE),0)</f>
        <v>0</v>
      </c>
      <c r="AC98" s="96">
        <f>Ruimtestaat[[#This Row],[Uitvoeringen weekend]]*Ruimtestaat[[#This Row],[Oppervlak (netto)]]</f>
        <v>0</v>
      </c>
      <c r="AD98" s="99">
        <f>IF(AC98&gt;0,Ruimtestaat[[#This Row],[Prest. (m2 /jaar) weekend]]/Ruimtestaat[[#This Row],[Norm (m2/uur) weekend]],0)</f>
        <v>0</v>
      </c>
      <c r="AE98" s="100">
        <f>Ruimtestaat[[#This Row],[uren / jaar weekend]]*Tariefsopbouw!$D$40</f>
        <v>0</v>
      </c>
      <c r="AF98" s="72">
        <f>Ruimtestaat[[#This Row],[Prest. (m2 /jaar) weekend]]+Ruimtestaat[[#This Row],[Prest. (m2 /jaar) werkdagen]]</f>
        <v>3250</v>
      </c>
      <c r="AG98" s="72">
        <f>Ruimtestaat[[#This Row],[uren / jaar weekend]]+Ruimtestaat[[#This Row],[uren / jaar werkdagen]]</f>
        <v>0</v>
      </c>
      <c r="AH98" s="73">
        <f>Ruimtestaat[[#This Row],[kosten / jaar weekend]]+Ruimtestaat[[#This Row],[kosten / jaar werkdagen]]</f>
        <v>0</v>
      </c>
    </row>
    <row r="99" spans="1:34" ht="15" customHeight="1">
      <c r="A99" s="118">
        <v>1</v>
      </c>
      <c r="B99" s="24" t="str">
        <f>VLOOKUP(Ruimtestaat[[#This Row],[Code]],Locaties[#All],2,FALSE)</f>
        <v>Rembrandt College</v>
      </c>
      <c r="C99" s="24" t="str">
        <f>VLOOKUP(Ruimtestaat[[#This Row],[Code]],Locaties[#All],4,FALSE)</f>
        <v>Rembrandtlaan 2</v>
      </c>
      <c r="D99" s="24" t="str">
        <f>VLOOKUP(Ruimtestaat[[#This Row],[Code]],Locaties[#All],5,FALSE)</f>
        <v>3904 ZK</v>
      </c>
      <c r="E99" s="24" t="str">
        <f>VLOOKUP(Ruimtestaat[[#This Row],[Code]],Locaties[#All],6,FALSE)</f>
        <v>Veenendaal</v>
      </c>
      <c r="F99" s="66"/>
      <c r="G99" s="24" t="s">
        <v>466</v>
      </c>
      <c r="H99" s="24" t="s">
        <v>713</v>
      </c>
      <c r="I99" s="28" t="s">
        <v>553</v>
      </c>
      <c r="J99" s="4" t="s">
        <v>636</v>
      </c>
      <c r="K99" s="24">
        <v>5</v>
      </c>
      <c r="L99" s="66" t="str">
        <f>VLOOKUP(K99,Ruimtegroepen[],2,FALSE)</f>
        <v>Sanitair</v>
      </c>
      <c r="M99" s="24" t="s">
        <v>113</v>
      </c>
      <c r="N99" s="24" t="s">
        <v>647</v>
      </c>
      <c r="O99" s="92">
        <v>3.5</v>
      </c>
      <c r="P99" s="92"/>
      <c r="Q99" s="101" t="str">
        <f>LEFT(VLOOKUP(Ruimtestaat[[#This Row],[Ruimte code]],Ruimtegroepen[#All],4,1),2)</f>
        <v xml:space="preserve">S </v>
      </c>
      <c r="R99" s="101"/>
      <c r="S99" s="93">
        <v>50</v>
      </c>
      <c r="T99" s="93" t="s">
        <v>19</v>
      </c>
      <c r="U99" s="94">
        <f>IF(S99&gt;0,IF(RIGHT(Ruimtestaat[[#This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99" s="94">
        <f>IF(U99&gt;0,VLOOKUP($K99,Ruimtegroepen[],3,FALSE)*VLOOKUP($M99,Vloersoorten[],3,FALSE)*VLOOKUP($T99,Frequenties[],3,FALSE)*VLOOKUP($A99,Locaties[],3,FALSE),0)</f>
        <v>0</v>
      </c>
      <c r="W99" s="95">
        <f>Ruimtestaat[[#This Row],[Uitvoeringen werkdagen]]*Ruimtestaat[[#This Row],[Oppervlak (netto)]]</f>
        <v>1750</v>
      </c>
      <c r="X99" s="96">
        <f>IF(V99&gt;0,Ruimtestaat[[#This Row],[Prest. (m2 /jaar) werkdagen]]/Ruimtestaat[[#This Row],[Norm (m2/uur) werkdagen]],0)</f>
        <v>0</v>
      </c>
      <c r="Y99" s="97">
        <f>Ruimtestaat[[#This Row],[uren / jaar werkdagen]]*Tariefsopbouw!$E$35</f>
        <v>0</v>
      </c>
      <c r="Z99" s="94"/>
      <c r="AA99" s="98">
        <f>IF(Ruimtestaat[[#This Row],[Frequentie weekend]]&gt;0,VALUE(LEFT(Z99,1))*S99,0)</f>
        <v>0</v>
      </c>
      <c r="AB99" s="94">
        <f>IF($AA99&gt;0,VLOOKUP($K99,Ruimtegroepen[],3,FALSE)*VLOOKUP($M99,Vloersoorten[],3,FALSE)*VLOOKUP($Z99,Frequenties[],3,FALSE)*VLOOKUP($A95,Locaties[],3,FALSE),0)</f>
        <v>0</v>
      </c>
      <c r="AC99" s="96">
        <f>Ruimtestaat[[#This Row],[Uitvoeringen weekend]]*Ruimtestaat[[#This Row],[Oppervlak (netto)]]</f>
        <v>0</v>
      </c>
      <c r="AD99" s="99">
        <f>IF(AC99&gt;0,Ruimtestaat[[#This Row],[Prest. (m2 /jaar) weekend]]/Ruimtestaat[[#This Row],[Norm (m2/uur) weekend]],0)</f>
        <v>0</v>
      </c>
      <c r="AE99" s="100">
        <f>Ruimtestaat[[#This Row],[uren / jaar weekend]]*Tariefsopbouw!$D$40</f>
        <v>0</v>
      </c>
      <c r="AF99" s="72">
        <f>Ruimtestaat[[#This Row],[Prest. (m2 /jaar) weekend]]+Ruimtestaat[[#This Row],[Prest. (m2 /jaar) werkdagen]]</f>
        <v>1750</v>
      </c>
      <c r="AG99" s="72">
        <f>Ruimtestaat[[#This Row],[uren / jaar weekend]]+Ruimtestaat[[#This Row],[uren / jaar werkdagen]]</f>
        <v>0</v>
      </c>
      <c r="AH99" s="73">
        <f>Ruimtestaat[[#This Row],[kosten / jaar weekend]]+Ruimtestaat[[#This Row],[kosten / jaar werkdagen]]</f>
        <v>0</v>
      </c>
    </row>
    <row r="100" spans="1:34" ht="15" customHeight="1">
      <c r="A100" s="118">
        <v>1</v>
      </c>
      <c r="B100" s="24" t="str">
        <f>VLOOKUP(Ruimtestaat[[#This Row],[Code]],Locaties[#All],2,FALSE)</f>
        <v>Rembrandt College</v>
      </c>
      <c r="C100" s="24" t="str">
        <f>VLOOKUP(Ruimtestaat[[#This Row],[Code]],Locaties[#All],4,FALSE)</f>
        <v>Rembrandtlaan 2</v>
      </c>
      <c r="D100" s="24" t="str">
        <f>VLOOKUP(Ruimtestaat[[#This Row],[Code]],Locaties[#All],5,FALSE)</f>
        <v>3904 ZK</v>
      </c>
      <c r="E100" s="24" t="str">
        <f>VLOOKUP(Ruimtestaat[[#This Row],[Code]],Locaties[#All],6,FALSE)</f>
        <v>Veenendaal</v>
      </c>
      <c r="F100" s="66"/>
      <c r="G100" s="24" t="s">
        <v>466</v>
      </c>
      <c r="H100" s="24" t="s">
        <v>714</v>
      </c>
      <c r="I100" s="28"/>
      <c r="J100" s="4" t="s">
        <v>614</v>
      </c>
      <c r="K100" s="24">
        <v>2</v>
      </c>
      <c r="L100" s="66" t="str">
        <f>VLOOKUP(K100,Ruimtegroepen[],2,FALSE)</f>
        <v>Kantoren</v>
      </c>
      <c r="M100" s="24" t="s">
        <v>645</v>
      </c>
      <c r="N100" s="24" t="s">
        <v>384</v>
      </c>
      <c r="O100" s="92">
        <v>12</v>
      </c>
      <c r="P100" s="92"/>
      <c r="Q100" s="101" t="str">
        <f>LEFT(VLOOKUP(Ruimtestaat[[#This Row],[Ruimte code]],Ruimtegroepen[#All],4,1),2)</f>
        <v xml:space="preserve">B </v>
      </c>
      <c r="R100" s="101"/>
      <c r="S100" s="93">
        <v>42</v>
      </c>
      <c r="T100" s="93" t="s">
        <v>18</v>
      </c>
      <c r="U100" s="94">
        <f>IF(S100&gt;0,IF(RIGHT(Ruimtestaat[[#This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100" s="94">
        <f>IF(U100&gt;0,VLOOKUP($K100,Ruimtegroepen[],3,FALSE)*VLOOKUP($M100,Vloersoorten[],3,FALSE)*VLOOKUP($T100,Frequenties[],3,FALSE)*VLOOKUP($A100,Locaties[],3,FALSE),0)</f>
        <v>0</v>
      </c>
      <c r="W100" s="95">
        <f>Ruimtestaat[[#This Row],[Uitvoeringen werkdagen]]*Ruimtestaat[[#This Row],[Oppervlak (netto)]]</f>
        <v>1512</v>
      </c>
      <c r="X100" s="96">
        <f>IF(V100&gt;0,Ruimtestaat[[#This Row],[Prest. (m2 /jaar) werkdagen]]/Ruimtestaat[[#This Row],[Norm (m2/uur) werkdagen]],0)</f>
        <v>0</v>
      </c>
      <c r="Y100" s="97">
        <f>Ruimtestaat[[#This Row],[uren / jaar werkdagen]]*Tariefsopbouw!$E$35</f>
        <v>0</v>
      </c>
      <c r="Z100" s="94"/>
      <c r="AA100" s="98">
        <f>IF(Ruimtestaat[[#This Row],[Frequentie weekend]]&gt;0,VALUE(LEFT(Z100,1))*S100,0)</f>
        <v>0</v>
      </c>
      <c r="AB100" s="94">
        <f>IF($AA100&gt;0,VLOOKUP($K100,Ruimtegroepen[],3,FALSE)*VLOOKUP($M100,Vloersoorten[],3,FALSE)*VLOOKUP($Z100,Frequenties[],3,FALSE)*VLOOKUP($A94,Locaties[],3,FALSE),0)</f>
        <v>0</v>
      </c>
      <c r="AC100" s="96">
        <f>Ruimtestaat[[#This Row],[Uitvoeringen weekend]]*Ruimtestaat[[#This Row],[Oppervlak (netto)]]</f>
        <v>0</v>
      </c>
      <c r="AD100" s="99">
        <f>IF(AC100&gt;0,Ruimtestaat[[#This Row],[Prest. (m2 /jaar) weekend]]/Ruimtestaat[[#This Row],[Norm (m2/uur) weekend]],0)</f>
        <v>0</v>
      </c>
      <c r="AE100" s="100">
        <f>Ruimtestaat[[#This Row],[uren / jaar weekend]]*Tariefsopbouw!$D$40</f>
        <v>0</v>
      </c>
      <c r="AF100" s="72">
        <f>Ruimtestaat[[#This Row],[Prest. (m2 /jaar) weekend]]+Ruimtestaat[[#This Row],[Prest. (m2 /jaar) werkdagen]]</f>
        <v>1512</v>
      </c>
      <c r="AG100" s="72">
        <f>Ruimtestaat[[#This Row],[uren / jaar weekend]]+Ruimtestaat[[#This Row],[uren / jaar werkdagen]]</f>
        <v>0</v>
      </c>
      <c r="AH100" s="73">
        <f>Ruimtestaat[[#This Row],[kosten / jaar weekend]]+Ruimtestaat[[#This Row],[kosten / jaar werkdagen]]</f>
        <v>0</v>
      </c>
    </row>
    <row r="101" spans="1:34" ht="15" customHeight="1">
      <c r="A101" s="118">
        <v>1</v>
      </c>
      <c r="B101" s="24" t="str">
        <f>VLOOKUP(Ruimtestaat[[#This Row],[Code]],Locaties[#All],2,FALSE)</f>
        <v>Rembrandt College</v>
      </c>
      <c r="C101" s="24" t="str">
        <f>VLOOKUP(Ruimtestaat[[#This Row],[Code]],Locaties[#All],4,FALSE)</f>
        <v>Rembrandtlaan 2</v>
      </c>
      <c r="D101" s="24" t="str">
        <f>VLOOKUP(Ruimtestaat[[#This Row],[Code]],Locaties[#All],5,FALSE)</f>
        <v>3904 ZK</v>
      </c>
      <c r="E101" s="24" t="str">
        <f>VLOOKUP(Ruimtestaat[[#This Row],[Code]],Locaties[#All],6,FALSE)</f>
        <v>Veenendaal</v>
      </c>
      <c r="F101" s="66"/>
      <c r="G101" s="24" t="s">
        <v>466</v>
      </c>
      <c r="H101" s="24" t="s">
        <v>715</v>
      </c>
      <c r="I101" s="28"/>
      <c r="J101" s="4" t="s">
        <v>615</v>
      </c>
      <c r="K101" s="24">
        <v>2</v>
      </c>
      <c r="L101" s="66" t="str">
        <f>VLOOKUP(K101,Ruimtegroepen[],2,FALSE)</f>
        <v>Kantoren</v>
      </c>
      <c r="M101" s="24" t="s">
        <v>645</v>
      </c>
      <c r="N101" s="24" t="s">
        <v>384</v>
      </c>
      <c r="O101" s="92">
        <v>12</v>
      </c>
      <c r="P101" s="92"/>
      <c r="Q101" s="101" t="str">
        <f>LEFT(VLOOKUP(Ruimtestaat[[#This Row],[Ruimte code]],Ruimtegroepen[#All],4,1),2)</f>
        <v xml:space="preserve">B </v>
      </c>
      <c r="R101" s="101"/>
      <c r="S101" s="93">
        <v>42</v>
      </c>
      <c r="T101" s="93" t="s">
        <v>18</v>
      </c>
      <c r="U101" s="94">
        <f>IF(S101&gt;0,IF(RIGHT(Ruimtestaat[[#This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101" s="94">
        <f>IF(U101&gt;0,VLOOKUP($K101,Ruimtegroepen[],3,FALSE)*VLOOKUP($M101,Vloersoorten[],3,FALSE)*VLOOKUP($T101,Frequenties[],3,FALSE)*VLOOKUP($A101,Locaties[],3,FALSE),0)</f>
        <v>0</v>
      </c>
      <c r="W101" s="95">
        <f>Ruimtestaat[[#This Row],[Uitvoeringen werkdagen]]*Ruimtestaat[[#This Row],[Oppervlak (netto)]]</f>
        <v>1512</v>
      </c>
      <c r="X101" s="96">
        <f>IF(V101&gt;0,Ruimtestaat[[#This Row],[Prest. (m2 /jaar) werkdagen]]/Ruimtestaat[[#This Row],[Norm (m2/uur) werkdagen]],0)</f>
        <v>0</v>
      </c>
      <c r="Y101" s="97">
        <f>Ruimtestaat[[#This Row],[uren / jaar werkdagen]]*Tariefsopbouw!$E$35</f>
        <v>0</v>
      </c>
      <c r="Z101" s="94"/>
      <c r="AA101" s="98">
        <f>IF(Ruimtestaat[[#This Row],[Frequentie weekend]]&gt;0,VALUE(LEFT(Z101,1))*S101,0)</f>
        <v>0</v>
      </c>
      <c r="AB101" s="94">
        <f>IF($AA101&gt;0,VLOOKUP($K101,Ruimtegroepen[],3,FALSE)*VLOOKUP($M101,Vloersoorten[],3,FALSE)*VLOOKUP($Z101,Frequenties[],3,FALSE)*VLOOKUP($A95,Locaties[],3,FALSE),0)</f>
        <v>0</v>
      </c>
      <c r="AC101" s="96">
        <f>Ruimtestaat[[#This Row],[Uitvoeringen weekend]]*Ruimtestaat[[#This Row],[Oppervlak (netto)]]</f>
        <v>0</v>
      </c>
      <c r="AD101" s="99">
        <f>IF(AC101&gt;0,Ruimtestaat[[#This Row],[Prest. (m2 /jaar) weekend]]/Ruimtestaat[[#This Row],[Norm (m2/uur) weekend]],0)</f>
        <v>0</v>
      </c>
      <c r="AE101" s="100">
        <f>Ruimtestaat[[#This Row],[uren / jaar weekend]]*Tariefsopbouw!$D$40</f>
        <v>0</v>
      </c>
      <c r="AF101" s="72">
        <f>Ruimtestaat[[#This Row],[Prest. (m2 /jaar) weekend]]+Ruimtestaat[[#This Row],[Prest. (m2 /jaar) werkdagen]]</f>
        <v>1512</v>
      </c>
      <c r="AG101" s="72">
        <f>Ruimtestaat[[#This Row],[uren / jaar weekend]]+Ruimtestaat[[#This Row],[uren / jaar werkdagen]]</f>
        <v>0</v>
      </c>
      <c r="AH101" s="73">
        <f>Ruimtestaat[[#This Row],[kosten / jaar weekend]]+Ruimtestaat[[#This Row],[kosten / jaar werkdagen]]</f>
        <v>0</v>
      </c>
    </row>
    <row r="102" spans="1:34" ht="15" customHeight="1">
      <c r="A102" s="118">
        <v>1</v>
      </c>
      <c r="B102" s="24" t="str">
        <f>VLOOKUP(Ruimtestaat[[#This Row],[Code]],Locaties[#All],2,FALSE)</f>
        <v>Rembrandt College</v>
      </c>
      <c r="C102" s="24" t="str">
        <f>VLOOKUP(Ruimtestaat[[#This Row],[Code]],Locaties[#All],4,FALSE)</f>
        <v>Rembrandtlaan 2</v>
      </c>
      <c r="D102" s="24" t="str">
        <f>VLOOKUP(Ruimtestaat[[#This Row],[Code]],Locaties[#All],5,FALSE)</f>
        <v>3904 ZK</v>
      </c>
      <c r="E102" s="24" t="str">
        <f>VLOOKUP(Ruimtestaat[[#This Row],[Code]],Locaties[#All],6,FALSE)</f>
        <v>Veenendaal</v>
      </c>
      <c r="F102" s="66"/>
      <c r="G102" s="24" t="s">
        <v>466</v>
      </c>
      <c r="H102" s="24" t="s">
        <v>716</v>
      </c>
      <c r="I102" s="28"/>
      <c r="J102" s="4" t="s">
        <v>615</v>
      </c>
      <c r="K102" s="24">
        <v>2</v>
      </c>
      <c r="L102" s="66" t="str">
        <f>VLOOKUP(K102,Ruimtegroepen[],2,FALSE)</f>
        <v>Kantoren</v>
      </c>
      <c r="M102" s="24" t="s">
        <v>645</v>
      </c>
      <c r="N102" s="24" t="s">
        <v>384</v>
      </c>
      <c r="O102" s="92">
        <v>12</v>
      </c>
      <c r="P102" s="92"/>
      <c r="Q102" s="101" t="str">
        <f>LEFT(VLOOKUP(Ruimtestaat[[#This Row],[Ruimte code]],Ruimtegroepen[#All],4,1),2)</f>
        <v xml:space="preserve">B </v>
      </c>
      <c r="R102" s="101"/>
      <c r="S102" s="93">
        <v>42</v>
      </c>
      <c r="T102" s="93" t="s">
        <v>18</v>
      </c>
      <c r="U102" s="94">
        <f>IF(S102&gt;0,IF(RIGHT(Ruimtestaat[[#This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V102" s="94">
        <f>IF(U102&gt;0,VLOOKUP($K102,Ruimtegroepen[],3,FALSE)*VLOOKUP($M102,Vloersoorten[],3,FALSE)*VLOOKUP($T102,Frequenties[],3,FALSE)*VLOOKUP($A102,Locaties[],3,FALSE),0)</f>
        <v>0</v>
      </c>
      <c r="W102" s="95">
        <f>Ruimtestaat[[#This Row],[Uitvoeringen werkdagen]]*Ruimtestaat[[#This Row],[Oppervlak (netto)]]</f>
        <v>1512</v>
      </c>
      <c r="X102" s="96">
        <f>IF(V102&gt;0,Ruimtestaat[[#This Row],[Prest. (m2 /jaar) werkdagen]]/Ruimtestaat[[#This Row],[Norm (m2/uur) werkdagen]],0)</f>
        <v>0</v>
      </c>
      <c r="Y102" s="97">
        <f>Ruimtestaat[[#This Row],[uren / jaar werkdagen]]*Tariefsopbouw!$E$35</f>
        <v>0</v>
      </c>
      <c r="Z102" s="94"/>
      <c r="AA102" s="98">
        <f>IF(Ruimtestaat[[#This Row],[Frequentie weekend]]&gt;0,VALUE(LEFT(Z102,1))*S102,0)</f>
        <v>0</v>
      </c>
      <c r="AB102" s="94">
        <f>IF($AA102&gt;0,VLOOKUP($K102,Ruimtegroepen[],3,FALSE)*VLOOKUP($M102,Vloersoorten[],3,FALSE)*VLOOKUP($Z102,Frequenties[],3,FALSE)*VLOOKUP($A96,Locaties[],3,FALSE),0)</f>
        <v>0</v>
      </c>
      <c r="AC102" s="96">
        <f>Ruimtestaat[[#This Row],[Uitvoeringen weekend]]*Ruimtestaat[[#This Row],[Oppervlak (netto)]]</f>
        <v>0</v>
      </c>
      <c r="AD102" s="99">
        <f>IF(AC102&gt;0,Ruimtestaat[[#This Row],[Prest. (m2 /jaar) weekend]]/Ruimtestaat[[#This Row],[Norm (m2/uur) weekend]],0)</f>
        <v>0</v>
      </c>
      <c r="AE102" s="100">
        <f>Ruimtestaat[[#This Row],[uren / jaar weekend]]*Tariefsopbouw!$D$40</f>
        <v>0</v>
      </c>
      <c r="AF102" s="72">
        <f>Ruimtestaat[[#This Row],[Prest. (m2 /jaar) weekend]]+Ruimtestaat[[#This Row],[Prest. (m2 /jaar) werkdagen]]</f>
        <v>1512</v>
      </c>
      <c r="AG102" s="72">
        <f>Ruimtestaat[[#This Row],[uren / jaar weekend]]+Ruimtestaat[[#This Row],[uren / jaar werkdagen]]</f>
        <v>0</v>
      </c>
      <c r="AH102" s="73">
        <f>Ruimtestaat[[#This Row],[kosten / jaar weekend]]+Ruimtestaat[[#This Row],[kosten / jaar werkdagen]]</f>
        <v>0</v>
      </c>
    </row>
    <row r="103" spans="1:34" ht="15" customHeight="1">
      <c r="A103" s="118">
        <v>1</v>
      </c>
      <c r="B103" s="24" t="str">
        <f>VLOOKUP(Ruimtestaat[[#This Row],[Code]],Locaties[#All],2,FALSE)</f>
        <v>Rembrandt College</v>
      </c>
      <c r="C103" s="24" t="str">
        <f>VLOOKUP(Ruimtestaat[[#This Row],[Code]],Locaties[#All],4,FALSE)</f>
        <v>Rembrandtlaan 2</v>
      </c>
      <c r="D103" s="24" t="str">
        <f>VLOOKUP(Ruimtestaat[[#This Row],[Code]],Locaties[#All],5,FALSE)</f>
        <v>3904 ZK</v>
      </c>
      <c r="E103" s="24" t="str">
        <f>VLOOKUP(Ruimtestaat[[#This Row],[Code]],Locaties[#All],6,FALSE)</f>
        <v>Veenendaal</v>
      </c>
      <c r="F103" s="66"/>
      <c r="G103" s="24" t="s">
        <v>467</v>
      </c>
      <c r="H103" s="24" t="s">
        <v>717</v>
      </c>
      <c r="I103" s="28" t="s">
        <v>554</v>
      </c>
      <c r="J103" s="4" t="s">
        <v>615</v>
      </c>
      <c r="K103" s="24">
        <v>2</v>
      </c>
      <c r="L103" s="66" t="str">
        <f>VLOOKUP(K103,Ruimtegroepen[],2,FALSE)</f>
        <v>Kantoren</v>
      </c>
      <c r="M103" s="24" t="s">
        <v>645</v>
      </c>
      <c r="N103" s="24" t="s">
        <v>384</v>
      </c>
      <c r="O103" s="92">
        <v>15.7</v>
      </c>
      <c r="P103" s="92"/>
      <c r="Q103" s="101" t="str">
        <f>LEFT(VLOOKUP(Ruimtestaat[[#This Row],[Ruimte code]],Ruimtegroepen[#All],4,1),2)</f>
        <v xml:space="preserve">B </v>
      </c>
      <c r="R103" s="101"/>
      <c r="S103" s="93">
        <v>40</v>
      </c>
      <c r="T103" s="93" t="s">
        <v>18</v>
      </c>
      <c r="U103" s="94">
        <f>IF(S103&gt;0,IF(RIGHT(Ruimtestaat[[#This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03" s="94">
        <f>IF(U103&gt;0,VLOOKUP($K103,Ruimtegroepen[],3,FALSE)*VLOOKUP($M103,Vloersoorten[],3,FALSE)*VLOOKUP($T103,Frequenties[],3,FALSE)*VLOOKUP($A103,Locaties[],3,FALSE),0)</f>
        <v>0</v>
      </c>
      <c r="W103" s="95">
        <f>Ruimtestaat[[#This Row],[Uitvoeringen werkdagen]]*Ruimtestaat[[#This Row],[Oppervlak (netto)]]</f>
        <v>1884</v>
      </c>
      <c r="X103" s="96">
        <f>IF(V103&gt;0,Ruimtestaat[[#This Row],[Prest. (m2 /jaar) werkdagen]]/Ruimtestaat[[#This Row],[Norm (m2/uur) werkdagen]],0)</f>
        <v>0</v>
      </c>
      <c r="Y103" s="97">
        <f>Ruimtestaat[[#This Row],[uren / jaar werkdagen]]*Tariefsopbouw!$E$35</f>
        <v>0</v>
      </c>
      <c r="Z103" s="94"/>
      <c r="AA103" s="98">
        <f>IF(Ruimtestaat[[#This Row],[Frequentie weekend]]&gt;0,VALUE(LEFT(Z103,1))*S103,0)</f>
        <v>0</v>
      </c>
      <c r="AB103" s="94">
        <f>IF($AA103&gt;0,VLOOKUP($K103,Ruimtegroepen[],3,FALSE)*VLOOKUP($M103,Vloersoorten[],3,FALSE)*VLOOKUP($Z103,Frequenties[],3,FALSE)*VLOOKUP($A97,Locaties[],3,FALSE),0)</f>
        <v>0</v>
      </c>
      <c r="AC103" s="96">
        <f>Ruimtestaat[[#This Row],[Uitvoeringen weekend]]*Ruimtestaat[[#This Row],[Oppervlak (netto)]]</f>
        <v>0</v>
      </c>
      <c r="AD103" s="99">
        <f>IF(AC103&gt;0,Ruimtestaat[[#This Row],[Prest. (m2 /jaar) weekend]]/Ruimtestaat[[#This Row],[Norm (m2/uur) weekend]],0)</f>
        <v>0</v>
      </c>
      <c r="AE103" s="100">
        <f>Ruimtestaat[[#This Row],[uren / jaar weekend]]*Tariefsopbouw!$D$40</f>
        <v>0</v>
      </c>
      <c r="AF103" s="72">
        <f>Ruimtestaat[[#This Row],[Prest. (m2 /jaar) weekend]]+Ruimtestaat[[#This Row],[Prest. (m2 /jaar) werkdagen]]</f>
        <v>1884</v>
      </c>
      <c r="AG103" s="72">
        <f>Ruimtestaat[[#This Row],[uren / jaar weekend]]+Ruimtestaat[[#This Row],[uren / jaar werkdagen]]</f>
        <v>0</v>
      </c>
      <c r="AH103" s="73">
        <f>Ruimtestaat[[#This Row],[kosten / jaar weekend]]+Ruimtestaat[[#This Row],[kosten / jaar werkdagen]]</f>
        <v>0</v>
      </c>
    </row>
    <row r="104" spans="1:34" ht="15" customHeight="1">
      <c r="A104" s="118">
        <v>1</v>
      </c>
      <c r="B104" s="24" t="str">
        <f>VLOOKUP(Ruimtestaat[[#This Row],[Code]],Locaties[#All],2,FALSE)</f>
        <v>Rembrandt College</v>
      </c>
      <c r="C104" s="24" t="str">
        <f>VLOOKUP(Ruimtestaat[[#This Row],[Code]],Locaties[#All],4,FALSE)</f>
        <v>Rembrandtlaan 2</v>
      </c>
      <c r="D104" s="24" t="str">
        <f>VLOOKUP(Ruimtestaat[[#This Row],[Code]],Locaties[#All],5,FALSE)</f>
        <v>3904 ZK</v>
      </c>
      <c r="E104" s="24" t="str">
        <f>VLOOKUP(Ruimtestaat[[#This Row],[Code]],Locaties[#All],6,FALSE)</f>
        <v>Veenendaal</v>
      </c>
      <c r="F104" s="66"/>
      <c r="G104" s="24" t="s">
        <v>467</v>
      </c>
      <c r="H104" s="24" t="s">
        <v>718</v>
      </c>
      <c r="I104" s="28" t="s">
        <v>555</v>
      </c>
      <c r="J104" s="4" t="s">
        <v>637</v>
      </c>
      <c r="K104" s="24">
        <v>2</v>
      </c>
      <c r="L104" s="66" t="str">
        <f>VLOOKUP(K104,Ruimtegroepen[],2,FALSE)</f>
        <v>Kantoren</v>
      </c>
      <c r="M104" s="24" t="s">
        <v>645</v>
      </c>
      <c r="N104" s="24" t="s">
        <v>384</v>
      </c>
      <c r="O104" s="92">
        <v>16</v>
      </c>
      <c r="P104" s="92"/>
      <c r="Q104" s="101" t="str">
        <f>LEFT(VLOOKUP(Ruimtestaat[[#This Row],[Ruimte code]],Ruimtegroepen[#All],4,1),2)</f>
        <v xml:space="preserve">B </v>
      </c>
      <c r="R104" s="101"/>
      <c r="S104" s="93">
        <v>40</v>
      </c>
      <c r="T104" s="93" t="s">
        <v>18</v>
      </c>
      <c r="U104" s="94">
        <f>IF(S104&gt;0,IF(RIGHT(Ruimtestaat[[#This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04" s="94">
        <f>IF(U104&gt;0,VLOOKUP($K104,Ruimtegroepen[],3,FALSE)*VLOOKUP($M104,Vloersoorten[],3,FALSE)*VLOOKUP($T104,Frequenties[],3,FALSE)*VLOOKUP($A104,Locaties[],3,FALSE),0)</f>
        <v>0</v>
      </c>
      <c r="W104" s="95">
        <f>Ruimtestaat[[#This Row],[Uitvoeringen werkdagen]]*Ruimtestaat[[#This Row],[Oppervlak (netto)]]</f>
        <v>1920</v>
      </c>
      <c r="X104" s="96">
        <f>IF(V104&gt;0,Ruimtestaat[[#This Row],[Prest. (m2 /jaar) werkdagen]]/Ruimtestaat[[#This Row],[Norm (m2/uur) werkdagen]],0)</f>
        <v>0</v>
      </c>
      <c r="Y104" s="97">
        <f>Ruimtestaat[[#This Row],[uren / jaar werkdagen]]*Tariefsopbouw!$E$35</f>
        <v>0</v>
      </c>
      <c r="Z104" s="94"/>
      <c r="AA104" s="98">
        <f>IF(Ruimtestaat[[#This Row],[Frequentie weekend]]&gt;0,VALUE(LEFT(Z104,1))*S104,0)</f>
        <v>0</v>
      </c>
      <c r="AB104" s="94">
        <f>IF($AA104&gt;0,VLOOKUP($K104,Ruimtegroepen[],3,FALSE)*VLOOKUP($M104,Vloersoorten[],3,FALSE)*VLOOKUP($Z104,Frequenties[],3,FALSE)*VLOOKUP($A100,Locaties[],3,FALSE),0)</f>
        <v>0</v>
      </c>
      <c r="AC104" s="96">
        <f>Ruimtestaat[[#This Row],[Uitvoeringen weekend]]*Ruimtestaat[[#This Row],[Oppervlak (netto)]]</f>
        <v>0</v>
      </c>
      <c r="AD104" s="99">
        <f>IF(AC104&gt;0,Ruimtestaat[[#This Row],[Prest. (m2 /jaar) weekend]]/Ruimtestaat[[#This Row],[Norm (m2/uur) weekend]],0)</f>
        <v>0</v>
      </c>
      <c r="AE104" s="100">
        <f>Ruimtestaat[[#This Row],[uren / jaar weekend]]*Tariefsopbouw!$D$40</f>
        <v>0</v>
      </c>
      <c r="AF104" s="72">
        <f>Ruimtestaat[[#This Row],[Prest. (m2 /jaar) weekend]]+Ruimtestaat[[#This Row],[Prest. (m2 /jaar) werkdagen]]</f>
        <v>1920</v>
      </c>
      <c r="AG104" s="72">
        <f>Ruimtestaat[[#This Row],[uren / jaar weekend]]+Ruimtestaat[[#This Row],[uren / jaar werkdagen]]</f>
        <v>0</v>
      </c>
      <c r="AH104" s="73">
        <f>Ruimtestaat[[#This Row],[kosten / jaar weekend]]+Ruimtestaat[[#This Row],[kosten / jaar werkdagen]]</f>
        <v>0</v>
      </c>
    </row>
    <row r="105" spans="1:34" ht="15" customHeight="1">
      <c r="A105" s="118">
        <v>1</v>
      </c>
      <c r="B105" s="24" t="str">
        <f>VLOOKUP(Ruimtestaat[[#This Row],[Code]],Locaties[#All],2,FALSE)</f>
        <v>Rembrandt College</v>
      </c>
      <c r="C105" s="24" t="str">
        <f>VLOOKUP(Ruimtestaat[[#This Row],[Code]],Locaties[#All],4,FALSE)</f>
        <v>Rembrandtlaan 2</v>
      </c>
      <c r="D105" s="24" t="str">
        <f>VLOOKUP(Ruimtestaat[[#This Row],[Code]],Locaties[#All],5,FALSE)</f>
        <v>3904 ZK</v>
      </c>
      <c r="E105" s="24" t="str">
        <f>VLOOKUP(Ruimtestaat[[#This Row],[Code]],Locaties[#All],6,FALSE)</f>
        <v>Veenendaal</v>
      </c>
      <c r="F105" s="66"/>
      <c r="G105" s="24" t="s">
        <v>467</v>
      </c>
      <c r="H105" s="24" t="s">
        <v>719</v>
      </c>
      <c r="I105" s="28" t="s">
        <v>556</v>
      </c>
      <c r="J105" s="4" t="s">
        <v>638</v>
      </c>
      <c r="K105" s="24">
        <v>2</v>
      </c>
      <c r="L105" s="66" t="str">
        <f>VLOOKUP(K105,Ruimtegroepen[],2,FALSE)</f>
        <v>Kantoren</v>
      </c>
      <c r="M105" s="24" t="s">
        <v>645</v>
      </c>
      <c r="N105" s="24" t="s">
        <v>384</v>
      </c>
      <c r="O105" s="92">
        <v>22.7</v>
      </c>
      <c r="P105" s="92"/>
      <c r="Q105" s="101" t="str">
        <f>LEFT(VLOOKUP(Ruimtestaat[[#This Row],[Ruimte code]],Ruimtegroepen[#All],4,1),2)</f>
        <v xml:space="preserve">B </v>
      </c>
      <c r="R105" s="101"/>
      <c r="S105" s="93">
        <v>40</v>
      </c>
      <c r="T105" s="93" t="s">
        <v>18</v>
      </c>
      <c r="U105" s="94">
        <f>IF(S105&gt;0,IF(RIGHT(Ruimtestaat[[#This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05" s="94">
        <f>IF(U105&gt;0,VLOOKUP($K105,Ruimtegroepen[],3,FALSE)*VLOOKUP($M105,Vloersoorten[],3,FALSE)*VLOOKUP($T105,Frequenties[],3,FALSE)*VLOOKUP($A105,Locaties[],3,FALSE),0)</f>
        <v>0</v>
      </c>
      <c r="W105" s="95">
        <f>Ruimtestaat[[#This Row],[Uitvoeringen werkdagen]]*Ruimtestaat[[#This Row],[Oppervlak (netto)]]</f>
        <v>2724</v>
      </c>
      <c r="X105" s="96">
        <f>IF(V105&gt;0,Ruimtestaat[[#This Row],[Prest. (m2 /jaar) werkdagen]]/Ruimtestaat[[#This Row],[Norm (m2/uur) werkdagen]],0)</f>
        <v>0</v>
      </c>
      <c r="Y105" s="97">
        <f>Ruimtestaat[[#This Row],[uren / jaar werkdagen]]*Tariefsopbouw!$E$35</f>
        <v>0</v>
      </c>
      <c r="Z105" s="94"/>
      <c r="AA105" s="98">
        <f>IF(Ruimtestaat[[#This Row],[Frequentie weekend]]&gt;0,VALUE(LEFT(Z105,1))*S105,0)</f>
        <v>0</v>
      </c>
      <c r="AB105" s="94">
        <f>IF($AA105&gt;0,VLOOKUP($K105,Ruimtegroepen[],3,FALSE)*VLOOKUP($M105,Vloersoorten[],3,FALSE)*VLOOKUP($Z105,Frequenties[],3,FALSE)*VLOOKUP($A101,Locaties[],3,FALSE),0)</f>
        <v>0</v>
      </c>
      <c r="AC105" s="96">
        <f>Ruimtestaat[[#This Row],[Uitvoeringen weekend]]*Ruimtestaat[[#This Row],[Oppervlak (netto)]]</f>
        <v>0</v>
      </c>
      <c r="AD105" s="99">
        <f>IF(AC105&gt;0,Ruimtestaat[[#This Row],[Prest. (m2 /jaar) weekend]]/Ruimtestaat[[#This Row],[Norm (m2/uur) weekend]],0)</f>
        <v>0</v>
      </c>
      <c r="AE105" s="100">
        <f>Ruimtestaat[[#This Row],[uren / jaar weekend]]*Tariefsopbouw!$D$40</f>
        <v>0</v>
      </c>
      <c r="AF105" s="72">
        <f>Ruimtestaat[[#This Row],[Prest. (m2 /jaar) weekend]]+Ruimtestaat[[#This Row],[Prest. (m2 /jaar) werkdagen]]</f>
        <v>2724</v>
      </c>
      <c r="AG105" s="72">
        <f>Ruimtestaat[[#This Row],[uren / jaar weekend]]+Ruimtestaat[[#This Row],[uren / jaar werkdagen]]</f>
        <v>0</v>
      </c>
      <c r="AH105" s="73">
        <f>Ruimtestaat[[#This Row],[kosten / jaar weekend]]+Ruimtestaat[[#This Row],[kosten / jaar werkdagen]]</f>
        <v>0</v>
      </c>
    </row>
    <row r="106" spans="1:34" ht="15" customHeight="1">
      <c r="A106" s="118">
        <v>1</v>
      </c>
      <c r="B106" s="24" t="str">
        <f>VLOOKUP(Ruimtestaat[[#This Row],[Code]],Locaties[#All],2,FALSE)</f>
        <v>Rembrandt College</v>
      </c>
      <c r="C106" s="24" t="str">
        <f>VLOOKUP(Ruimtestaat[[#This Row],[Code]],Locaties[#All],4,FALSE)</f>
        <v>Rembrandtlaan 2</v>
      </c>
      <c r="D106" s="24" t="str">
        <f>VLOOKUP(Ruimtestaat[[#This Row],[Code]],Locaties[#All],5,FALSE)</f>
        <v>3904 ZK</v>
      </c>
      <c r="E106" s="24" t="str">
        <f>VLOOKUP(Ruimtestaat[[#This Row],[Code]],Locaties[#All],6,FALSE)</f>
        <v>Veenendaal</v>
      </c>
      <c r="F106" s="66"/>
      <c r="G106" s="24" t="s">
        <v>467</v>
      </c>
      <c r="H106" s="24" t="s">
        <v>720</v>
      </c>
      <c r="I106" s="28" t="s">
        <v>557</v>
      </c>
      <c r="J106" s="4" t="s">
        <v>639</v>
      </c>
      <c r="K106" s="24">
        <v>2</v>
      </c>
      <c r="L106" s="66" t="str">
        <f>VLOOKUP(K106,Ruimtegroepen[],2,FALSE)</f>
        <v>Kantoren</v>
      </c>
      <c r="M106" s="24" t="s">
        <v>645</v>
      </c>
      <c r="N106" s="24" t="s">
        <v>384</v>
      </c>
      <c r="O106" s="92">
        <v>11.7</v>
      </c>
      <c r="P106" s="92"/>
      <c r="Q106" s="101" t="str">
        <f>LEFT(VLOOKUP(Ruimtestaat[[#This Row],[Ruimte code]],Ruimtegroepen[#All],4,1),2)</f>
        <v xml:space="preserve">B </v>
      </c>
      <c r="R106" s="101"/>
      <c r="S106" s="93">
        <v>40</v>
      </c>
      <c r="T106" s="93" t="s">
        <v>18</v>
      </c>
      <c r="U106" s="94">
        <f>IF(S106&gt;0,IF(RIGHT(Ruimtestaat[[#This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06" s="94">
        <f>IF(U106&gt;0,VLOOKUP($K106,Ruimtegroepen[],3,FALSE)*VLOOKUP($M106,Vloersoorten[],3,FALSE)*VLOOKUP($T106,Frequenties[],3,FALSE)*VLOOKUP($A106,Locaties[],3,FALSE),0)</f>
        <v>0</v>
      </c>
      <c r="W106" s="95">
        <f>Ruimtestaat[[#This Row],[Uitvoeringen werkdagen]]*Ruimtestaat[[#This Row],[Oppervlak (netto)]]</f>
        <v>1404</v>
      </c>
      <c r="X106" s="96">
        <f>IF(V106&gt;0,Ruimtestaat[[#This Row],[Prest. (m2 /jaar) werkdagen]]/Ruimtestaat[[#This Row],[Norm (m2/uur) werkdagen]],0)</f>
        <v>0</v>
      </c>
      <c r="Y106" s="97">
        <f>Ruimtestaat[[#This Row],[uren / jaar werkdagen]]*Tariefsopbouw!$E$35</f>
        <v>0</v>
      </c>
      <c r="Z106" s="94"/>
      <c r="AA106" s="98">
        <f>IF(Ruimtestaat[[#This Row],[Frequentie weekend]]&gt;0,VALUE(LEFT(Z106,1))*S106,0)</f>
        <v>0</v>
      </c>
      <c r="AB106" s="94">
        <f>IF($AA106&gt;0,VLOOKUP($K106,Ruimtegroepen[],3,FALSE)*VLOOKUP($M106,Vloersoorten[],3,FALSE)*VLOOKUP($Z106,Frequenties[],3,FALSE)*VLOOKUP($A101,Locaties[],3,FALSE),0)</f>
        <v>0</v>
      </c>
      <c r="AC106" s="96">
        <f>Ruimtestaat[[#This Row],[Uitvoeringen weekend]]*Ruimtestaat[[#This Row],[Oppervlak (netto)]]</f>
        <v>0</v>
      </c>
      <c r="AD106" s="99">
        <f>IF(AC106&gt;0,Ruimtestaat[[#This Row],[Prest. (m2 /jaar) weekend]]/Ruimtestaat[[#This Row],[Norm (m2/uur) weekend]],0)</f>
        <v>0</v>
      </c>
      <c r="AE106" s="100">
        <f>Ruimtestaat[[#This Row],[uren / jaar weekend]]*Tariefsopbouw!$D$40</f>
        <v>0</v>
      </c>
      <c r="AF106" s="72">
        <f>Ruimtestaat[[#This Row],[Prest. (m2 /jaar) weekend]]+Ruimtestaat[[#This Row],[Prest. (m2 /jaar) werkdagen]]</f>
        <v>1404</v>
      </c>
      <c r="AG106" s="72">
        <f>Ruimtestaat[[#This Row],[uren / jaar weekend]]+Ruimtestaat[[#This Row],[uren / jaar werkdagen]]</f>
        <v>0</v>
      </c>
      <c r="AH106" s="73">
        <f>Ruimtestaat[[#This Row],[kosten / jaar weekend]]+Ruimtestaat[[#This Row],[kosten / jaar werkdagen]]</f>
        <v>0</v>
      </c>
    </row>
    <row r="107" spans="1:34" ht="15" customHeight="1">
      <c r="A107" s="118">
        <v>1</v>
      </c>
      <c r="B107" s="24" t="str">
        <f>VLOOKUP(Ruimtestaat[[#This Row],[Code]],Locaties[#All],2,FALSE)</f>
        <v>Rembrandt College</v>
      </c>
      <c r="C107" s="24" t="str">
        <f>VLOOKUP(Ruimtestaat[[#This Row],[Code]],Locaties[#All],4,FALSE)</f>
        <v>Rembrandtlaan 2</v>
      </c>
      <c r="D107" s="24" t="str">
        <f>VLOOKUP(Ruimtestaat[[#This Row],[Code]],Locaties[#All],5,FALSE)</f>
        <v>3904 ZK</v>
      </c>
      <c r="E107" s="24" t="str">
        <f>VLOOKUP(Ruimtestaat[[#This Row],[Code]],Locaties[#All],6,FALSE)</f>
        <v>Veenendaal</v>
      </c>
      <c r="F107" s="66"/>
      <c r="G107" s="24" t="s">
        <v>467</v>
      </c>
      <c r="H107" s="24" t="s">
        <v>721</v>
      </c>
      <c r="I107" s="28" t="s">
        <v>558</v>
      </c>
      <c r="J107" s="4" t="s">
        <v>600</v>
      </c>
      <c r="K107" s="24">
        <v>5</v>
      </c>
      <c r="L107" s="66" t="str">
        <f>VLOOKUP(K107,Ruimtegroepen[],2,FALSE)</f>
        <v>Sanitair</v>
      </c>
      <c r="M107" s="24" t="s">
        <v>113</v>
      </c>
      <c r="N107" s="24" t="s">
        <v>647</v>
      </c>
      <c r="O107" s="92">
        <v>8</v>
      </c>
      <c r="P107" s="92"/>
      <c r="Q107" s="101" t="str">
        <f>LEFT(VLOOKUP(Ruimtestaat[[#This Row],[Ruimte code]],Ruimtegroepen[#All],4,1),2)</f>
        <v xml:space="preserve">S </v>
      </c>
      <c r="R107" s="101"/>
      <c r="S107" s="93">
        <v>50</v>
      </c>
      <c r="T107" s="93" t="s">
        <v>19</v>
      </c>
      <c r="U107" s="94">
        <f>IF(S107&gt;0,IF(RIGHT(Ruimtestaat[[#This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107" s="94">
        <f>IF(U107&gt;0,VLOOKUP($K107,Ruimtegroepen[],3,FALSE)*VLOOKUP($M107,Vloersoorten[],3,FALSE)*VLOOKUP($T107,Frequenties[],3,FALSE)*VLOOKUP($A107,Locaties[],3,FALSE),0)</f>
        <v>0</v>
      </c>
      <c r="W107" s="95">
        <f>Ruimtestaat[[#This Row],[Uitvoeringen werkdagen]]*Ruimtestaat[[#This Row],[Oppervlak (netto)]]</f>
        <v>4000</v>
      </c>
      <c r="X107" s="96">
        <f>IF(V107&gt;0,Ruimtestaat[[#This Row],[Prest. (m2 /jaar) werkdagen]]/Ruimtestaat[[#This Row],[Norm (m2/uur) werkdagen]],0)</f>
        <v>0</v>
      </c>
      <c r="Y107" s="97">
        <f>Ruimtestaat[[#This Row],[uren / jaar werkdagen]]*Tariefsopbouw!$E$35</f>
        <v>0</v>
      </c>
      <c r="Z107" s="94"/>
      <c r="AA107" s="98">
        <f>IF(Ruimtestaat[[#This Row],[Frequentie weekend]]&gt;0,VALUE(LEFT(Z107,1))*S107,0)</f>
        <v>0</v>
      </c>
      <c r="AB107" s="94">
        <f>IF($AA107&gt;0,VLOOKUP($K107,Ruimtegroepen[],3,FALSE)*VLOOKUP($M107,Vloersoorten[],3,FALSE)*VLOOKUP($Z107,Frequenties[],3,FALSE)*VLOOKUP($A102,Locaties[],3,FALSE),0)</f>
        <v>0</v>
      </c>
      <c r="AC107" s="96">
        <f>Ruimtestaat[[#This Row],[Uitvoeringen weekend]]*Ruimtestaat[[#This Row],[Oppervlak (netto)]]</f>
        <v>0</v>
      </c>
      <c r="AD107" s="99">
        <f>IF(AC107&gt;0,Ruimtestaat[[#This Row],[Prest. (m2 /jaar) weekend]]/Ruimtestaat[[#This Row],[Norm (m2/uur) weekend]],0)</f>
        <v>0</v>
      </c>
      <c r="AE107" s="100">
        <f>Ruimtestaat[[#This Row],[uren / jaar weekend]]*Tariefsopbouw!$D$40</f>
        <v>0</v>
      </c>
      <c r="AF107" s="72">
        <f>Ruimtestaat[[#This Row],[Prest. (m2 /jaar) weekend]]+Ruimtestaat[[#This Row],[Prest. (m2 /jaar) werkdagen]]</f>
        <v>4000</v>
      </c>
      <c r="AG107" s="72">
        <f>Ruimtestaat[[#This Row],[uren / jaar weekend]]+Ruimtestaat[[#This Row],[uren / jaar werkdagen]]</f>
        <v>0</v>
      </c>
      <c r="AH107" s="73">
        <f>Ruimtestaat[[#This Row],[kosten / jaar weekend]]+Ruimtestaat[[#This Row],[kosten / jaar werkdagen]]</f>
        <v>0</v>
      </c>
    </row>
    <row r="108" spans="1:34" ht="15" customHeight="1">
      <c r="A108" s="118">
        <v>1</v>
      </c>
      <c r="B108" s="24" t="str">
        <f>VLOOKUP(Ruimtestaat[[#This Row],[Code]],Locaties[#All],2,FALSE)</f>
        <v>Rembrandt College</v>
      </c>
      <c r="C108" s="24" t="str">
        <f>VLOOKUP(Ruimtestaat[[#This Row],[Code]],Locaties[#All],4,FALSE)</f>
        <v>Rembrandtlaan 2</v>
      </c>
      <c r="D108" s="24" t="str">
        <f>VLOOKUP(Ruimtestaat[[#This Row],[Code]],Locaties[#All],5,FALSE)</f>
        <v>3904 ZK</v>
      </c>
      <c r="E108" s="24" t="str">
        <f>VLOOKUP(Ruimtestaat[[#This Row],[Code]],Locaties[#All],6,FALSE)</f>
        <v>Veenendaal</v>
      </c>
      <c r="F108" s="66"/>
      <c r="G108" s="24" t="s">
        <v>467</v>
      </c>
      <c r="H108" s="24" t="s">
        <v>722</v>
      </c>
      <c r="I108" s="28" t="s">
        <v>558</v>
      </c>
      <c r="J108" s="4" t="s">
        <v>599</v>
      </c>
      <c r="K108" s="24">
        <v>5</v>
      </c>
      <c r="L108" s="66" t="str">
        <f>VLOOKUP(K108,Ruimtegroepen[],2,FALSE)</f>
        <v>Sanitair</v>
      </c>
      <c r="M108" s="24" t="s">
        <v>113</v>
      </c>
      <c r="N108" s="24" t="s">
        <v>647</v>
      </c>
      <c r="O108" s="92">
        <v>8</v>
      </c>
      <c r="P108" s="92"/>
      <c r="Q108" s="101" t="str">
        <f>LEFT(VLOOKUP(Ruimtestaat[[#This Row],[Ruimte code]],Ruimtegroepen[#All],4,1),2)</f>
        <v xml:space="preserve">S </v>
      </c>
      <c r="R108" s="101"/>
      <c r="S108" s="93">
        <v>50</v>
      </c>
      <c r="T108" s="93" t="s">
        <v>19</v>
      </c>
      <c r="U108" s="94">
        <f>IF(S108&gt;0,IF(RIGHT(Ruimtestaat[[#This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108" s="94">
        <f>IF(U108&gt;0,VLOOKUP($K108,Ruimtegroepen[],3,FALSE)*VLOOKUP($M108,Vloersoorten[],3,FALSE)*VLOOKUP($T108,Frequenties[],3,FALSE)*VLOOKUP($A108,Locaties[],3,FALSE),0)</f>
        <v>0</v>
      </c>
      <c r="W108" s="95">
        <f>Ruimtestaat[[#This Row],[Uitvoeringen werkdagen]]*Ruimtestaat[[#This Row],[Oppervlak (netto)]]</f>
        <v>4000</v>
      </c>
      <c r="X108" s="96">
        <f>IF(V108&gt;0,Ruimtestaat[[#This Row],[Prest. (m2 /jaar) werkdagen]]/Ruimtestaat[[#This Row],[Norm (m2/uur) werkdagen]],0)</f>
        <v>0</v>
      </c>
      <c r="Y108" s="97">
        <f>Ruimtestaat[[#This Row],[uren / jaar werkdagen]]*Tariefsopbouw!$E$35</f>
        <v>0</v>
      </c>
      <c r="Z108" s="94"/>
      <c r="AA108" s="98">
        <f>IF(Ruimtestaat[[#This Row],[Frequentie weekend]]&gt;0,VALUE(LEFT(Z108,1))*S108,0)</f>
        <v>0</v>
      </c>
      <c r="AB108" s="94">
        <f>IF($AA108&gt;0,VLOOKUP($K108,Ruimtegroepen[],3,FALSE)*VLOOKUP($M108,Vloersoorten[],3,FALSE)*VLOOKUP($Z108,Frequenties[],3,FALSE)*VLOOKUP($A103,Locaties[],3,FALSE),0)</f>
        <v>0</v>
      </c>
      <c r="AC108" s="96">
        <f>Ruimtestaat[[#This Row],[Uitvoeringen weekend]]*Ruimtestaat[[#This Row],[Oppervlak (netto)]]</f>
        <v>0</v>
      </c>
      <c r="AD108" s="99">
        <f>IF(AC108&gt;0,Ruimtestaat[[#This Row],[Prest. (m2 /jaar) weekend]]/Ruimtestaat[[#This Row],[Norm (m2/uur) weekend]],0)</f>
        <v>0</v>
      </c>
      <c r="AE108" s="100">
        <f>Ruimtestaat[[#This Row],[uren / jaar weekend]]*Tariefsopbouw!$D$40</f>
        <v>0</v>
      </c>
      <c r="AF108" s="72">
        <f>Ruimtestaat[[#This Row],[Prest. (m2 /jaar) weekend]]+Ruimtestaat[[#This Row],[Prest. (m2 /jaar) werkdagen]]</f>
        <v>4000</v>
      </c>
      <c r="AG108" s="72">
        <f>Ruimtestaat[[#This Row],[uren / jaar weekend]]+Ruimtestaat[[#This Row],[uren / jaar werkdagen]]</f>
        <v>0</v>
      </c>
      <c r="AH108" s="73">
        <f>Ruimtestaat[[#This Row],[kosten / jaar weekend]]+Ruimtestaat[[#This Row],[kosten / jaar werkdagen]]</f>
        <v>0</v>
      </c>
    </row>
    <row r="109" spans="1:34" ht="15" customHeight="1">
      <c r="A109" s="118">
        <v>1</v>
      </c>
      <c r="B109" s="24" t="str">
        <f>VLOOKUP(Ruimtestaat[[#This Row],[Code]],Locaties[#All],2,FALSE)</f>
        <v>Rembrandt College</v>
      </c>
      <c r="C109" s="24" t="str">
        <f>VLOOKUP(Ruimtestaat[[#This Row],[Code]],Locaties[#All],4,FALSE)</f>
        <v>Rembrandtlaan 2</v>
      </c>
      <c r="D109" s="24" t="str">
        <f>VLOOKUP(Ruimtestaat[[#This Row],[Code]],Locaties[#All],5,FALSE)</f>
        <v>3904 ZK</v>
      </c>
      <c r="E109" s="24" t="str">
        <f>VLOOKUP(Ruimtestaat[[#This Row],[Code]],Locaties[#All],6,FALSE)</f>
        <v>Veenendaal</v>
      </c>
      <c r="F109" s="66"/>
      <c r="G109" s="24" t="s">
        <v>467</v>
      </c>
      <c r="H109" s="24" t="s">
        <v>562</v>
      </c>
      <c r="I109" s="28" t="s">
        <v>559</v>
      </c>
      <c r="J109" s="4" t="s">
        <v>622</v>
      </c>
      <c r="K109" s="24">
        <v>16</v>
      </c>
      <c r="L109" s="66" t="str">
        <f>VLOOKUP(K109,Ruimtegroepen[],2,FALSE)</f>
        <v>Leslokalen theorie</v>
      </c>
      <c r="M109" s="24" t="s">
        <v>645</v>
      </c>
      <c r="N109" s="24" t="s">
        <v>384</v>
      </c>
      <c r="O109" s="92">
        <v>50.3</v>
      </c>
      <c r="P109" s="92"/>
      <c r="Q109" s="101" t="str">
        <f>LEFT(VLOOKUP(Ruimtestaat[[#This Row],[Ruimte code]],Ruimtegroepen[#All],4,1),2)</f>
        <v xml:space="preserve">L </v>
      </c>
      <c r="R109" s="101"/>
      <c r="S109" s="93">
        <v>40</v>
      </c>
      <c r="T109" s="93" t="s">
        <v>2</v>
      </c>
      <c r="U109" s="94">
        <f>IF(S109&gt;0,IF(RIGHT(Ruimtestaat[[#This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9" s="94">
        <f>IF(U109&gt;0,VLOOKUP($K109,Ruimtegroepen[],3,FALSE)*VLOOKUP($M109,Vloersoorten[],3,FALSE)*VLOOKUP($T109,Frequenties[],3,FALSE)*VLOOKUP($A109,Locaties[],3,FALSE),0)</f>
        <v>0</v>
      </c>
      <c r="W109" s="95">
        <f>Ruimtestaat[[#This Row],[Uitvoeringen werkdagen]]*Ruimtestaat[[#This Row],[Oppervlak (netto)]]</f>
        <v>10060</v>
      </c>
      <c r="X109" s="96">
        <f>IF(V109&gt;0,Ruimtestaat[[#This Row],[Prest. (m2 /jaar) werkdagen]]/Ruimtestaat[[#This Row],[Norm (m2/uur) werkdagen]],0)</f>
        <v>0</v>
      </c>
      <c r="Y109" s="97">
        <f>Ruimtestaat[[#This Row],[uren / jaar werkdagen]]*Tariefsopbouw!$E$35</f>
        <v>0</v>
      </c>
      <c r="Z109" s="94"/>
      <c r="AA109" s="98">
        <f>IF(Ruimtestaat[[#This Row],[Frequentie weekend]]&gt;0,VALUE(LEFT(Z109,1))*S109,0)</f>
        <v>0</v>
      </c>
      <c r="AB109" s="94">
        <f>IF($AA109&gt;0,VLOOKUP($K109,Ruimtegroepen[],3,FALSE)*VLOOKUP($M109,Vloersoorten[],3,FALSE)*VLOOKUP($Z109,Frequenties[],3,FALSE)*VLOOKUP($A104,Locaties[],3,FALSE),0)</f>
        <v>0</v>
      </c>
      <c r="AC109" s="96">
        <f>Ruimtestaat[[#This Row],[Uitvoeringen weekend]]*Ruimtestaat[[#This Row],[Oppervlak (netto)]]</f>
        <v>0</v>
      </c>
      <c r="AD109" s="99">
        <f>IF(AC109&gt;0,Ruimtestaat[[#This Row],[Prest. (m2 /jaar) weekend]]/Ruimtestaat[[#This Row],[Norm (m2/uur) weekend]],0)</f>
        <v>0</v>
      </c>
      <c r="AE109" s="100">
        <f>Ruimtestaat[[#This Row],[uren / jaar weekend]]*Tariefsopbouw!$D$40</f>
        <v>0</v>
      </c>
      <c r="AF109" s="72">
        <f>Ruimtestaat[[#This Row],[Prest. (m2 /jaar) weekend]]+Ruimtestaat[[#This Row],[Prest. (m2 /jaar) werkdagen]]</f>
        <v>10060</v>
      </c>
      <c r="AG109" s="72">
        <f>Ruimtestaat[[#This Row],[uren / jaar weekend]]+Ruimtestaat[[#This Row],[uren / jaar werkdagen]]</f>
        <v>0</v>
      </c>
      <c r="AH109" s="73">
        <f>Ruimtestaat[[#This Row],[kosten / jaar weekend]]+Ruimtestaat[[#This Row],[kosten / jaar werkdagen]]</f>
        <v>0</v>
      </c>
    </row>
    <row r="110" spans="1:34" ht="15" customHeight="1">
      <c r="A110" s="118">
        <v>1</v>
      </c>
      <c r="B110" s="24" t="str">
        <f>VLOOKUP(Ruimtestaat[[#This Row],[Code]],Locaties[#All],2,FALSE)</f>
        <v>Rembrandt College</v>
      </c>
      <c r="C110" s="24" t="str">
        <f>VLOOKUP(Ruimtestaat[[#This Row],[Code]],Locaties[#All],4,FALSE)</f>
        <v>Rembrandtlaan 2</v>
      </c>
      <c r="D110" s="24" t="str">
        <f>VLOOKUP(Ruimtestaat[[#This Row],[Code]],Locaties[#All],5,FALSE)</f>
        <v>3904 ZK</v>
      </c>
      <c r="E110" s="24" t="str">
        <f>VLOOKUP(Ruimtestaat[[#This Row],[Code]],Locaties[#All],6,FALSE)</f>
        <v>Veenendaal</v>
      </c>
      <c r="F110" s="66"/>
      <c r="G110" s="24" t="s">
        <v>467</v>
      </c>
      <c r="H110" s="24" t="s">
        <v>561</v>
      </c>
      <c r="I110" s="28" t="s">
        <v>560</v>
      </c>
      <c r="J110" s="4" t="s">
        <v>622</v>
      </c>
      <c r="K110" s="24">
        <v>16</v>
      </c>
      <c r="L110" s="66" t="str">
        <f>VLOOKUP(K110,Ruimtegroepen[],2,FALSE)</f>
        <v>Leslokalen theorie</v>
      </c>
      <c r="M110" s="24" t="s">
        <v>645</v>
      </c>
      <c r="N110" s="24" t="s">
        <v>384</v>
      </c>
      <c r="O110" s="92">
        <v>50.3</v>
      </c>
      <c r="P110" s="92"/>
      <c r="Q110" s="101" t="str">
        <f>LEFT(VLOOKUP(Ruimtestaat[[#This Row],[Ruimte code]],Ruimtegroepen[#All],4,1),2)</f>
        <v xml:space="preserve">L </v>
      </c>
      <c r="R110" s="101"/>
      <c r="S110" s="93">
        <v>40</v>
      </c>
      <c r="T110" s="93" t="s">
        <v>2</v>
      </c>
      <c r="U110" s="94">
        <f>IF(S110&gt;0,IF(RIGHT(Ruimtestaat[[#This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0" s="94">
        <f>IF(U110&gt;0,VLOOKUP($K110,Ruimtegroepen[],3,FALSE)*VLOOKUP($M110,Vloersoorten[],3,FALSE)*VLOOKUP($T110,Frequenties[],3,FALSE)*VLOOKUP($A110,Locaties[],3,FALSE),0)</f>
        <v>0</v>
      </c>
      <c r="W110" s="95">
        <f>Ruimtestaat[[#This Row],[Uitvoeringen werkdagen]]*Ruimtestaat[[#This Row],[Oppervlak (netto)]]</f>
        <v>10060</v>
      </c>
      <c r="X110" s="96">
        <f>IF(V110&gt;0,Ruimtestaat[[#This Row],[Prest. (m2 /jaar) werkdagen]]/Ruimtestaat[[#This Row],[Norm (m2/uur) werkdagen]],0)</f>
        <v>0</v>
      </c>
      <c r="Y110" s="97">
        <f>Ruimtestaat[[#This Row],[uren / jaar werkdagen]]*Tariefsopbouw!$E$35</f>
        <v>0</v>
      </c>
      <c r="Z110" s="94"/>
      <c r="AA110" s="98">
        <f>IF(Ruimtestaat[[#This Row],[Frequentie weekend]]&gt;0,VALUE(LEFT(Z110,1))*S110,0)</f>
        <v>0</v>
      </c>
      <c r="AB110" s="94">
        <f>IF($AA110&gt;0,VLOOKUP($K110,Ruimtegroepen[],3,FALSE)*VLOOKUP($M110,Vloersoorten[],3,FALSE)*VLOOKUP($Z110,Frequenties[],3,FALSE)*VLOOKUP($A106,Locaties[],3,FALSE),0)</f>
        <v>0</v>
      </c>
      <c r="AC110" s="96">
        <f>Ruimtestaat[[#This Row],[Uitvoeringen weekend]]*Ruimtestaat[[#This Row],[Oppervlak (netto)]]</f>
        <v>0</v>
      </c>
      <c r="AD110" s="99">
        <f>IF(AC110&gt;0,Ruimtestaat[[#This Row],[Prest. (m2 /jaar) weekend]]/Ruimtestaat[[#This Row],[Norm (m2/uur) weekend]],0)</f>
        <v>0</v>
      </c>
      <c r="AE110" s="100">
        <f>Ruimtestaat[[#This Row],[uren / jaar weekend]]*Tariefsopbouw!$D$40</f>
        <v>0</v>
      </c>
      <c r="AF110" s="72">
        <f>Ruimtestaat[[#This Row],[Prest. (m2 /jaar) weekend]]+Ruimtestaat[[#This Row],[Prest. (m2 /jaar) werkdagen]]</f>
        <v>10060</v>
      </c>
      <c r="AG110" s="72">
        <f>Ruimtestaat[[#This Row],[uren / jaar weekend]]+Ruimtestaat[[#This Row],[uren / jaar werkdagen]]</f>
        <v>0</v>
      </c>
      <c r="AH110" s="73">
        <f>Ruimtestaat[[#This Row],[kosten / jaar weekend]]+Ruimtestaat[[#This Row],[kosten / jaar werkdagen]]</f>
        <v>0</v>
      </c>
    </row>
    <row r="111" spans="1:34" ht="15" customHeight="1">
      <c r="A111" s="118">
        <v>1</v>
      </c>
      <c r="B111" s="24" t="str">
        <f>VLOOKUP(Ruimtestaat[[#This Row],[Code]],Locaties[#All],2,FALSE)</f>
        <v>Rembrandt College</v>
      </c>
      <c r="C111" s="24" t="str">
        <f>VLOOKUP(Ruimtestaat[[#This Row],[Code]],Locaties[#All],4,FALSE)</f>
        <v>Rembrandtlaan 2</v>
      </c>
      <c r="D111" s="24" t="str">
        <f>VLOOKUP(Ruimtestaat[[#This Row],[Code]],Locaties[#All],5,FALSE)</f>
        <v>3904 ZK</v>
      </c>
      <c r="E111" s="24" t="str">
        <f>VLOOKUP(Ruimtestaat[[#This Row],[Code]],Locaties[#All],6,FALSE)</f>
        <v>Veenendaal</v>
      </c>
      <c r="F111" s="66"/>
      <c r="G111" s="24" t="s">
        <v>467</v>
      </c>
      <c r="H111" s="24" t="s">
        <v>560</v>
      </c>
      <c r="I111" s="28" t="s">
        <v>561</v>
      </c>
      <c r="J111" s="4" t="s">
        <v>622</v>
      </c>
      <c r="K111" s="24">
        <v>16</v>
      </c>
      <c r="L111" s="66" t="str">
        <f>VLOOKUP(K111,Ruimtegroepen[],2,FALSE)</f>
        <v>Leslokalen theorie</v>
      </c>
      <c r="M111" s="24" t="s">
        <v>645</v>
      </c>
      <c r="N111" s="24" t="s">
        <v>384</v>
      </c>
      <c r="O111" s="92">
        <v>50.3</v>
      </c>
      <c r="P111" s="92"/>
      <c r="Q111" s="101" t="str">
        <f>LEFT(VLOOKUP(Ruimtestaat[[#This Row],[Ruimte code]],Ruimtegroepen[#All],4,1),2)</f>
        <v xml:space="preserve">L </v>
      </c>
      <c r="R111" s="101"/>
      <c r="S111" s="93">
        <v>40</v>
      </c>
      <c r="T111" s="93" t="s">
        <v>2</v>
      </c>
      <c r="U111" s="94">
        <f>IF(S111&gt;0,IF(RIGHT(Ruimtestaat[[#This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1" s="94">
        <f>IF(U111&gt;0,VLOOKUP($K111,Ruimtegroepen[],3,FALSE)*VLOOKUP($M111,Vloersoorten[],3,FALSE)*VLOOKUP($T111,Frequenties[],3,FALSE)*VLOOKUP($A111,Locaties[],3,FALSE),0)</f>
        <v>0</v>
      </c>
      <c r="W111" s="95">
        <f>Ruimtestaat[[#This Row],[Uitvoeringen werkdagen]]*Ruimtestaat[[#This Row],[Oppervlak (netto)]]</f>
        <v>10060</v>
      </c>
      <c r="X111" s="96">
        <f>IF(V111&gt;0,Ruimtestaat[[#This Row],[Prest. (m2 /jaar) werkdagen]]/Ruimtestaat[[#This Row],[Norm (m2/uur) werkdagen]],0)</f>
        <v>0</v>
      </c>
      <c r="Y111" s="97">
        <f>Ruimtestaat[[#This Row],[uren / jaar werkdagen]]*Tariefsopbouw!$E$35</f>
        <v>0</v>
      </c>
      <c r="Z111" s="94"/>
      <c r="AA111" s="98">
        <f>IF(Ruimtestaat[[#This Row],[Frequentie weekend]]&gt;0,VALUE(LEFT(Z111,1))*S111,0)</f>
        <v>0</v>
      </c>
      <c r="AB111" s="94">
        <f>IF($AA111&gt;0,VLOOKUP($K111,Ruimtegroepen[],3,FALSE)*VLOOKUP($M111,Vloersoorten[],3,FALSE)*VLOOKUP($Z111,Frequenties[],3,FALSE)*VLOOKUP($A107,Locaties[],3,FALSE),0)</f>
        <v>0</v>
      </c>
      <c r="AC111" s="96">
        <f>Ruimtestaat[[#This Row],[Uitvoeringen weekend]]*Ruimtestaat[[#This Row],[Oppervlak (netto)]]</f>
        <v>0</v>
      </c>
      <c r="AD111" s="99">
        <f>IF(AC111&gt;0,Ruimtestaat[[#This Row],[Prest. (m2 /jaar) weekend]]/Ruimtestaat[[#This Row],[Norm (m2/uur) weekend]],0)</f>
        <v>0</v>
      </c>
      <c r="AE111" s="100">
        <f>Ruimtestaat[[#This Row],[uren / jaar weekend]]*Tariefsopbouw!$D$40</f>
        <v>0</v>
      </c>
      <c r="AF111" s="72">
        <f>Ruimtestaat[[#This Row],[Prest. (m2 /jaar) weekend]]+Ruimtestaat[[#This Row],[Prest. (m2 /jaar) werkdagen]]</f>
        <v>10060</v>
      </c>
      <c r="AG111" s="72">
        <f>Ruimtestaat[[#This Row],[uren / jaar weekend]]+Ruimtestaat[[#This Row],[uren / jaar werkdagen]]</f>
        <v>0</v>
      </c>
      <c r="AH111" s="73">
        <f>Ruimtestaat[[#This Row],[kosten / jaar weekend]]+Ruimtestaat[[#This Row],[kosten / jaar werkdagen]]</f>
        <v>0</v>
      </c>
    </row>
    <row r="112" spans="1:34" ht="15" customHeight="1">
      <c r="A112" s="118">
        <v>1</v>
      </c>
      <c r="B112" s="24" t="str">
        <f>VLOOKUP(Ruimtestaat[[#This Row],[Code]],Locaties[#All],2,FALSE)</f>
        <v>Rembrandt College</v>
      </c>
      <c r="C112" s="24" t="str">
        <f>VLOOKUP(Ruimtestaat[[#This Row],[Code]],Locaties[#All],4,FALSE)</f>
        <v>Rembrandtlaan 2</v>
      </c>
      <c r="D112" s="24" t="str">
        <f>VLOOKUP(Ruimtestaat[[#This Row],[Code]],Locaties[#All],5,FALSE)</f>
        <v>3904 ZK</v>
      </c>
      <c r="E112" s="24" t="str">
        <f>VLOOKUP(Ruimtestaat[[#This Row],[Code]],Locaties[#All],6,FALSE)</f>
        <v>Veenendaal</v>
      </c>
      <c r="F112" s="66"/>
      <c r="G112" s="24" t="s">
        <v>467</v>
      </c>
      <c r="H112" s="24" t="s">
        <v>559</v>
      </c>
      <c r="I112" s="28" t="s">
        <v>562</v>
      </c>
      <c r="J112" s="4" t="s">
        <v>622</v>
      </c>
      <c r="K112" s="24">
        <v>16</v>
      </c>
      <c r="L112" s="66" t="str">
        <f>VLOOKUP(K112,Ruimtegroepen[],2,FALSE)</f>
        <v>Leslokalen theorie</v>
      </c>
      <c r="M112" s="24" t="s">
        <v>645</v>
      </c>
      <c r="N112" s="24" t="s">
        <v>384</v>
      </c>
      <c r="O112" s="92">
        <v>50.3</v>
      </c>
      <c r="P112" s="92"/>
      <c r="Q112" s="101" t="str">
        <f>LEFT(VLOOKUP(Ruimtestaat[[#This Row],[Ruimte code]],Ruimtegroepen[#All],4,1),2)</f>
        <v xml:space="preserve">L </v>
      </c>
      <c r="R112" s="101"/>
      <c r="S112" s="93">
        <v>40</v>
      </c>
      <c r="T112" s="93" t="s">
        <v>2</v>
      </c>
      <c r="U112" s="94">
        <f>IF(S112&gt;0,IF(RIGHT(Ruimtestaat[[#This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2" s="94">
        <f>IF(U112&gt;0,VLOOKUP($K112,Ruimtegroepen[],3,FALSE)*VLOOKUP($M112,Vloersoorten[],3,FALSE)*VLOOKUP($T112,Frequenties[],3,FALSE)*VLOOKUP($A112,Locaties[],3,FALSE),0)</f>
        <v>0</v>
      </c>
      <c r="W112" s="95">
        <f>Ruimtestaat[[#This Row],[Uitvoeringen werkdagen]]*Ruimtestaat[[#This Row],[Oppervlak (netto)]]</f>
        <v>10060</v>
      </c>
      <c r="X112" s="96">
        <f>IF(V112&gt;0,Ruimtestaat[[#This Row],[Prest. (m2 /jaar) werkdagen]]/Ruimtestaat[[#This Row],[Norm (m2/uur) werkdagen]],0)</f>
        <v>0</v>
      </c>
      <c r="Y112" s="97">
        <f>Ruimtestaat[[#This Row],[uren / jaar werkdagen]]*Tariefsopbouw!$E$35</f>
        <v>0</v>
      </c>
      <c r="Z112" s="94"/>
      <c r="AA112" s="98">
        <f>IF(Ruimtestaat[[#This Row],[Frequentie weekend]]&gt;0,VALUE(LEFT(Z112,1))*S112,0)</f>
        <v>0</v>
      </c>
      <c r="AB112" s="94">
        <f>IF($AA112&gt;0,VLOOKUP($K112,Ruimtegroepen[],3,FALSE)*VLOOKUP($M112,Vloersoorten[],3,FALSE)*VLOOKUP($Z112,Frequenties[],3,FALSE)*VLOOKUP($A108,Locaties[],3,FALSE),0)</f>
        <v>0</v>
      </c>
      <c r="AC112" s="96">
        <f>Ruimtestaat[[#This Row],[Uitvoeringen weekend]]*Ruimtestaat[[#This Row],[Oppervlak (netto)]]</f>
        <v>0</v>
      </c>
      <c r="AD112" s="99">
        <f>IF(AC112&gt;0,Ruimtestaat[[#This Row],[Prest. (m2 /jaar) weekend]]/Ruimtestaat[[#This Row],[Norm (m2/uur) weekend]],0)</f>
        <v>0</v>
      </c>
      <c r="AE112" s="100">
        <f>Ruimtestaat[[#This Row],[uren / jaar weekend]]*Tariefsopbouw!$D$40</f>
        <v>0</v>
      </c>
      <c r="AF112" s="72">
        <f>Ruimtestaat[[#This Row],[Prest. (m2 /jaar) weekend]]+Ruimtestaat[[#This Row],[Prest. (m2 /jaar) werkdagen]]</f>
        <v>10060</v>
      </c>
      <c r="AG112" s="72">
        <f>Ruimtestaat[[#This Row],[uren / jaar weekend]]+Ruimtestaat[[#This Row],[uren / jaar werkdagen]]</f>
        <v>0</v>
      </c>
      <c r="AH112" s="73">
        <f>Ruimtestaat[[#This Row],[kosten / jaar weekend]]+Ruimtestaat[[#This Row],[kosten / jaar werkdagen]]</f>
        <v>0</v>
      </c>
    </row>
    <row r="113" spans="1:34" ht="15" customHeight="1">
      <c r="A113" s="118">
        <v>1</v>
      </c>
      <c r="B113" s="24" t="str">
        <f>VLOOKUP(Ruimtestaat[[#This Row],[Code]],Locaties[#All],2,FALSE)</f>
        <v>Rembrandt College</v>
      </c>
      <c r="C113" s="24" t="str">
        <f>VLOOKUP(Ruimtestaat[[#This Row],[Code]],Locaties[#All],4,FALSE)</f>
        <v>Rembrandtlaan 2</v>
      </c>
      <c r="D113" s="24" t="str">
        <f>VLOOKUP(Ruimtestaat[[#This Row],[Code]],Locaties[#All],5,FALSE)</f>
        <v>3904 ZK</v>
      </c>
      <c r="E113" s="24" t="str">
        <f>VLOOKUP(Ruimtestaat[[#This Row],[Code]],Locaties[#All],6,FALSE)</f>
        <v>Veenendaal</v>
      </c>
      <c r="F113" s="66"/>
      <c r="G113" s="24" t="s">
        <v>467</v>
      </c>
      <c r="H113" s="24" t="s">
        <v>723</v>
      </c>
      <c r="I113" s="28" t="s">
        <v>563</v>
      </c>
      <c r="J113" s="4" t="s">
        <v>622</v>
      </c>
      <c r="K113" s="24">
        <v>16</v>
      </c>
      <c r="L113" s="66" t="str">
        <f>VLOOKUP(K113,Ruimtegroepen[],2,FALSE)</f>
        <v>Leslokalen theorie</v>
      </c>
      <c r="M113" s="24" t="s">
        <v>645</v>
      </c>
      <c r="N113" s="24" t="s">
        <v>384</v>
      </c>
      <c r="O113" s="92">
        <v>50.3</v>
      </c>
      <c r="P113" s="92"/>
      <c r="Q113" s="101" t="str">
        <f>LEFT(VLOOKUP(Ruimtestaat[[#This Row],[Ruimte code]],Ruimtegroepen[#All],4,1),2)</f>
        <v xml:space="preserve">L </v>
      </c>
      <c r="R113" s="101"/>
      <c r="S113" s="93">
        <v>40</v>
      </c>
      <c r="T113" s="93" t="s">
        <v>2</v>
      </c>
      <c r="U113" s="94">
        <f>IF(S113&gt;0,IF(RIGHT(Ruimtestaat[[#This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3" s="94">
        <f>IF(U113&gt;0,VLOOKUP($K113,Ruimtegroepen[],3,FALSE)*VLOOKUP($M113,Vloersoorten[],3,FALSE)*VLOOKUP($T113,Frequenties[],3,FALSE)*VLOOKUP($A113,Locaties[],3,FALSE),0)</f>
        <v>0</v>
      </c>
      <c r="W113" s="95">
        <f>Ruimtestaat[[#This Row],[Uitvoeringen werkdagen]]*Ruimtestaat[[#This Row],[Oppervlak (netto)]]</f>
        <v>10060</v>
      </c>
      <c r="X113" s="96">
        <f>IF(V113&gt;0,Ruimtestaat[[#This Row],[Prest. (m2 /jaar) werkdagen]]/Ruimtestaat[[#This Row],[Norm (m2/uur) werkdagen]],0)</f>
        <v>0</v>
      </c>
      <c r="Y113" s="97">
        <f>Ruimtestaat[[#This Row],[uren / jaar werkdagen]]*Tariefsopbouw!$E$35</f>
        <v>0</v>
      </c>
      <c r="Z113" s="94"/>
      <c r="AA113" s="98">
        <f>IF(Ruimtestaat[[#This Row],[Frequentie weekend]]&gt;0,VALUE(LEFT(Z113,1))*S113,0)</f>
        <v>0</v>
      </c>
      <c r="AB113" s="94">
        <f>IF($AA113&gt;0,VLOOKUP($K113,Ruimtegroepen[],3,FALSE)*VLOOKUP($M113,Vloersoorten[],3,FALSE)*VLOOKUP($Z113,Frequenties[],3,FALSE)*VLOOKUP($A109,Locaties[],3,FALSE),0)</f>
        <v>0</v>
      </c>
      <c r="AC113" s="96">
        <f>Ruimtestaat[[#This Row],[Uitvoeringen weekend]]*Ruimtestaat[[#This Row],[Oppervlak (netto)]]</f>
        <v>0</v>
      </c>
      <c r="AD113" s="99">
        <f>IF(AC113&gt;0,Ruimtestaat[[#This Row],[Prest. (m2 /jaar) weekend]]/Ruimtestaat[[#This Row],[Norm (m2/uur) weekend]],0)</f>
        <v>0</v>
      </c>
      <c r="AE113" s="100">
        <f>Ruimtestaat[[#This Row],[uren / jaar weekend]]*Tariefsopbouw!$D$40</f>
        <v>0</v>
      </c>
      <c r="AF113" s="72">
        <f>Ruimtestaat[[#This Row],[Prest. (m2 /jaar) weekend]]+Ruimtestaat[[#This Row],[Prest. (m2 /jaar) werkdagen]]</f>
        <v>10060</v>
      </c>
      <c r="AG113" s="72">
        <f>Ruimtestaat[[#This Row],[uren / jaar weekend]]+Ruimtestaat[[#This Row],[uren / jaar werkdagen]]</f>
        <v>0</v>
      </c>
      <c r="AH113" s="73">
        <f>Ruimtestaat[[#This Row],[kosten / jaar weekend]]+Ruimtestaat[[#This Row],[kosten / jaar werkdagen]]</f>
        <v>0</v>
      </c>
    </row>
    <row r="114" spans="1:34" ht="15" customHeight="1">
      <c r="A114" s="118">
        <v>1</v>
      </c>
      <c r="B114" s="24" t="str">
        <f>VLOOKUP(Ruimtestaat[[#This Row],[Code]],Locaties[#All],2,FALSE)</f>
        <v>Rembrandt College</v>
      </c>
      <c r="C114" s="24" t="str">
        <f>VLOOKUP(Ruimtestaat[[#This Row],[Code]],Locaties[#All],4,FALSE)</f>
        <v>Rembrandtlaan 2</v>
      </c>
      <c r="D114" s="24" t="str">
        <f>VLOOKUP(Ruimtestaat[[#This Row],[Code]],Locaties[#All],5,FALSE)</f>
        <v>3904 ZK</v>
      </c>
      <c r="E114" s="24" t="str">
        <f>VLOOKUP(Ruimtestaat[[#This Row],[Code]],Locaties[#All],6,FALSE)</f>
        <v>Veenendaal</v>
      </c>
      <c r="F114" s="66"/>
      <c r="G114" s="24" t="s">
        <v>467</v>
      </c>
      <c r="H114" s="24" t="s">
        <v>558</v>
      </c>
      <c r="I114" s="28" t="s">
        <v>564</v>
      </c>
      <c r="J114" s="4" t="s">
        <v>640</v>
      </c>
      <c r="K114" s="24">
        <v>2</v>
      </c>
      <c r="L114" s="66" t="str">
        <f>VLOOKUP(K114,Ruimtegroepen[],2,FALSE)</f>
        <v>Kantoren</v>
      </c>
      <c r="M114" s="24" t="s">
        <v>645</v>
      </c>
      <c r="N114" s="24" t="s">
        <v>384</v>
      </c>
      <c r="O114" s="92">
        <v>24.5</v>
      </c>
      <c r="P114" s="92"/>
      <c r="Q114" s="101" t="str">
        <f>LEFT(VLOOKUP(Ruimtestaat[[#This Row],[Ruimte code]],Ruimtegroepen[#All],4,1),2)</f>
        <v xml:space="preserve">B </v>
      </c>
      <c r="R114" s="101"/>
      <c r="S114" s="93">
        <v>40</v>
      </c>
      <c r="T114" s="93" t="s">
        <v>18</v>
      </c>
      <c r="U114" s="94">
        <f>IF(S114&gt;0,IF(RIGHT(Ruimtestaat[[#This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14" s="94">
        <f>IF(U114&gt;0,VLOOKUP($K114,Ruimtegroepen[],3,FALSE)*VLOOKUP($M114,Vloersoorten[],3,FALSE)*VLOOKUP($T114,Frequenties[],3,FALSE)*VLOOKUP($A114,Locaties[],3,FALSE),0)</f>
        <v>0</v>
      </c>
      <c r="W114" s="95">
        <f>Ruimtestaat[[#This Row],[Uitvoeringen werkdagen]]*Ruimtestaat[[#This Row],[Oppervlak (netto)]]</f>
        <v>2940</v>
      </c>
      <c r="X114" s="96">
        <f>IF(V114&gt;0,Ruimtestaat[[#This Row],[Prest. (m2 /jaar) werkdagen]]/Ruimtestaat[[#This Row],[Norm (m2/uur) werkdagen]],0)</f>
        <v>0</v>
      </c>
      <c r="Y114" s="97">
        <f>Ruimtestaat[[#This Row],[uren / jaar werkdagen]]*Tariefsopbouw!$E$35</f>
        <v>0</v>
      </c>
      <c r="Z114" s="94"/>
      <c r="AA114" s="98">
        <f>IF(Ruimtestaat[[#This Row],[Frequentie weekend]]&gt;0,VALUE(LEFT(Z114,1))*S114,0)</f>
        <v>0</v>
      </c>
      <c r="AB114" s="94">
        <f>IF($AA114&gt;0,VLOOKUP($K114,Ruimtegroepen[],3,FALSE)*VLOOKUP($M114,Vloersoorten[],3,FALSE)*VLOOKUP($Z114,Frequenties[],3,FALSE)*VLOOKUP($A110,Locaties[],3,FALSE),0)</f>
        <v>0</v>
      </c>
      <c r="AC114" s="96">
        <f>Ruimtestaat[[#This Row],[Uitvoeringen weekend]]*Ruimtestaat[[#This Row],[Oppervlak (netto)]]</f>
        <v>0</v>
      </c>
      <c r="AD114" s="99">
        <f>IF(AC114&gt;0,Ruimtestaat[[#This Row],[Prest. (m2 /jaar) weekend]]/Ruimtestaat[[#This Row],[Norm (m2/uur) weekend]],0)</f>
        <v>0</v>
      </c>
      <c r="AE114" s="100">
        <f>Ruimtestaat[[#This Row],[uren / jaar weekend]]*Tariefsopbouw!$D$40</f>
        <v>0</v>
      </c>
      <c r="AF114" s="72">
        <f>Ruimtestaat[[#This Row],[Prest. (m2 /jaar) weekend]]+Ruimtestaat[[#This Row],[Prest. (m2 /jaar) werkdagen]]</f>
        <v>2940</v>
      </c>
      <c r="AG114" s="72">
        <f>Ruimtestaat[[#This Row],[uren / jaar weekend]]+Ruimtestaat[[#This Row],[uren / jaar werkdagen]]</f>
        <v>0</v>
      </c>
      <c r="AH114" s="73">
        <f>Ruimtestaat[[#This Row],[kosten / jaar weekend]]+Ruimtestaat[[#This Row],[kosten / jaar werkdagen]]</f>
        <v>0</v>
      </c>
    </row>
    <row r="115" spans="1:34" ht="15" customHeight="1">
      <c r="A115" s="118">
        <v>1</v>
      </c>
      <c r="B115" s="24" t="str">
        <f>VLOOKUP(Ruimtestaat[[#This Row],[Code]],Locaties[#All],2,FALSE)</f>
        <v>Rembrandt College</v>
      </c>
      <c r="C115" s="24" t="str">
        <f>VLOOKUP(Ruimtestaat[[#This Row],[Code]],Locaties[#All],4,FALSE)</f>
        <v>Rembrandtlaan 2</v>
      </c>
      <c r="D115" s="24" t="str">
        <f>VLOOKUP(Ruimtestaat[[#This Row],[Code]],Locaties[#All],5,FALSE)</f>
        <v>3904 ZK</v>
      </c>
      <c r="E115" s="24" t="str">
        <f>VLOOKUP(Ruimtestaat[[#This Row],[Code]],Locaties[#All],6,FALSE)</f>
        <v>Veenendaal</v>
      </c>
      <c r="F115" s="66"/>
      <c r="G115" s="24" t="s">
        <v>467</v>
      </c>
      <c r="H115" s="24" t="s">
        <v>557</v>
      </c>
      <c r="I115" s="28" t="s">
        <v>565</v>
      </c>
      <c r="J115" s="4" t="s">
        <v>622</v>
      </c>
      <c r="K115" s="24">
        <v>16</v>
      </c>
      <c r="L115" s="66" t="str">
        <f>VLOOKUP(K115,Ruimtegroepen[],2,FALSE)</f>
        <v>Leslokalen theorie</v>
      </c>
      <c r="M115" s="24" t="s">
        <v>645</v>
      </c>
      <c r="N115" s="24" t="s">
        <v>384</v>
      </c>
      <c r="O115" s="92">
        <v>40.799999999999997</v>
      </c>
      <c r="P115" s="92"/>
      <c r="Q115" s="101" t="str">
        <f>LEFT(VLOOKUP(Ruimtestaat[[#This Row],[Ruimte code]],Ruimtegroepen[#All],4,1),2)</f>
        <v xml:space="preserve">L </v>
      </c>
      <c r="R115" s="101"/>
      <c r="S115" s="93">
        <v>40</v>
      </c>
      <c r="T115" s="93" t="s">
        <v>2</v>
      </c>
      <c r="U115" s="94">
        <f>IF(S115&gt;0,IF(RIGHT(Ruimtestaat[[#This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5" s="94">
        <f>IF(U115&gt;0,VLOOKUP($K115,Ruimtegroepen[],3,FALSE)*VLOOKUP($M115,Vloersoorten[],3,FALSE)*VLOOKUP($T115,Frequenties[],3,FALSE)*VLOOKUP($A115,Locaties[],3,FALSE),0)</f>
        <v>0</v>
      </c>
      <c r="W115" s="95">
        <f>Ruimtestaat[[#This Row],[Uitvoeringen werkdagen]]*Ruimtestaat[[#This Row],[Oppervlak (netto)]]</f>
        <v>8159.9999999999991</v>
      </c>
      <c r="X115" s="96">
        <f>IF(V115&gt;0,Ruimtestaat[[#This Row],[Prest. (m2 /jaar) werkdagen]]/Ruimtestaat[[#This Row],[Norm (m2/uur) werkdagen]],0)</f>
        <v>0</v>
      </c>
      <c r="Y115" s="97">
        <f>Ruimtestaat[[#This Row],[uren / jaar werkdagen]]*Tariefsopbouw!$E$35</f>
        <v>0</v>
      </c>
      <c r="Z115" s="94"/>
      <c r="AA115" s="98">
        <f>IF(Ruimtestaat[[#This Row],[Frequentie weekend]]&gt;0,VALUE(LEFT(Z115,1))*S115,0)</f>
        <v>0</v>
      </c>
      <c r="AB115" s="94">
        <f>IF($AA115&gt;0,VLOOKUP($K115,Ruimtegroepen[],3,FALSE)*VLOOKUP($M115,Vloersoorten[],3,FALSE)*VLOOKUP($Z115,Frequenties[],3,FALSE)*VLOOKUP($A111,Locaties[],3,FALSE),0)</f>
        <v>0</v>
      </c>
      <c r="AC115" s="96">
        <f>Ruimtestaat[[#This Row],[Uitvoeringen weekend]]*Ruimtestaat[[#This Row],[Oppervlak (netto)]]</f>
        <v>0</v>
      </c>
      <c r="AD115" s="99">
        <f>IF(AC115&gt;0,Ruimtestaat[[#This Row],[Prest. (m2 /jaar) weekend]]/Ruimtestaat[[#This Row],[Norm (m2/uur) weekend]],0)</f>
        <v>0</v>
      </c>
      <c r="AE115" s="100">
        <f>Ruimtestaat[[#This Row],[uren / jaar weekend]]*Tariefsopbouw!$D$40</f>
        <v>0</v>
      </c>
      <c r="AF115" s="72">
        <f>Ruimtestaat[[#This Row],[Prest. (m2 /jaar) weekend]]+Ruimtestaat[[#This Row],[Prest. (m2 /jaar) werkdagen]]</f>
        <v>8159.9999999999991</v>
      </c>
      <c r="AG115" s="72">
        <f>Ruimtestaat[[#This Row],[uren / jaar weekend]]+Ruimtestaat[[#This Row],[uren / jaar werkdagen]]</f>
        <v>0</v>
      </c>
      <c r="AH115" s="73">
        <f>Ruimtestaat[[#This Row],[kosten / jaar weekend]]+Ruimtestaat[[#This Row],[kosten / jaar werkdagen]]</f>
        <v>0</v>
      </c>
    </row>
    <row r="116" spans="1:34" ht="15" customHeight="1">
      <c r="A116" s="118">
        <v>1</v>
      </c>
      <c r="B116" s="24" t="str">
        <f>VLOOKUP(Ruimtestaat[[#This Row],[Code]],Locaties[#All],2,FALSE)</f>
        <v>Rembrandt College</v>
      </c>
      <c r="C116" s="24" t="str">
        <f>VLOOKUP(Ruimtestaat[[#This Row],[Code]],Locaties[#All],4,FALSE)</f>
        <v>Rembrandtlaan 2</v>
      </c>
      <c r="D116" s="24" t="str">
        <f>VLOOKUP(Ruimtestaat[[#This Row],[Code]],Locaties[#All],5,FALSE)</f>
        <v>3904 ZK</v>
      </c>
      <c r="E116" s="24" t="str">
        <f>VLOOKUP(Ruimtestaat[[#This Row],[Code]],Locaties[#All],6,FALSE)</f>
        <v>Veenendaal</v>
      </c>
      <c r="F116" s="66"/>
      <c r="G116" s="24" t="s">
        <v>467</v>
      </c>
      <c r="H116" s="24" t="s">
        <v>556</v>
      </c>
      <c r="I116" s="28" t="s">
        <v>566</v>
      </c>
      <c r="J116" s="4" t="s">
        <v>622</v>
      </c>
      <c r="K116" s="24">
        <v>16</v>
      </c>
      <c r="L116" s="66" t="str">
        <f>VLOOKUP(K116,Ruimtegroepen[],2,FALSE)</f>
        <v>Leslokalen theorie</v>
      </c>
      <c r="M116" s="24" t="s">
        <v>645</v>
      </c>
      <c r="N116" s="24" t="s">
        <v>384</v>
      </c>
      <c r="O116" s="92">
        <v>57.8</v>
      </c>
      <c r="P116" s="92"/>
      <c r="Q116" s="101" t="str">
        <f>LEFT(VLOOKUP(Ruimtestaat[[#This Row],[Ruimte code]],Ruimtegroepen[#All],4,1),2)</f>
        <v xml:space="preserve">L </v>
      </c>
      <c r="R116" s="101"/>
      <c r="S116" s="93">
        <v>40</v>
      </c>
      <c r="T116" s="93" t="s">
        <v>2</v>
      </c>
      <c r="U116" s="94">
        <f>IF(S116&gt;0,IF(RIGHT(Ruimtestaat[[#This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6" s="94">
        <f>IF(U116&gt;0,VLOOKUP($K116,Ruimtegroepen[],3,FALSE)*VLOOKUP($M116,Vloersoorten[],3,FALSE)*VLOOKUP($T116,Frequenties[],3,FALSE)*VLOOKUP($A116,Locaties[],3,FALSE),0)</f>
        <v>0</v>
      </c>
      <c r="W116" s="95">
        <f>Ruimtestaat[[#This Row],[Uitvoeringen werkdagen]]*Ruimtestaat[[#This Row],[Oppervlak (netto)]]</f>
        <v>11560</v>
      </c>
      <c r="X116" s="96">
        <f>IF(V116&gt;0,Ruimtestaat[[#This Row],[Prest. (m2 /jaar) werkdagen]]/Ruimtestaat[[#This Row],[Norm (m2/uur) werkdagen]],0)</f>
        <v>0</v>
      </c>
      <c r="Y116" s="97">
        <f>Ruimtestaat[[#This Row],[uren / jaar werkdagen]]*Tariefsopbouw!$E$35</f>
        <v>0</v>
      </c>
      <c r="Z116" s="94"/>
      <c r="AA116" s="98">
        <f>IF(Ruimtestaat[[#This Row],[Frequentie weekend]]&gt;0,VALUE(LEFT(Z116,1))*S116,0)</f>
        <v>0</v>
      </c>
      <c r="AB116" s="94">
        <f>IF($AA116&gt;0,VLOOKUP($K116,Ruimtegroepen[],3,FALSE)*VLOOKUP($M116,Vloersoorten[],3,FALSE)*VLOOKUP($Z116,Frequenties[],3,FALSE)*VLOOKUP($A112,Locaties[],3,FALSE),0)</f>
        <v>0</v>
      </c>
      <c r="AC116" s="96">
        <f>Ruimtestaat[[#This Row],[Uitvoeringen weekend]]*Ruimtestaat[[#This Row],[Oppervlak (netto)]]</f>
        <v>0</v>
      </c>
      <c r="AD116" s="99">
        <f>IF(AC116&gt;0,Ruimtestaat[[#This Row],[Prest. (m2 /jaar) weekend]]/Ruimtestaat[[#This Row],[Norm (m2/uur) weekend]],0)</f>
        <v>0</v>
      </c>
      <c r="AE116" s="100">
        <f>Ruimtestaat[[#This Row],[uren / jaar weekend]]*Tariefsopbouw!$D$40</f>
        <v>0</v>
      </c>
      <c r="AF116" s="72">
        <f>Ruimtestaat[[#This Row],[Prest. (m2 /jaar) weekend]]+Ruimtestaat[[#This Row],[Prest. (m2 /jaar) werkdagen]]</f>
        <v>11560</v>
      </c>
      <c r="AG116" s="72">
        <f>Ruimtestaat[[#This Row],[uren / jaar weekend]]+Ruimtestaat[[#This Row],[uren / jaar werkdagen]]</f>
        <v>0</v>
      </c>
      <c r="AH116" s="73">
        <f>Ruimtestaat[[#This Row],[kosten / jaar weekend]]+Ruimtestaat[[#This Row],[kosten / jaar werkdagen]]</f>
        <v>0</v>
      </c>
    </row>
    <row r="117" spans="1:34" ht="15" customHeight="1">
      <c r="A117" s="118">
        <v>1</v>
      </c>
      <c r="B117" s="24" t="str">
        <f>VLOOKUP(Ruimtestaat[[#This Row],[Code]],Locaties[#All],2,FALSE)</f>
        <v>Rembrandt College</v>
      </c>
      <c r="C117" s="24" t="str">
        <f>VLOOKUP(Ruimtestaat[[#This Row],[Code]],Locaties[#All],4,FALSE)</f>
        <v>Rembrandtlaan 2</v>
      </c>
      <c r="D117" s="24" t="str">
        <f>VLOOKUP(Ruimtestaat[[#This Row],[Code]],Locaties[#All],5,FALSE)</f>
        <v>3904 ZK</v>
      </c>
      <c r="E117" s="24" t="str">
        <f>VLOOKUP(Ruimtestaat[[#This Row],[Code]],Locaties[#All],6,FALSE)</f>
        <v>Veenendaal</v>
      </c>
      <c r="F117" s="66"/>
      <c r="G117" s="24" t="s">
        <v>467</v>
      </c>
      <c r="H117" s="24" t="s">
        <v>555</v>
      </c>
      <c r="I117" s="28" t="s">
        <v>567</v>
      </c>
      <c r="J117" s="4" t="s">
        <v>622</v>
      </c>
      <c r="K117" s="24">
        <v>16</v>
      </c>
      <c r="L117" s="66" t="str">
        <f>VLOOKUP(K117,Ruimtegroepen[],2,FALSE)</f>
        <v>Leslokalen theorie</v>
      </c>
      <c r="M117" s="24" t="s">
        <v>645</v>
      </c>
      <c r="N117" s="24" t="s">
        <v>384</v>
      </c>
      <c r="O117" s="92">
        <v>50.3</v>
      </c>
      <c r="P117" s="92"/>
      <c r="Q117" s="101" t="str">
        <f>LEFT(VLOOKUP(Ruimtestaat[[#This Row],[Ruimte code]],Ruimtegroepen[#All],4,1),2)</f>
        <v xml:space="preserve">L </v>
      </c>
      <c r="R117" s="101"/>
      <c r="S117" s="93">
        <v>40</v>
      </c>
      <c r="T117" s="93" t="s">
        <v>2</v>
      </c>
      <c r="U117" s="94">
        <f>IF(S117&gt;0,IF(RIGHT(Ruimtestaat[[#This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7" s="94">
        <f>IF(U117&gt;0,VLOOKUP($K117,Ruimtegroepen[],3,FALSE)*VLOOKUP($M117,Vloersoorten[],3,FALSE)*VLOOKUP($T117,Frequenties[],3,FALSE)*VLOOKUP($A117,Locaties[],3,FALSE),0)</f>
        <v>0</v>
      </c>
      <c r="W117" s="95">
        <f>Ruimtestaat[[#This Row],[Uitvoeringen werkdagen]]*Ruimtestaat[[#This Row],[Oppervlak (netto)]]</f>
        <v>10060</v>
      </c>
      <c r="X117" s="96">
        <f>IF(V117&gt;0,Ruimtestaat[[#This Row],[Prest. (m2 /jaar) werkdagen]]/Ruimtestaat[[#This Row],[Norm (m2/uur) werkdagen]],0)</f>
        <v>0</v>
      </c>
      <c r="Y117" s="97">
        <f>Ruimtestaat[[#This Row],[uren / jaar werkdagen]]*Tariefsopbouw!$E$35</f>
        <v>0</v>
      </c>
      <c r="Z117" s="94"/>
      <c r="AA117" s="98">
        <f>IF(Ruimtestaat[[#This Row],[Frequentie weekend]]&gt;0,VALUE(LEFT(Z117,1))*S117,0)</f>
        <v>0</v>
      </c>
      <c r="AB117" s="94">
        <f>IF($AA117&gt;0,VLOOKUP($K117,Ruimtegroepen[],3,FALSE)*VLOOKUP($M117,Vloersoorten[],3,FALSE)*VLOOKUP($Z117,Frequenties[],3,FALSE)*VLOOKUP($A112,Locaties[],3,FALSE),0)</f>
        <v>0</v>
      </c>
      <c r="AC117" s="96">
        <f>Ruimtestaat[[#This Row],[Uitvoeringen weekend]]*Ruimtestaat[[#This Row],[Oppervlak (netto)]]</f>
        <v>0</v>
      </c>
      <c r="AD117" s="99">
        <f>IF(AC117&gt;0,Ruimtestaat[[#This Row],[Prest. (m2 /jaar) weekend]]/Ruimtestaat[[#This Row],[Norm (m2/uur) weekend]],0)</f>
        <v>0</v>
      </c>
      <c r="AE117" s="100">
        <f>Ruimtestaat[[#This Row],[uren / jaar weekend]]*Tariefsopbouw!$D$40</f>
        <v>0</v>
      </c>
      <c r="AF117" s="72">
        <f>Ruimtestaat[[#This Row],[Prest. (m2 /jaar) weekend]]+Ruimtestaat[[#This Row],[Prest. (m2 /jaar) werkdagen]]</f>
        <v>10060</v>
      </c>
      <c r="AG117" s="72">
        <f>Ruimtestaat[[#This Row],[uren / jaar weekend]]+Ruimtestaat[[#This Row],[uren / jaar werkdagen]]</f>
        <v>0</v>
      </c>
      <c r="AH117" s="73">
        <f>Ruimtestaat[[#This Row],[kosten / jaar weekend]]+Ruimtestaat[[#This Row],[kosten / jaar werkdagen]]</f>
        <v>0</v>
      </c>
    </row>
    <row r="118" spans="1:34" ht="15" customHeight="1">
      <c r="A118" s="118">
        <v>1</v>
      </c>
      <c r="B118" s="24" t="str">
        <f>VLOOKUP(Ruimtestaat[[#This Row],[Code]],Locaties[#All],2,FALSE)</f>
        <v>Rembrandt College</v>
      </c>
      <c r="C118" s="24" t="str">
        <f>VLOOKUP(Ruimtestaat[[#This Row],[Code]],Locaties[#All],4,FALSE)</f>
        <v>Rembrandtlaan 2</v>
      </c>
      <c r="D118" s="24" t="str">
        <f>VLOOKUP(Ruimtestaat[[#This Row],[Code]],Locaties[#All],5,FALSE)</f>
        <v>3904 ZK</v>
      </c>
      <c r="E118" s="24" t="str">
        <f>VLOOKUP(Ruimtestaat[[#This Row],[Code]],Locaties[#All],6,FALSE)</f>
        <v>Veenendaal</v>
      </c>
      <c r="F118" s="66"/>
      <c r="G118" s="24" t="s">
        <v>467</v>
      </c>
      <c r="H118" s="24" t="s">
        <v>554</v>
      </c>
      <c r="I118" s="28" t="s">
        <v>568</v>
      </c>
      <c r="J118" s="4" t="s">
        <v>622</v>
      </c>
      <c r="K118" s="24">
        <v>16</v>
      </c>
      <c r="L118" s="66" t="str">
        <f>VLOOKUP(K118,Ruimtegroepen[],2,FALSE)</f>
        <v>Leslokalen theorie</v>
      </c>
      <c r="M118" s="24" t="s">
        <v>645</v>
      </c>
      <c r="N118" s="24" t="s">
        <v>384</v>
      </c>
      <c r="O118" s="92">
        <v>50.3</v>
      </c>
      <c r="P118" s="92"/>
      <c r="Q118" s="101" t="str">
        <f>LEFT(VLOOKUP(Ruimtestaat[[#This Row],[Ruimte code]],Ruimtegroepen[#All],4,1),2)</f>
        <v xml:space="preserve">L </v>
      </c>
      <c r="R118" s="101"/>
      <c r="S118" s="93">
        <v>40</v>
      </c>
      <c r="T118" s="93" t="s">
        <v>2</v>
      </c>
      <c r="U118" s="94">
        <f>IF(S118&gt;0,IF(RIGHT(Ruimtestaat[[#This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8" s="94">
        <f>IF(U118&gt;0,VLOOKUP($K118,Ruimtegroepen[],3,FALSE)*VLOOKUP($M118,Vloersoorten[],3,FALSE)*VLOOKUP($T118,Frequenties[],3,FALSE)*VLOOKUP($A118,Locaties[],3,FALSE),0)</f>
        <v>0</v>
      </c>
      <c r="W118" s="95">
        <f>Ruimtestaat[[#This Row],[Uitvoeringen werkdagen]]*Ruimtestaat[[#This Row],[Oppervlak (netto)]]</f>
        <v>10060</v>
      </c>
      <c r="X118" s="96">
        <f>IF(V118&gt;0,Ruimtestaat[[#This Row],[Prest. (m2 /jaar) werkdagen]]/Ruimtestaat[[#This Row],[Norm (m2/uur) werkdagen]],0)</f>
        <v>0</v>
      </c>
      <c r="Y118" s="97">
        <f>Ruimtestaat[[#This Row],[uren / jaar werkdagen]]*Tariefsopbouw!$E$35</f>
        <v>0</v>
      </c>
      <c r="Z118" s="94"/>
      <c r="AA118" s="98">
        <f>IF(Ruimtestaat[[#This Row],[Frequentie weekend]]&gt;0,VALUE(LEFT(Z118,1))*S118,0)</f>
        <v>0</v>
      </c>
      <c r="AB118" s="94">
        <f>IF($AA118&gt;0,VLOOKUP($K118,Ruimtegroepen[],3,FALSE)*VLOOKUP($M118,Vloersoorten[],3,FALSE)*VLOOKUP($Z118,Frequenties[],3,FALSE)*VLOOKUP($A113,Locaties[],3,FALSE),0)</f>
        <v>0</v>
      </c>
      <c r="AC118" s="96">
        <f>Ruimtestaat[[#This Row],[Uitvoeringen weekend]]*Ruimtestaat[[#This Row],[Oppervlak (netto)]]</f>
        <v>0</v>
      </c>
      <c r="AD118" s="99">
        <f>IF(AC118&gt;0,Ruimtestaat[[#This Row],[Prest. (m2 /jaar) weekend]]/Ruimtestaat[[#This Row],[Norm (m2/uur) weekend]],0)</f>
        <v>0</v>
      </c>
      <c r="AE118" s="100">
        <f>Ruimtestaat[[#This Row],[uren / jaar weekend]]*Tariefsopbouw!$D$40</f>
        <v>0</v>
      </c>
      <c r="AF118" s="72">
        <f>Ruimtestaat[[#This Row],[Prest. (m2 /jaar) weekend]]+Ruimtestaat[[#This Row],[Prest. (m2 /jaar) werkdagen]]</f>
        <v>10060</v>
      </c>
      <c r="AG118" s="72">
        <f>Ruimtestaat[[#This Row],[uren / jaar weekend]]+Ruimtestaat[[#This Row],[uren / jaar werkdagen]]</f>
        <v>0</v>
      </c>
      <c r="AH118" s="73">
        <f>Ruimtestaat[[#This Row],[kosten / jaar weekend]]+Ruimtestaat[[#This Row],[kosten / jaar werkdagen]]</f>
        <v>0</v>
      </c>
    </row>
    <row r="119" spans="1:34" ht="15" customHeight="1">
      <c r="A119" s="118">
        <v>1</v>
      </c>
      <c r="B119" s="24" t="str">
        <f>VLOOKUP(Ruimtestaat[[#This Row],[Code]],Locaties[#All],2,FALSE)</f>
        <v>Rembrandt College</v>
      </c>
      <c r="C119" s="24" t="str">
        <f>VLOOKUP(Ruimtestaat[[#This Row],[Code]],Locaties[#All],4,FALSE)</f>
        <v>Rembrandtlaan 2</v>
      </c>
      <c r="D119" s="24" t="str">
        <f>VLOOKUP(Ruimtestaat[[#This Row],[Code]],Locaties[#All],5,FALSE)</f>
        <v>3904 ZK</v>
      </c>
      <c r="E119" s="24" t="str">
        <f>VLOOKUP(Ruimtestaat[[#This Row],[Code]],Locaties[#All],6,FALSE)</f>
        <v>Veenendaal</v>
      </c>
      <c r="F119" s="66"/>
      <c r="G119" s="24" t="s">
        <v>467</v>
      </c>
      <c r="H119" s="24" t="s">
        <v>724</v>
      </c>
      <c r="I119" s="28" t="s">
        <v>569</v>
      </c>
      <c r="J119" s="4" t="s">
        <v>622</v>
      </c>
      <c r="K119" s="24">
        <v>16</v>
      </c>
      <c r="L119" s="66" t="str">
        <f>VLOOKUP(K119,Ruimtegroepen[],2,FALSE)</f>
        <v>Leslokalen theorie</v>
      </c>
      <c r="M119" s="24" t="s">
        <v>645</v>
      </c>
      <c r="N119" s="24" t="s">
        <v>384</v>
      </c>
      <c r="O119" s="92">
        <v>50.3</v>
      </c>
      <c r="P119" s="92"/>
      <c r="Q119" s="101" t="str">
        <f>LEFT(VLOOKUP(Ruimtestaat[[#This Row],[Ruimte code]],Ruimtegroepen[#All],4,1),2)</f>
        <v xml:space="preserve">L </v>
      </c>
      <c r="R119" s="101"/>
      <c r="S119" s="93">
        <v>40</v>
      </c>
      <c r="T119" s="93" t="s">
        <v>2</v>
      </c>
      <c r="U119" s="94">
        <f>IF(S119&gt;0,IF(RIGHT(Ruimtestaat[[#This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9" s="94">
        <f>IF(U119&gt;0,VLOOKUP($K119,Ruimtegroepen[],3,FALSE)*VLOOKUP($M119,Vloersoorten[],3,FALSE)*VLOOKUP($T119,Frequenties[],3,FALSE)*VLOOKUP($A119,Locaties[],3,FALSE),0)</f>
        <v>0</v>
      </c>
      <c r="W119" s="95">
        <f>Ruimtestaat[[#This Row],[Uitvoeringen werkdagen]]*Ruimtestaat[[#This Row],[Oppervlak (netto)]]</f>
        <v>10060</v>
      </c>
      <c r="X119" s="96">
        <f>IF(V119&gt;0,Ruimtestaat[[#This Row],[Prest. (m2 /jaar) werkdagen]]/Ruimtestaat[[#This Row],[Norm (m2/uur) werkdagen]],0)</f>
        <v>0</v>
      </c>
      <c r="Y119" s="97">
        <f>Ruimtestaat[[#This Row],[uren / jaar werkdagen]]*Tariefsopbouw!$E$35</f>
        <v>0</v>
      </c>
      <c r="Z119" s="94"/>
      <c r="AA119" s="98">
        <f>IF(Ruimtestaat[[#This Row],[Frequentie weekend]]&gt;0,VALUE(LEFT(Z119,1))*S119,0)</f>
        <v>0</v>
      </c>
      <c r="AB119" s="94">
        <f>IF($AA119&gt;0,VLOOKUP($K119,Ruimtegroepen[],3,FALSE)*VLOOKUP($M119,Vloersoorten[],3,FALSE)*VLOOKUP($Z119,Frequenties[],3,FALSE)*VLOOKUP($A114,Locaties[],3,FALSE),0)</f>
        <v>0</v>
      </c>
      <c r="AC119" s="96">
        <f>Ruimtestaat[[#This Row],[Uitvoeringen weekend]]*Ruimtestaat[[#This Row],[Oppervlak (netto)]]</f>
        <v>0</v>
      </c>
      <c r="AD119" s="99">
        <f>IF(AC119&gt;0,Ruimtestaat[[#This Row],[Prest. (m2 /jaar) weekend]]/Ruimtestaat[[#This Row],[Norm (m2/uur) weekend]],0)</f>
        <v>0</v>
      </c>
      <c r="AE119" s="100">
        <f>Ruimtestaat[[#This Row],[uren / jaar weekend]]*Tariefsopbouw!$D$40</f>
        <v>0</v>
      </c>
      <c r="AF119" s="72">
        <f>Ruimtestaat[[#This Row],[Prest. (m2 /jaar) weekend]]+Ruimtestaat[[#This Row],[Prest. (m2 /jaar) werkdagen]]</f>
        <v>10060</v>
      </c>
      <c r="AG119" s="72">
        <f>Ruimtestaat[[#This Row],[uren / jaar weekend]]+Ruimtestaat[[#This Row],[uren / jaar werkdagen]]</f>
        <v>0</v>
      </c>
      <c r="AH119" s="73">
        <f>Ruimtestaat[[#This Row],[kosten / jaar weekend]]+Ruimtestaat[[#This Row],[kosten / jaar werkdagen]]</f>
        <v>0</v>
      </c>
    </row>
    <row r="120" spans="1:34" ht="15" customHeight="1">
      <c r="A120" s="118">
        <v>1</v>
      </c>
      <c r="B120" s="24" t="str">
        <f>VLOOKUP(Ruimtestaat[[#This Row],[Code]],Locaties[#All],2,FALSE)</f>
        <v>Rembrandt College</v>
      </c>
      <c r="C120" s="24" t="str">
        <f>VLOOKUP(Ruimtestaat[[#This Row],[Code]],Locaties[#All],4,FALSE)</f>
        <v>Rembrandtlaan 2</v>
      </c>
      <c r="D120" s="24" t="str">
        <f>VLOOKUP(Ruimtestaat[[#This Row],[Code]],Locaties[#All],5,FALSE)</f>
        <v>3904 ZK</v>
      </c>
      <c r="E120" s="24" t="str">
        <f>VLOOKUP(Ruimtestaat[[#This Row],[Code]],Locaties[#All],6,FALSE)</f>
        <v>Veenendaal</v>
      </c>
      <c r="F120" s="66"/>
      <c r="G120" s="24" t="s">
        <v>467</v>
      </c>
      <c r="H120" s="24"/>
      <c r="I120" s="28" t="s">
        <v>570</v>
      </c>
      <c r="J120" s="4" t="s">
        <v>641</v>
      </c>
      <c r="K120" s="24">
        <v>6</v>
      </c>
      <c r="L120" s="66" t="str">
        <f>VLOOKUP(K120,Ruimtegroepen[],2,FALSE)</f>
        <v>Gangen/hallen</v>
      </c>
      <c r="M120" s="24" t="s">
        <v>645</v>
      </c>
      <c r="N120" s="24" t="s">
        <v>384</v>
      </c>
      <c r="O120" s="92">
        <v>124</v>
      </c>
      <c r="P120" s="92"/>
      <c r="Q120" s="101" t="str">
        <f>LEFT(VLOOKUP(Ruimtestaat[[#This Row],[Ruimte code]],Ruimtegroepen[#All],4,1),2)</f>
        <v xml:space="preserve">V </v>
      </c>
      <c r="R120" s="101"/>
      <c r="S120" s="93">
        <v>40</v>
      </c>
      <c r="T120" s="93" t="s">
        <v>2</v>
      </c>
      <c r="U120" s="94">
        <f>IF(S120&gt;0,IF(RIGHT(Ruimtestaat[[#This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0" s="94">
        <f>IF(U120&gt;0,VLOOKUP($K120,Ruimtegroepen[],3,FALSE)*VLOOKUP($M120,Vloersoorten[],3,FALSE)*VLOOKUP($T120,Frequenties[],3,FALSE)*VLOOKUP($A120,Locaties[],3,FALSE),0)</f>
        <v>0</v>
      </c>
      <c r="W120" s="95">
        <f>Ruimtestaat[[#This Row],[Uitvoeringen werkdagen]]*Ruimtestaat[[#This Row],[Oppervlak (netto)]]</f>
        <v>24800</v>
      </c>
      <c r="X120" s="96">
        <f>IF(V120&gt;0,Ruimtestaat[[#This Row],[Prest. (m2 /jaar) werkdagen]]/Ruimtestaat[[#This Row],[Norm (m2/uur) werkdagen]],0)</f>
        <v>0</v>
      </c>
      <c r="Y120" s="97">
        <f>Ruimtestaat[[#This Row],[uren / jaar werkdagen]]*Tariefsopbouw!$E$35</f>
        <v>0</v>
      </c>
      <c r="Z120" s="94"/>
      <c r="AA120" s="98">
        <f>IF(Ruimtestaat[[#This Row],[Frequentie weekend]]&gt;0,VALUE(LEFT(Z120,1))*S120,0)</f>
        <v>0</v>
      </c>
      <c r="AB120" s="94">
        <f>IF($AA120&gt;0,VLOOKUP($K120,Ruimtegroepen[],3,FALSE)*VLOOKUP($M120,Vloersoorten[],3,FALSE)*VLOOKUP($Z120,Frequenties[],3,FALSE)*VLOOKUP($A115,Locaties[],3,FALSE),0)</f>
        <v>0</v>
      </c>
      <c r="AC120" s="96">
        <f>Ruimtestaat[[#This Row],[Uitvoeringen weekend]]*Ruimtestaat[[#This Row],[Oppervlak (netto)]]</f>
        <v>0</v>
      </c>
      <c r="AD120" s="99">
        <f>IF(AC120&gt;0,Ruimtestaat[[#This Row],[Prest. (m2 /jaar) weekend]]/Ruimtestaat[[#This Row],[Norm (m2/uur) weekend]],0)</f>
        <v>0</v>
      </c>
      <c r="AE120" s="100">
        <f>Ruimtestaat[[#This Row],[uren / jaar weekend]]*Tariefsopbouw!$D$40</f>
        <v>0</v>
      </c>
      <c r="AF120" s="72">
        <f>Ruimtestaat[[#This Row],[Prest. (m2 /jaar) weekend]]+Ruimtestaat[[#This Row],[Prest. (m2 /jaar) werkdagen]]</f>
        <v>24800</v>
      </c>
      <c r="AG120" s="72">
        <f>Ruimtestaat[[#This Row],[uren / jaar weekend]]+Ruimtestaat[[#This Row],[uren / jaar werkdagen]]</f>
        <v>0</v>
      </c>
      <c r="AH120" s="73">
        <f>Ruimtestaat[[#This Row],[kosten / jaar weekend]]+Ruimtestaat[[#This Row],[kosten / jaar werkdagen]]</f>
        <v>0</v>
      </c>
    </row>
    <row r="121" spans="1:34" ht="15" customHeight="1">
      <c r="A121" s="118">
        <v>1</v>
      </c>
      <c r="B121" s="24" t="str">
        <f>VLOOKUP(Ruimtestaat[[#This Row],[Code]],Locaties[#All],2,FALSE)</f>
        <v>Rembrandt College</v>
      </c>
      <c r="C121" s="24" t="str">
        <f>VLOOKUP(Ruimtestaat[[#This Row],[Code]],Locaties[#All],4,FALSE)</f>
        <v>Rembrandtlaan 2</v>
      </c>
      <c r="D121" s="24" t="str">
        <f>VLOOKUP(Ruimtestaat[[#This Row],[Code]],Locaties[#All],5,FALSE)</f>
        <v>3904 ZK</v>
      </c>
      <c r="E121" s="24" t="str">
        <f>VLOOKUP(Ruimtestaat[[#This Row],[Code]],Locaties[#All],6,FALSE)</f>
        <v>Veenendaal</v>
      </c>
      <c r="F121" s="66"/>
      <c r="G121" s="24" t="s">
        <v>467</v>
      </c>
      <c r="H121" s="24"/>
      <c r="I121" s="28" t="s">
        <v>570</v>
      </c>
      <c r="J121" s="4" t="s">
        <v>642</v>
      </c>
      <c r="K121" s="24">
        <v>6</v>
      </c>
      <c r="L121" s="66" t="str">
        <f>VLOOKUP(K121,Ruimtegroepen[],2,FALSE)</f>
        <v>Gangen/hallen</v>
      </c>
      <c r="M121" s="24" t="s">
        <v>645</v>
      </c>
      <c r="N121" s="24" t="s">
        <v>384</v>
      </c>
      <c r="O121" s="92">
        <v>160.5</v>
      </c>
      <c r="P121" s="92"/>
      <c r="Q121" s="101" t="str">
        <f>LEFT(VLOOKUP(Ruimtestaat[[#This Row],[Ruimte code]],Ruimtegroepen[#All],4,1),2)</f>
        <v xml:space="preserve">V </v>
      </c>
      <c r="R121" s="101"/>
      <c r="S121" s="93">
        <v>40</v>
      </c>
      <c r="T121" s="93" t="s">
        <v>2</v>
      </c>
      <c r="U121" s="94">
        <f>IF(S121&gt;0,IF(RIGHT(Ruimtestaat[[#This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1" s="94">
        <f>IF(U121&gt;0,VLOOKUP($K121,Ruimtegroepen[],3,FALSE)*VLOOKUP($M121,Vloersoorten[],3,FALSE)*VLOOKUP($T121,Frequenties[],3,FALSE)*VLOOKUP($A121,Locaties[],3,FALSE),0)</f>
        <v>0</v>
      </c>
      <c r="W121" s="95">
        <f>Ruimtestaat[[#This Row],[Uitvoeringen werkdagen]]*Ruimtestaat[[#This Row],[Oppervlak (netto)]]</f>
        <v>32100</v>
      </c>
      <c r="X121" s="96">
        <f>IF(V121&gt;0,Ruimtestaat[[#This Row],[Prest. (m2 /jaar) werkdagen]]/Ruimtestaat[[#This Row],[Norm (m2/uur) werkdagen]],0)</f>
        <v>0</v>
      </c>
      <c r="Y121" s="97">
        <f>Ruimtestaat[[#This Row],[uren / jaar werkdagen]]*Tariefsopbouw!$E$35</f>
        <v>0</v>
      </c>
      <c r="Z121" s="94"/>
      <c r="AA121" s="98">
        <f>IF(Ruimtestaat[[#This Row],[Frequentie weekend]]&gt;0,VALUE(LEFT(Z121,1))*S121,0)</f>
        <v>0</v>
      </c>
      <c r="AB121" s="94">
        <f>IF($AA121&gt;0,VLOOKUP($K121,Ruimtegroepen[],3,FALSE)*VLOOKUP($M121,Vloersoorten[],3,FALSE)*VLOOKUP($Z121,Frequenties[],3,FALSE)*VLOOKUP($A117,Locaties[],3,FALSE),0)</f>
        <v>0</v>
      </c>
      <c r="AC121" s="96">
        <f>Ruimtestaat[[#This Row],[Uitvoeringen weekend]]*Ruimtestaat[[#This Row],[Oppervlak (netto)]]</f>
        <v>0</v>
      </c>
      <c r="AD121" s="99">
        <f>IF(AC121&gt;0,Ruimtestaat[[#This Row],[Prest. (m2 /jaar) weekend]]/Ruimtestaat[[#This Row],[Norm (m2/uur) weekend]],0)</f>
        <v>0</v>
      </c>
      <c r="AE121" s="100">
        <f>Ruimtestaat[[#This Row],[uren / jaar weekend]]*Tariefsopbouw!$D$40</f>
        <v>0</v>
      </c>
      <c r="AF121" s="72">
        <f>Ruimtestaat[[#This Row],[Prest. (m2 /jaar) weekend]]+Ruimtestaat[[#This Row],[Prest. (m2 /jaar) werkdagen]]</f>
        <v>32100</v>
      </c>
      <c r="AG121" s="72">
        <f>Ruimtestaat[[#This Row],[uren / jaar weekend]]+Ruimtestaat[[#This Row],[uren / jaar werkdagen]]</f>
        <v>0</v>
      </c>
      <c r="AH121" s="73">
        <f>Ruimtestaat[[#This Row],[kosten / jaar weekend]]+Ruimtestaat[[#This Row],[kosten / jaar werkdagen]]</f>
        <v>0</v>
      </c>
    </row>
    <row r="122" spans="1:34" ht="15" customHeight="1">
      <c r="A122" s="118">
        <v>1</v>
      </c>
      <c r="B122" s="24" t="str">
        <f>VLOOKUP(Ruimtestaat[[#This Row],[Code]],Locaties[#All],2,FALSE)</f>
        <v>Rembrandt College</v>
      </c>
      <c r="C122" s="24" t="str">
        <f>VLOOKUP(Ruimtestaat[[#This Row],[Code]],Locaties[#All],4,FALSE)</f>
        <v>Rembrandtlaan 2</v>
      </c>
      <c r="D122" s="24" t="str">
        <f>VLOOKUP(Ruimtestaat[[#This Row],[Code]],Locaties[#All],5,FALSE)</f>
        <v>3904 ZK</v>
      </c>
      <c r="E122" s="24" t="str">
        <f>VLOOKUP(Ruimtestaat[[#This Row],[Code]],Locaties[#All],6,FALSE)</f>
        <v>Veenendaal</v>
      </c>
      <c r="F122" s="66"/>
      <c r="G122" s="24" t="s">
        <v>467</v>
      </c>
      <c r="H122" s="24"/>
      <c r="I122" s="28" t="s">
        <v>570</v>
      </c>
      <c r="J122" s="4" t="s">
        <v>643</v>
      </c>
      <c r="K122" s="24">
        <v>6</v>
      </c>
      <c r="L122" s="66" t="str">
        <f>VLOOKUP(K122,Ruimtegroepen[],2,FALSE)</f>
        <v>Gangen/hallen</v>
      </c>
      <c r="M122" s="24" t="s">
        <v>645</v>
      </c>
      <c r="N122" s="24" t="s">
        <v>384</v>
      </c>
      <c r="O122" s="92">
        <v>166</v>
      </c>
      <c r="P122" s="92"/>
      <c r="Q122" s="101" t="str">
        <f>LEFT(VLOOKUP(Ruimtestaat[[#This Row],[Ruimte code]],Ruimtegroepen[#All],4,1),2)</f>
        <v xml:space="preserve">V </v>
      </c>
      <c r="R122" s="101"/>
      <c r="S122" s="93">
        <v>40</v>
      </c>
      <c r="T122" s="93" t="s">
        <v>2</v>
      </c>
      <c r="U122" s="94">
        <f>IF(S122&gt;0,IF(RIGHT(Ruimtestaat[[#This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2" s="94">
        <f>IF(U122&gt;0,VLOOKUP($K122,Ruimtegroepen[],3,FALSE)*VLOOKUP($M122,Vloersoorten[],3,FALSE)*VLOOKUP($T122,Frequenties[],3,FALSE)*VLOOKUP($A122,Locaties[],3,FALSE),0)</f>
        <v>0</v>
      </c>
      <c r="W122" s="95">
        <f>Ruimtestaat[[#This Row],[Uitvoeringen werkdagen]]*Ruimtestaat[[#This Row],[Oppervlak (netto)]]</f>
        <v>33200</v>
      </c>
      <c r="X122" s="96">
        <f>IF(V122&gt;0,Ruimtestaat[[#This Row],[Prest. (m2 /jaar) werkdagen]]/Ruimtestaat[[#This Row],[Norm (m2/uur) werkdagen]],0)</f>
        <v>0</v>
      </c>
      <c r="Y122" s="97">
        <f>Ruimtestaat[[#This Row],[uren / jaar werkdagen]]*Tariefsopbouw!$E$35</f>
        <v>0</v>
      </c>
      <c r="Z122" s="94"/>
      <c r="AA122" s="98">
        <f>IF(Ruimtestaat[[#This Row],[Frequentie weekend]]&gt;0,VALUE(LEFT(Z122,1))*S122,0)</f>
        <v>0</v>
      </c>
      <c r="AB122" s="94">
        <f>IF($AA122&gt;0,VLOOKUP($K122,Ruimtegroepen[],3,FALSE)*VLOOKUP($M122,Vloersoorten[],3,FALSE)*VLOOKUP($Z122,Frequenties[],3,FALSE)*VLOOKUP($A118,Locaties[],3,FALSE),0)</f>
        <v>0</v>
      </c>
      <c r="AC122" s="96">
        <f>Ruimtestaat[[#This Row],[Uitvoeringen weekend]]*Ruimtestaat[[#This Row],[Oppervlak (netto)]]</f>
        <v>0</v>
      </c>
      <c r="AD122" s="99">
        <f>IF(AC122&gt;0,Ruimtestaat[[#This Row],[Prest. (m2 /jaar) weekend]]/Ruimtestaat[[#This Row],[Norm (m2/uur) weekend]],0)</f>
        <v>0</v>
      </c>
      <c r="AE122" s="100">
        <f>Ruimtestaat[[#This Row],[uren / jaar weekend]]*Tariefsopbouw!$D$40</f>
        <v>0</v>
      </c>
      <c r="AF122" s="72">
        <f>Ruimtestaat[[#This Row],[Prest. (m2 /jaar) weekend]]+Ruimtestaat[[#This Row],[Prest. (m2 /jaar) werkdagen]]</f>
        <v>33200</v>
      </c>
      <c r="AG122" s="72">
        <f>Ruimtestaat[[#This Row],[uren / jaar weekend]]+Ruimtestaat[[#This Row],[uren / jaar werkdagen]]</f>
        <v>0</v>
      </c>
      <c r="AH122" s="73">
        <f>Ruimtestaat[[#This Row],[kosten / jaar weekend]]+Ruimtestaat[[#This Row],[kosten / jaar werkdagen]]</f>
        <v>0</v>
      </c>
    </row>
    <row r="123" spans="1:34" ht="15" customHeight="1">
      <c r="A123" s="118">
        <v>1</v>
      </c>
      <c r="B123" s="24" t="str">
        <f>VLOOKUP(Ruimtestaat[[#This Row],[Code]],Locaties[#All],2,FALSE)</f>
        <v>Rembrandt College</v>
      </c>
      <c r="C123" s="24" t="str">
        <f>VLOOKUP(Ruimtestaat[[#This Row],[Code]],Locaties[#All],4,FALSE)</f>
        <v>Rembrandtlaan 2</v>
      </c>
      <c r="D123" s="24" t="str">
        <f>VLOOKUP(Ruimtestaat[[#This Row],[Code]],Locaties[#All],5,FALSE)</f>
        <v>3904 ZK</v>
      </c>
      <c r="E123" s="24" t="str">
        <f>VLOOKUP(Ruimtestaat[[#This Row],[Code]],Locaties[#All],6,FALSE)</f>
        <v>Veenendaal</v>
      </c>
      <c r="F123" s="66"/>
      <c r="G123" s="24" t="s">
        <v>467</v>
      </c>
      <c r="H123" s="24" t="s">
        <v>725</v>
      </c>
      <c r="I123" s="28" t="s">
        <v>571</v>
      </c>
      <c r="J123" s="4" t="s">
        <v>599</v>
      </c>
      <c r="K123" s="24">
        <v>5</v>
      </c>
      <c r="L123" s="66" t="str">
        <f>VLOOKUP(K123,Ruimtegroepen[],2,FALSE)</f>
        <v>Sanitair</v>
      </c>
      <c r="M123" s="24" t="s">
        <v>113</v>
      </c>
      <c r="N123" s="24" t="s">
        <v>647</v>
      </c>
      <c r="O123" s="92">
        <v>8</v>
      </c>
      <c r="P123" s="92"/>
      <c r="Q123" s="101" t="str">
        <f>LEFT(VLOOKUP(Ruimtestaat[[#This Row],[Ruimte code]],Ruimtegroepen[#All],4,1),2)</f>
        <v xml:space="preserve">S </v>
      </c>
      <c r="R123" s="101"/>
      <c r="S123" s="93">
        <v>50</v>
      </c>
      <c r="T123" s="93" t="s">
        <v>19</v>
      </c>
      <c r="U123" s="94">
        <f>IF(S123&gt;0,IF(RIGHT(Ruimtestaat[[#This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123" s="94">
        <f>IF(U123&gt;0,VLOOKUP($K123,Ruimtegroepen[],3,FALSE)*VLOOKUP($M123,Vloersoorten[],3,FALSE)*VLOOKUP($T123,Frequenties[],3,FALSE)*VLOOKUP($A123,Locaties[],3,FALSE),0)</f>
        <v>0</v>
      </c>
      <c r="W123" s="95">
        <f>Ruimtestaat[[#This Row],[Uitvoeringen werkdagen]]*Ruimtestaat[[#This Row],[Oppervlak (netto)]]</f>
        <v>4000</v>
      </c>
      <c r="X123" s="96">
        <f>IF(V123&gt;0,Ruimtestaat[[#This Row],[Prest. (m2 /jaar) werkdagen]]/Ruimtestaat[[#This Row],[Norm (m2/uur) werkdagen]],0)</f>
        <v>0</v>
      </c>
      <c r="Y123" s="97">
        <f>Ruimtestaat[[#This Row],[uren / jaar werkdagen]]*Tariefsopbouw!$E$35</f>
        <v>0</v>
      </c>
      <c r="Z123" s="94"/>
      <c r="AA123" s="98">
        <f>IF(Ruimtestaat[[#This Row],[Frequentie weekend]]&gt;0,VALUE(LEFT(Z123,1))*S123,0)</f>
        <v>0</v>
      </c>
      <c r="AB123" s="94">
        <f>IF($AA123&gt;0,VLOOKUP($K123,Ruimtegroepen[],3,FALSE)*VLOOKUP($M123,Vloersoorten[],3,FALSE)*VLOOKUP($Z123,Frequenties[],3,FALSE)*VLOOKUP($A119,Locaties[],3,FALSE),0)</f>
        <v>0</v>
      </c>
      <c r="AC123" s="96">
        <f>Ruimtestaat[[#This Row],[Uitvoeringen weekend]]*Ruimtestaat[[#This Row],[Oppervlak (netto)]]</f>
        <v>0</v>
      </c>
      <c r="AD123" s="99">
        <f>IF(AC123&gt;0,Ruimtestaat[[#This Row],[Prest. (m2 /jaar) weekend]]/Ruimtestaat[[#This Row],[Norm (m2/uur) weekend]],0)</f>
        <v>0</v>
      </c>
      <c r="AE123" s="100">
        <f>Ruimtestaat[[#This Row],[uren / jaar weekend]]*Tariefsopbouw!$D$40</f>
        <v>0</v>
      </c>
      <c r="AF123" s="72">
        <f>Ruimtestaat[[#This Row],[Prest. (m2 /jaar) weekend]]+Ruimtestaat[[#This Row],[Prest. (m2 /jaar) werkdagen]]</f>
        <v>4000</v>
      </c>
      <c r="AG123" s="72">
        <f>Ruimtestaat[[#This Row],[uren / jaar weekend]]+Ruimtestaat[[#This Row],[uren / jaar werkdagen]]</f>
        <v>0</v>
      </c>
      <c r="AH123" s="73">
        <f>Ruimtestaat[[#This Row],[kosten / jaar weekend]]+Ruimtestaat[[#This Row],[kosten / jaar werkdagen]]</f>
        <v>0</v>
      </c>
    </row>
    <row r="124" spans="1:34" ht="15" customHeight="1">
      <c r="A124" s="118">
        <v>1</v>
      </c>
      <c r="B124" s="24" t="str">
        <f>VLOOKUP(Ruimtestaat[[#This Row],[Code]],Locaties[#All],2,FALSE)</f>
        <v>Rembrandt College</v>
      </c>
      <c r="C124" s="24" t="str">
        <f>VLOOKUP(Ruimtestaat[[#This Row],[Code]],Locaties[#All],4,FALSE)</f>
        <v>Rembrandtlaan 2</v>
      </c>
      <c r="D124" s="24" t="str">
        <f>VLOOKUP(Ruimtestaat[[#This Row],[Code]],Locaties[#All],5,FALSE)</f>
        <v>3904 ZK</v>
      </c>
      <c r="E124" s="24" t="str">
        <f>VLOOKUP(Ruimtestaat[[#This Row],[Code]],Locaties[#All],6,FALSE)</f>
        <v>Veenendaal</v>
      </c>
      <c r="F124" s="66"/>
      <c r="G124" s="24" t="s">
        <v>467</v>
      </c>
      <c r="H124" s="24" t="s">
        <v>726</v>
      </c>
      <c r="I124" s="28" t="s">
        <v>572</v>
      </c>
      <c r="J124" s="4" t="s">
        <v>644</v>
      </c>
      <c r="K124" s="24">
        <v>2</v>
      </c>
      <c r="L124" s="66" t="str">
        <f>VLOOKUP(K124,Ruimtegroepen[],2,FALSE)</f>
        <v>Kantoren</v>
      </c>
      <c r="M124" s="24" t="s">
        <v>645</v>
      </c>
      <c r="N124" s="24" t="s">
        <v>384</v>
      </c>
      <c r="O124" s="92">
        <v>4.62</v>
      </c>
      <c r="P124" s="92"/>
      <c r="Q124" s="101" t="str">
        <f>LEFT(VLOOKUP(Ruimtestaat[[#This Row],[Ruimte code]],Ruimtegroepen[#All],4,1),2)</f>
        <v xml:space="preserve">B </v>
      </c>
      <c r="R124" s="101"/>
      <c r="S124" s="93">
        <v>40</v>
      </c>
      <c r="T124" s="93" t="s">
        <v>18</v>
      </c>
      <c r="U124" s="94">
        <f>IF(S124&gt;0,IF(RIGHT(Ruimtestaat[[#This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V124" s="94">
        <f>IF(U124&gt;0,VLOOKUP($K124,Ruimtegroepen[],3,FALSE)*VLOOKUP($M124,Vloersoorten[],3,FALSE)*VLOOKUP($T124,Frequenties[],3,FALSE)*VLOOKUP($A124,Locaties[],3,FALSE),0)</f>
        <v>0</v>
      </c>
      <c r="W124" s="95">
        <f>Ruimtestaat[[#This Row],[Uitvoeringen werkdagen]]*Ruimtestaat[[#This Row],[Oppervlak (netto)]]</f>
        <v>554.4</v>
      </c>
      <c r="X124" s="96">
        <f>IF(V124&gt;0,Ruimtestaat[[#This Row],[Prest. (m2 /jaar) werkdagen]]/Ruimtestaat[[#This Row],[Norm (m2/uur) werkdagen]],0)</f>
        <v>0</v>
      </c>
      <c r="Y124" s="97">
        <f>Ruimtestaat[[#This Row],[uren / jaar werkdagen]]*Tariefsopbouw!$E$35</f>
        <v>0</v>
      </c>
      <c r="Z124" s="94"/>
      <c r="AA124" s="98">
        <f>IF(Ruimtestaat[[#This Row],[Frequentie weekend]]&gt;0,VALUE(LEFT(Z124,1))*S124,0)</f>
        <v>0</v>
      </c>
      <c r="AB124" s="94">
        <f>IF($AA124&gt;0,VLOOKUP($K124,Ruimtegroepen[],3,FALSE)*VLOOKUP($M124,Vloersoorten[],3,FALSE)*VLOOKUP($Z124,Frequenties[],3,FALSE)*VLOOKUP($A120,Locaties[],3,FALSE),0)</f>
        <v>0</v>
      </c>
      <c r="AC124" s="96">
        <f>Ruimtestaat[[#This Row],[Uitvoeringen weekend]]*Ruimtestaat[[#This Row],[Oppervlak (netto)]]</f>
        <v>0</v>
      </c>
      <c r="AD124" s="99">
        <f>IF(AC124&gt;0,Ruimtestaat[[#This Row],[Prest. (m2 /jaar) weekend]]/Ruimtestaat[[#This Row],[Norm (m2/uur) weekend]],0)</f>
        <v>0</v>
      </c>
      <c r="AE124" s="100">
        <f>Ruimtestaat[[#This Row],[uren / jaar weekend]]*Tariefsopbouw!$D$40</f>
        <v>0</v>
      </c>
      <c r="AF124" s="72">
        <f>Ruimtestaat[[#This Row],[Prest. (m2 /jaar) weekend]]+Ruimtestaat[[#This Row],[Prest. (m2 /jaar) werkdagen]]</f>
        <v>554.4</v>
      </c>
      <c r="AG124" s="72">
        <f>Ruimtestaat[[#This Row],[uren / jaar weekend]]+Ruimtestaat[[#This Row],[uren / jaar werkdagen]]</f>
        <v>0</v>
      </c>
      <c r="AH124" s="73">
        <f>Ruimtestaat[[#This Row],[kosten / jaar weekend]]+Ruimtestaat[[#This Row],[kosten / jaar werkdagen]]</f>
        <v>0</v>
      </c>
    </row>
    <row r="125" spans="1:34" ht="15" customHeight="1">
      <c r="A125" s="118">
        <v>1</v>
      </c>
      <c r="B125" s="24" t="str">
        <f>VLOOKUP(Ruimtestaat[[#This Row],[Code]],Locaties[#All],2,FALSE)</f>
        <v>Rembrandt College</v>
      </c>
      <c r="C125" s="24" t="str">
        <f>VLOOKUP(Ruimtestaat[[#This Row],[Code]],Locaties[#All],4,FALSE)</f>
        <v>Rembrandtlaan 2</v>
      </c>
      <c r="D125" s="24" t="str">
        <f>VLOOKUP(Ruimtestaat[[#This Row],[Code]],Locaties[#All],5,FALSE)</f>
        <v>3904 ZK</v>
      </c>
      <c r="E125" s="24" t="str">
        <f>VLOOKUP(Ruimtestaat[[#This Row],[Code]],Locaties[#All],6,FALSE)</f>
        <v>Veenendaal</v>
      </c>
      <c r="F125" s="66"/>
      <c r="G125" s="24" t="s">
        <v>467</v>
      </c>
      <c r="H125" s="24" t="s">
        <v>727</v>
      </c>
      <c r="I125" s="28" t="s">
        <v>573</v>
      </c>
      <c r="J125" s="4" t="s">
        <v>600</v>
      </c>
      <c r="K125" s="24">
        <v>5</v>
      </c>
      <c r="L125" s="66" t="str">
        <f>VLOOKUP(K125,Ruimtegroepen[],2,FALSE)</f>
        <v>Sanitair</v>
      </c>
      <c r="M125" s="24" t="s">
        <v>113</v>
      </c>
      <c r="N125" s="24" t="s">
        <v>647</v>
      </c>
      <c r="O125" s="92">
        <v>3</v>
      </c>
      <c r="P125" s="92"/>
      <c r="Q125" s="101" t="str">
        <f>LEFT(VLOOKUP(Ruimtestaat[[#This Row],[Ruimte code]],Ruimtegroepen[#All],4,1),2)</f>
        <v xml:space="preserve">S </v>
      </c>
      <c r="R125" s="101"/>
      <c r="S125" s="93">
        <v>50</v>
      </c>
      <c r="T125" s="93" t="s">
        <v>19</v>
      </c>
      <c r="U125" s="94">
        <f>IF(S125&gt;0,IF(RIGHT(Ruimtestaat[[#This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500</v>
      </c>
      <c r="V125" s="94">
        <f>IF(U125&gt;0,VLOOKUP($K125,Ruimtegroepen[],3,FALSE)*VLOOKUP($M125,Vloersoorten[],3,FALSE)*VLOOKUP($T125,Frequenties[],3,FALSE)*VLOOKUP($A125,Locaties[],3,FALSE),0)</f>
        <v>0</v>
      </c>
      <c r="W125" s="95">
        <f>Ruimtestaat[[#This Row],[Uitvoeringen werkdagen]]*Ruimtestaat[[#This Row],[Oppervlak (netto)]]</f>
        <v>1500</v>
      </c>
      <c r="X125" s="96">
        <f>IF(V125&gt;0,Ruimtestaat[[#This Row],[Prest. (m2 /jaar) werkdagen]]/Ruimtestaat[[#This Row],[Norm (m2/uur) werkdagen]],0)</f>
        <v>0</v>
      </c>
      <c r="Y125" s="97">
        <f>Ruimtestaat[[#This Row],[uren / jaar werkdagen]]*Tariefsopbouw!$E$35</f>
        <v>0</v>
      </c>
      <c r="Z125" s="94"/>
      <c r="AA125" s="98">
        <f>IF(Ruimtestaat[[#This Row],[Frequentie weekend]]&gt;0,VALUE(LEFT(Z125,1))*S125,0)</f>
        <v>0</v>
      </c>
      <c r="AB125" s="94">
        <f>IF($AA125&gt;0,VLOOKUP($K125,Ruimtegroepen[],3,FALSE)*VLOOKUP($M125,Vloersoorten[],3,FALSE)*VLOOKUP($Z125,Frequenties[],3,FALSE)*VLOOKUP($A96,Locaties[],3,FALSE),0)</f>
        <v>0</v>
      </c>
      <c r="AC125" s="96">
        <f>Ruimtestaat[[#This Row],[Uitvoeringen weekend]]*Ruimtestaat[[#This Row],[Oppervlak (netto)]]</f>
        <v>0</v>
      </c>
      <c r="AD125" s="99">
        <f>IF(AC125&gt;0,Ruimtestaat[[#This Row],[Prest. (m2 /jaar) weekend]]/Ruimtestaat[[#This Row],[Norm (m2/uur) weekend]],0)</f>
        <v>0</v>
      </c>
      <c r="AE125" s="100">
        <f>Ruimtestaat[[#This Row],[uren / jaar weekend]]*Tariefsopbouw!$D$40</f>
        <v>0</v>
      </c>
      <c r="AF125" s="72">
        <f>Ruimtestaat[[#This Row],[Prest. (m2 /jaar) weekend]]+Ruimtestaat[[#This Row],[Prest. (m2 /jaar) werkdagen]]</f>
        <v>1500</v>
      </c>
      <c r="AG125" s="72">
        <f>Ruimtestaat[[#This Row],[uren / jaar weekend]]+Ruimtestaat[[#This Row],[uren / jaar werkdagen]]</f>
        <v>0</v>
      </c>
      <c r="AH125" s="73">
        <f>Ruimtestaat[[#This Row],[kosten / jaar weekend]]+Ruimtestaat[[#This Row],[kosten / jaar werkdagen]]</f>
        <v>0</v>
      </c>
    </row>
    <row r="126" spans="1:34" ht="15" customHeight="1">
      <c r="A126" s="118">
        <v>1</v>
      </c>
      <c r="B126" s="24" t="str">
        <f>VLOOKUP(Ruimtestaat[[#This Row],[Code]],Locaties[#All],2,FALSE)</f>
        <v>Rembrandt College</v>
      </c>
      <c r="C126" s="24" t="str">
        <f>VLOOKUP(Ruimtestaat[[#This Row],[Code]],Locaties[#All],4,FALSE)</f>
        <v>Rembrandtlaan 2</v>
      </c>
      <c r="D126" s="24" t="str">
        <f>VLOOKUP(Ruimtestaat[[#This Row],[Code]],Locaties[#All],5,FALSE)</f>
        <v>3904 ZK</v>
      </c>
      <c r="E126" s="24" t="str">
        <f>VLOOKUP(Ruimtestaat[[#This Row],[Code]],Locaties[#All],6,FALSE)</f>
        <v>Veenendaal</v>
      </c>
      <c r="F126" s="66"/>
      <c r="G126" s="24" t="s">
        <v>467</v>
      </c>
      <c r="H126" s="24" t="s">
        <v>728</v>
      </c>
      <c r="I126" s="28" t="s">
        <v>574</v>
      </c>
      <c r="J126" s="4" t="s">
        <v>622</v>
      </c>
      <c r="K126" s="24">
        <v>16</v>
      </c>
      <c r="L126" s="66" t="str">
        <f>VLOOKUP(K126,Ruimtegroepen[],2,FALSE)</f>
        <v>Leslokalen theorie</v>
      </c>
      <c r="M126" s="24" t="s">
        <v>645</v>
      </c>
      <c r="N126" s="24" t="s">
        <v>384</v>
      </c>
      <c r="O126" s="92">
        <v>44.3</v>
      </c>
      <c r="P126" s="92"/>
      <c r="Q126" s="101" t="str">
        <f>LEFT(VLOOKUP(Ruimtestaat[[#This Row],[Ruimte code]],Ruimtegroepen[#All],4,1),2)</f>
        <v xml:space="preserve">L </v>
      </c>
      <c r="R126" s="101"/>
      <c r="S126" s="93">
        <v>40</v>
      </c>
      <c r="T126" s="93" t="s">
        <v>2</v>
      </c>
      <c r="U126" s="94">
        <f>IF(S126&gt;0,IF(RIGHT(Ruimtestaat[[#This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6" s="94">
        <f>IF(U126&gt;0,VLOOKUP($K126,Ruimtegroepen[],3,FALSE)*VLOOKUP($M126,Vloersoorten[],3,FALSE)*VLOOKUP($T126,Frequenties[],3,FALSE)*VLOOKUP($A126,Locaties[],3,FALSE),0)</f>
        <v>0</v>
      </c>
      <c r="W126" s="95">
        <f>Ruimtestaat[[#This Row],[Uitvoeringen werkdagen]]*Ruimtestaat[[#This Row],[Oppervlak (netto)]]</f>
        <v>8860</v>
      </c>
      <c r="X126" s="96">
        <f>IF(V126&gt;0,Ruimtestaat[[#This Row],[Prest. (m2 /jaar) werkdagen]]/Ruimtestaat[[#This Row],[Norm (m2/uur) werkdagen]],0)</f>
        <v>0</v>
      </c>
      <c r="Y126" s="97">
        <f>Ruimtestaat[[#This Row],[uren / jaar werkdagen]]*Tariefsopbouw!$E$35</f>
        <v>0</v>
      </c>
      <c r="Z126" s="94"/>
      <c r="AA126" s="98">
        <f>IF(Ruimtestaat[[#This Row],[Frequentie weekend]]&gt;0,VALUE(LEFT(Z126,1))*S126,0)</f>
        <v>0</v>
      </c>
      <c r="AB126" s="94">
        <f>IF($AA126&gt;0,VLOOKUP($K126,Ruimtegroepen[],3,FALSE)*VLOOKUP($M126,Vloersoorten[],3,FALSE)*VLOOKUP($Z126,Frequenties[],3,FALSE)*VLOOKUP($A97,Locaties[],3,FALSE),0)</f>
        <v>0</v>
      </c>
      <c r="AC126" s="96">
        <f>Ruimtestaat[[#This Row],[Uitvoeringen weekend]]*Ruimtestaat[[#This Row],[Oppervlak (netto)]]</f>
        <v>0</v>
      </c>
      <c r="AD126" s="99">
        <f>IF(AC126&gt;0,Ruimtestaat[[#This Row],[Prest. (m2 /jaar) weekend]]/Ruimtestaat[[#This Row],[Norm (m2/uur) weekend]],0)</f>
        <v>0</v>
      </c>
      <c r="AE126" s="100">
        <f>Ruimtestaat[[#This Row],[uren / jaar weekend]]*Tariefsopbouw!$D$40</f>
        <v>0</v>
      </c>
      <c r="AF126" s="72">
        <f>Ruimtestaat[[#This Row],[Prest. (m2 /jaar) weekend]]+Ruimtestaat[[#This Row],[Prest. (m2 /jaar) werkdagen]]</f>
        <v>8860</v>
      </c>
      <c r="AG126" s="72">
        <f>Ruimtestaat[[#This Row],[uren / jaar weekend]]+Ruimtestaat[[#This Row],[uren / jaar werkdagen]]</f>
        <v>0</v>
      </c>
      <c r="AH126" s="73">
        <f>Ruimtestaat[[#This Row],[kosten / jaar weekend]]+Ruimtestaat[[#This Row],[kosten / jaar werkdagen]]</f>
        <v>0</v>
      </c>
    </row>
    <row r="127" spans="1:34" ht="15" customHeight="1">
      <c r="A127" s="118">
        <v>1</v>
      </c>
      <c r="B127" s="24" t="str">
        <f>VLOOKUP(Ruimtestaat[[#This Row],[Code]],Locaties[#All],2,FALSE)</f>
        <v>Rembrandt College</v>
      </c>
      <c r="C127" s="24" t="str">
        <f>VLOOKUP(Ruimtestaat[[#This Row],[Code]],Locaties[#All],4,FALSE)</f>
        <v>Rembrandtlaan 2</v>
      </c>
      <c r="D127" s="24" t="str">
        <f>VLOOKUP(Ruimtestaat[[#This Row],[Code]],Locaties[#All],5,FALSE)</f>
        <v>3904 ZK</v>
      </c>
      <c r="E127" s="24" t="str">
        <f>VLOOKUP(Ruimtestaat[[#This Row],[Code]],Locaties[#All],6,FALSE)</f>
        <v>Veenendaal</v>
      </c>
      <c r="F127" s="66"/>
      <c r="G127" s="24" t="s">
        <v>467</v>
      </c>
      <c r="H127" s="24" t="s">
        <v>569</v>
      </c>
      <c r="I127" s="28" t="s">
        <v>575</v>
      </c>
      <c r="J127" s="4" t="s">
        <v>622</v>
      </c>
      <c r="K127" s="24">
        <v>16</v>
      </c>
      <c r="L127" s="66" t="str">
        <f>VLOOKUP(K127,Ruimtegroepen[],2,FALSE)</f>
        <v>Leslokalen theorie</v>
      </c>
      <c r="M127" s="24" t="s">
        <v>645</v>
      </c>
      <c r="N127" s="24" t="s">
        <v>384</v>
      </c>
      <c r="O127" s="92">
        <v>43.1</v>
      </c>
      <c r="P127" s="92"/>
      <c r="Q127" s="101" t="str">
        <f>LEFT(VLOOKUP(Ruimtestaat[[#This Row],[Ruimte code]],Ruimtegroepen[#All],4,1),2)</f>
        <v xml:space="preserve">L </v>
      </c>
      <c r="R127" s="101"/>
      <c r="S127" s="93">
        <v>40</v>
      </c>
      <c r="T127" s="93" t="s">
        <v>2</v>
      </c>
      <c r="U127" s="94">
        <f>IF(S127&gt;0,IF(RIGHT(Ruimtestaat[[#This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7" s="94">
        <f>IF(U127&gt;0,VLOOKUP($K127,Ruimtegroepen[],3,FALSE)*VLOOKUP($M127,Vloersoorten[],3,FALSE)*VLOOKUP($T127,Frequenties[],3,FALSE)*VLOOKUP($A127,Locaties[],3,FALSE),0)</f>
        <v>0</v>
      </c>
      <c r="W127" s="95">
        <f>Ruimtestaat[[#This Row],[Uitvoeringen werkdagen]]*Ruimtestaat[[#This Row],[Oppervlak (netto)]]</f>
        <v>8620</v>
      </c>
      <c r="X127" s="96">
        <f>IF(V127&gt;0,Ruimtestaat[[#This Row],[Prest. (m2 /jaar) werkdagen]]/Ruimtestaat[[#This Row],[Norm (m2/uur) werkdagen]],0)</f>
        <v>0</v>
      </c>
      <c r="Y127" s="97">
        <f>Ruimtestaat[[#This Row],[uren / jaar werkdagen]]*Tariefsopbouw!$E$35</f>
        <v>0</v>
      </c>
      <c r="Z127" s="94"/>
      <c r="AA127" s="98">
        <f>IF(Ruimtestaat[[#This Row],[Frequentie weekend]]&gt;0,VALUE(LEFT(Z127,1))*S127,0)</f>
        <v>0</v>
      </c>
      <c r="AB127" s="94">
        <f>IF($AA127&gt;0,VLOOKUP($K127,Ruimtegroepen[],3,FALSE)*VLOOKUP($M127,Vloersoorten[],3,FALSE)*VLOOKUP($Z127,Frequenties[],3,FALSE)*VLOOKUP($A98,Locaties[],3,FALSE),0)</f>
        <v>0</v>
      </c>
      <c r="AC127" s="96">
        <f>Ruimtestaat[[#This Row],[Uitvoeringen weekend]]*Ruimtestaat[[#This Row],[Oppervlak (netto)]]</f>
        <v>0</v>
      </c>
      <c r="AD127" s="99">
        <f>IF(AC127&gt;0,Ruimtestaat[[#This Row],[Prest. (m2 /jaar) weekend]]/Ruimtestaat[[#This Row],[Norm (m2/uur) weekend]],0)</f>
        <v>0</v>
      </c>
      <c r="AE127" s="100">
        <f>Ruimtestaat[[#This Row],[uren / jaar weekend]]*Tariefsopbouw!$D$40</f>
        <v>0</v>
      </c>
      <c r="AF127" s="72">
        <f>Ruimtestaat[[#This Row],[Prest. (m2 /jaar) weekend]]+Ruimtestaat[[#This Row],[Prest. (m2 /jaar) werkdagen]]</f>
        <v>8620</v>
      </c>
      <c r="AG127" s="72">
        <f>Ruimtestaat[[#This Row],[uren / jaar weekend]]+Ruimtestaat[[#This Row],[uren / jaar werkdagen]]</f>
        <v>0</v>
      </c>
      <c r="AH127" s="73">
        <f>Ruimtestaat[[#This Row],[kosten / jaar weekend]]+Ruimtestaat[[#This Row],[kosten / jaar werkdagen]]</f>
        <v>0</v>
      </c>
    </row>
    <row r="128" spans="1:34" ht="15" customHeight="1">
      <c r="A128" s="118">
        <v>1</v>
      </c>
      <c r="B128" s="24" t="str">
        <f>VLOOKUP(Ruimtestaat[[#This Row],[Code]],Locaties[#All],2,FALSE)</f>
        <v>Rembrandt College</v>
      </c>
      <c r="C128" s="24" t="str">
        <f>VLOOKUP(Ruimtestaat[[#This Row],[Code]],Locaties[#All],4,FALSE)</f>
        <v>Rembrandtlaan 2</v>
      </c>
      <c r="D128" s="24" t="str">
        <f>VLOOKUP(Ruimtestaat[[#This Row],[Code]],Locaties[#All],5,FALSE)</f>
        <v>3904 ZK</v>
      </c>
      <c r="E128" s="24" t="str">
        <f>VLOOKUP(Ruimtestaat[[#This Row],[Code]],Locaties[#All],6,FALSE)</f>
        <v>Veenendaal</v>
      </c>
      <c r="F128" s="66"/>
      <c r="G128" s="24" t="s">
        <v>467</v>
      </c>
      <c r="H128" s="24" t="s">
        <v>568</v>
      </c>
      <c r="I128" s="28" t="s">
        <v>576</v>
      </c>
      <c r="J128" s="4" t="s">
        <v>622</v>
      </c>
      <c r="K128" s="24">
        <v>16</v>
      </c>
      <c r="L128" s="66" t="str">
        <f>VLOOKUP(K128,Ruimtegroepen[],2,FALSE)</f>
        <v>Leslokalen theorie</v>
      </c>
      <c r="M128" s="24" t="s">
        <v>645</v>
      </c>
      <c r="N128" s="24" t="s">
        <v>384</v>
      </c>
      <c r="O128" s="92">
        <v>43.1</v>
      </c>
      <c r="P128" s="92"/>
      <c r="Q128" s="101" t="str">
        <f>LEFT(VLOOKUP(Ruimtestaat[[#This Row],[Ruimte code]],Ruimtegroepen[#All],4,1),2)</f>
        <v xml:space="preserve">L </v>
      </c>
      <c r="R128" s="101"/>
      <c r="S128" s="93">
        <v>40</v>
      </c>
      <c r="T128" s="93" t="s">
        <v>2</v>
      </c>
      <c r="U128" s="94">
        <f>IF(S128&gt;0,IF(RIGHT(Ruimtestaat[[#This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8" s="94">
        <f>IF(U128&gt;0,VLOOKUP($K128,Ruimtegroepen[],3,FALSE)*VLOOKUP($M128,Vloersoorten[],3,FALSE)*VLOOKUP($T128,Frequenties[],3,FALSE)*VLOOKUP($A128,Locaties[],3,FALSE),0)</f>
        <v>0</v>
      </c>
      <c r="W128" s="95">
        <f>Ruimtestaat[[#This Row],[Uitvoeringen werkdagen]]*Ruimtestaat[[#This Row],[Oppervlak (netto)]]</f>
        <v>8620</v>
      </c>
      <c r="X128" s="96">
        <f>IF(V128&gt;0,Ruimtestaat[[#This Row],[Prest. (m2 /jaar) werkdagen]]/Ruimtestaat[[#This Row],[Norm (m2/uur) werkdagen]],0)</f>
        <v>0</v>
      </c>
      <c r="Y128" s="97">
        <f>Ruimtestaat[[#This Row],[uren / jaar werkdagen]]*Tariefsopbouw!$E$35</f>
        <v>0</v>
      </c>
      <c r="Z128" s="94"/>
      <c r="AA128" s="98">
        <f>IF(Ruimtestaat[[#This Row],[Frequentie weekend]]&gt;0,VALUE(LEFT(Z128,1))*S128,0)</f>
        <v>0</v>
      </c>
      <c r="AB128" s="94">
        <f>IF($AA128&gt;0,VLOOKUP($K128,Ruimtegroepen[],3,FALSE)*VLOOKUP($M128,Vloersoorten[],3,FALSE)*VLOOKUP($Z128,Frequenties[],3,FALSE)*VLOOKUP($A99,Locaties[],3,FALSE),0)</f>
        <v>0</v>
      </c>
      <c r="AC128" s="96">
        <f>Ruimtestaat[[#This Row],[Uitvoeringen weekend]]*Ruimtestaat[[#This Row],[Oppervlak (netto)]]</f>
        <v>0</v>
      </c>
      <c r="AD128" s="99">
        <f>IF(AC128&gt;0,Ruimtestaat[[#This Row],[Prest. (m2 /jaar) weekend]]/Ruimtestaat[[#This Row],[Norm (m2/uur) weekend]],0)</f>
        <v>0</v>
      </c>
      <c r="AE128" s="100">
        <f>Ruimtestaat[[#This Row],[uren / jaar weekend]]*Tariefsopbouw!$D$40</f>
        <v>0</v>
      </c>
      <c r="AF128" s="72">
        <f>Ruimtestaat[[#This Row],[Prest. (m2 /jaar) weekend]]+Ruimtestaat[[#This Row],[Prest. (m2 /jaar) werkdagen]]</f>
        <v>8620</v>
      </c>
      <c r="AG128" s="72">
        <f>Ruimtestaat[[#This Row],[uren / jaar weekend]]+Ruimtestaat[[#This Row],[uren / jaar werkdagen]]</f>
        <v>0</v>
      </c>
      <c r="AH128" s="73">
        <f>Ruimtestaat[[#This Row],[kosten / jaar weekend]]+Ruimtestaat[[#This Row],[kosten / jaar werkdagen]]</f>
        <v>0</v>
      </c>
    </row>
    <row r="129" spans="1:34" ht="15" customHeight="1">
      <c r="A129" s="118">
        <v>1</v>
      </c>
      <c r="B129" s="24" t="str">
        <f>VLOOKUP(Ruimtestaat[[#This Row],[Code]],Locaties[#All],2,FALSE)</f>
        <v>Rembrandt College</v>
      </c>
      <c r="C129" s="24" t="str">
        <f>VLOOKUP(Ruimtestaat[[#This Row],[Code]],Locaties[#All],4,FALSE)</f>
        <v>Rembrandtlaan 2</v>
      </c>
      <c r="D129" s="24" t="str">
        <f>VLOOKUP(Ruimtestaat[[#This Row],[Code]],Locaties[#All],5,FALSE)</f>
        <v>3904 ZK</v>
      </c>
      <c r="E129" s="24" t="str">
        <f>VLOOKUP(Ruimtestaat[[#This Row],[Code]],Locaties[#All],6,FALSE)</f>
        <v>Veenendaal</v>
      </c>
      <c r="F129" s="66"/>
      <c r="G129" s="24" t="s">
        <v>467</v>
      </c>
      <c r="H129" s="24" t="s">
        <v>567</v>
      </c>
      <c r="I129" s="28" t="s">
        <v>577</v>
      </c>
      <c r="J129" s="4" t="s">
        <v>622</v>
      </c>
      <c r="K129" s="24">
        <v>16</v>
      </c>
      <c r="L129" s="66" t="str">
        <f>VLOOKUP(K129,Ruimtegroepen[],2,FALSE)</f>
        <v>Leslokalen theorie</v>
      </c>
      <c r="M129" s="24" t="s">
        <v>645</v>
      </c>
      <c r="N129" s="24" t="s">
        <v>384</v>
      </c>
      <c r="O129" s="92">
        <v>43.1</v>
      </c>
      <c r="P129" s="92"/>
      <c r="Q129" s="101" t="str">
        <f>LEFT(VLOOKUP(Ruimtestaat[[#This Row],[Ruimte code]],Ruimtegroepen[#All],4,1),2)</f>
        <v xml:space="preserve">L </v>
      </c>
      <c r="R129" s="101"/>
      <c r="S129" s="93">
        <v>40</v>
      </c>
      <c r="T129" s="93" t="s">
        <v>2</v>
      </c>
      <c r="U129" s="94">
        <f>IF(S129&gt;0,IF(RIGHT(Ruimtestaat[[#This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9" s="94">
        <f>IF(U129&gt;0,VLOOKUP($K129,Ruimtegroepen[],3,FALSE)*VLOOKUP($M129,Vloersoorten[],3,FALSE)*VLOOKUP($T129,Frequenties[],3,FALSE)*VLOOKUP($A129,Locaties[],3,FALSE),0)</f>
        <v>0</v>
      </c>
      <c r="W129" s="95">
        <f>Ruimtestaat[[#This Row],[Uitvoeringen werkdagen]]*Ruimtestaat[[#This Row],[Oppervlak (netto)]]</f>
        <v>8620</v>
      </c>
      <c r="X129" s="96">
        <f>IF(V129&gt;0,Ruimtestaat[[#This Row],[Prest. (m2 /jaar) werkdagen]]/Ruimtestaat[[#This Row],[Norm (m2/uur) werkdagen]],0)</f>
        <v>0</v>
      </c>
      <c r="Y129" s="97">
        <f>Ruimtestaat[[#This Row],[uren / jaar werkdagen]]*Tariefsopbouw!$E$35</f>
        <v>0</v>
      </c>
      <c r="Z129" s="94"/>
      <c r="AA129" s="98">
        <f>IF(Ruimtestaat[[#This Row],[Frequentie weekend]]&gt;0,VALUE(LEFT(Z129,1))*S129,0)</f>
        <v>0</v>
      </c>
      <c r="AB129" s="94">
        <f>IF($AA129&gt;0,VLOOKUP($K129,Ruimtegroepen[],3,FALSE)*VLOOKUP($M129,Vloersoorten[],3,FALSE)*VLOOKUP($Z129,Frequenties[],3,FALSE)*VLOOKUP($A100,Locaties[],3,FALSE),0)</f>
        <v>0</v>
      </c>
      <c r="AC129" s="96">
        <f>Ruimtestaat[[#This Row],[Uitvoeringen weekend]]*Ruimtestaat[[#This Row],[Oppervlak (netto)]]</f>
        <v>0</v>
      </c>
      <c r="AD129" s="99">
        <f>IF(AC129&gt;0,Ruimtestaat[[#This Row],[Prest. (m2 /jaar) weekend]]/Ruimtestaat[[#This Row],[Norm (m2/uur) weekend]],0)</f>
        <v>0</v>
      </c>
      <c r="AE129" s="100">
        <f>Ruimtestaat[[#This Row],[uren / jaar weekend]]*Tariefsopbouw!$D$40</f>
        <v>0</v>
      </c>
      <c r="AF129" s="72">
        <f>Ruimtestaat[[#This Row],[Prest. (m2 /jaar) weekend]]+Ruimtestaat[[#This Row],[Prest. (m2 /jaar) werkdagen]]</f>
        <v>8620</v>
      </c>
      <c r="AG129" s="72">
        <f>Ruimtestaat[[#This Row],[uren / jaar weekend]]+Ruimtestaat[[#This Row],[uren / jaar werkdagen]]</f>
        <v>0</v>
      </c>
      <c r="AH129" s="73">
        <f>Ruimtestaat[[#This Row],[kosten / jaar weekend]]+Ruimtestaat[[#This Row],[kosten / jaar werkdagen]]</f>
        <v>0</v>
      </c>
    </row>
    <row r="130" spans="1:34" ht="15" customHeight="1">
      <c r="A130" s="118">
        <v>1</v>
      </c>
      <c r="B130" s="24" t="str">
        <f>VLOOKUP(Ruimtestaat[[#This Row],[Code]],Locaties[#All],2,FALSE)</f>
        <v>Rembrandt College</v>
      </c>
      <c r="C130" s="24" t="str">
        <f>VLOOKUP(Ruimtestaat[[#This Row],[Code]],Locaties[#All],4,FALSE)</f>
        <v>Rembrandtlaan 2</v>
      </c>
      <c r="D130" s="24" t="str">
        <f>VLOOKUP(Ruimtestaat[[#This Row],[Code]],Locaties[#All],5,FALSE)</f>
        <v>3904 ZK</v>
      </c>
      <c r="E130" s="24" t="str">
        <f>VLOOKUP(Ruimtestaat[[#This Row],[Code]],Locaties[#All],6,FALSE)</f>
        <v>Veenendaal</v>
      </c>
      <c r="F130" s="66"/>
      <c r="G130" s="24" t="s">
        <v>467</v>
      </c>
      <c r="H130" s="24" t="s">
        <v>566</v>
      </c>
      <c r="I130" s="28" t="s">
        <v>578</v>
      </c>
      <c r="J130" s="4" t="s">
        <v>622</v>
      </c>
      <c r="K130" s="24">
        <v>16</v>
      </c>
      <c r="L130" s="66" t="str">
        <f>VLOOKUP(K130,Ruimtegroepen[],2,FALSE)</f>
        <v>Leslokalen theorie</v>
      </c>
      <c r="M130" s="24" t="s">
        <v>645</v>
      </c>
      <c r="N130" s="24" t="s">
        <v>384</v>
      </c>
      <c r="O130" s="92">
        <v>43.1</v>
      </c>
      <c r="P130" s="92"/>
      <c r="Q130" s="101" t="str">
        <f>LEFT(VLOOKUP(Ruimtestaat[[#This Row],[Ruimte code]],Ruimtegroepen[#All],4,1),2)</f>
        <v xml:space="preserve">L </v>
      </c>
      <c r="R130" s="101"/>
      <c r="S130" s="93">
        <v>40</v>
      </c>
      <c r="T130" s="93" t="s">
        <v>2</v>
      </c>
      <c r="U130" s="94">
        <f>IF(S130&gt;0,IF(RIGHT(Ruimtestaat[[#This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0" s="94">
        <f>IF(U130&gt;0,VLOOKUP($K130,Ruimtegroepen[],3,FALSE)*VLOOKUP($M130,Vloersoorten[],3,FALSE)*VLOOKUP($T130,Frequenties[],3,FALSE)*VLOOKUP($A130,Locaties[],3,FALSE),0)</f>
        <v>0</v>
      </c>
      <c r="W130" s="95">
        <f>Ruimtestaat[[#This Row],[Uitvoeringen werkdagen]]*Ruimtestaat[[#This Row],[Oppervlak (netto)]]</f>
        <v>8620</v>
      </c>
      <c r="X130" s="96">
        <f>IF(V130&gt;0,Ruimtestaat[[#This Row],[Prest. (m2 /jaar) werkdagen]]/Ruimtestaat[[#This Row],[Norm (m2/uur) werkdagen]],0)</f>
        <v>0</v>
      </c>
      <c r="Y130" s="97">
        <f>Ruimtestaat[[#This Row],[uren / jaar werkdagen]]*Tariefsopbouw!$E$35</f>
        <v>0</v>
      </c>
      <c r="Z130" s="94"/>
      <c r="AA130" s="98">
        <f>IF(Ruimtestaat[[#This Row],[Frequentie weekend]]&gt;0,VALUE(LEFT(Z130,1))*S130,0)</f>
        <v>0</v>
      </c>
      <c r="AB130" s="94">
        <f>IF($AA130&gt;0,VLOOKUP($K130,Ruimtegroepen[],3,FALSE)*VLOOKUP($M130,Vloersoorten[],3,FALSE)*VLOOKUP($Z130,Frequenties[],3,FALSE)*VLOOKUP($A101,Locaties[],3,FALSE),0)</f>
        <v>0</v>
      </c>
      <c r="AC130" s="96">
        <f>Ruimtestaat[[#This Row],[Uitvoeringen weekend]]*Ruimtestaat[[#This Row],[Oppervlak (netto)]]</f>
        <v>0</v>
      </c>
      <c r="AD130" s="99">
        <f>IF(AC130&gt;0,Ruimtestaat[[#This Row],[Prest. (m2 /jaar) weekend]]/Ruimtestaat[[#This Row],[Norm (m2/uur) weekend]],0)</f>
        <v>0</v>
      </c>
      <c r="AE130" s="100">
        <f>Ruimtestaat[[#This Row],[uren / jaar weekend]]*Tariefsopbouw!$D$40</f>
        <v>0</v>
      </c>
      <c r="AF130" s="72">
        <f>Ruimtestaat[[#This Row],[Prest. (m2 /jaar) weekend]]+Ruimtestaat[[#This Row],[Prest. (m2 /jaar) werkdagen]]</f>
        <v>8620</v>
      </c>
      <c r="AG130" s="72">
        <f>Ruimtestaat[[#This Row],[uren / jaar weekend]]+Ruimtestaat[[#This Row],[uren / jaar werkdagen]]</f>
        <v>0</v>
      </c>
      <c r="AH130" s="73">
        <f>Ruimtestaat[[#This Row],[kosten / jaar weekend]]+Ruimtestaat[[#This Row],[kosten / jaar werkdagen]]</f>
        <v>0</v>
      </c>
    </row>
    <row r="131" spans="1:34" ht="15" customHeight="1">
      <c r="A131" s="118">
        <v>1</v>
      </c>
      <c r="B131" s="24" t="str">
        <f>VLOOKUP(Ruimtestaat[[#This Row],[Code]],Locaties[#All],2,FALSE)</f>
        <v>Rembrandt College</v>
      </c>
      <c r="C131" s="24" t="str">
        <f>VLOOKUP(Ruimtestaat[[#This Row],[Code]],Locaties[#All],4,FALSE)</f>
        <v>Rembrandtlaan 2</v>
      </c>
      <c r="D131" s="24" t="str">
        <f>VLOOKUP(Ruimtestaat[[#This Row],[Code]],Locaties[#All],5,FALSE)</f>
        <v>3904 ZK</v>
      </c>
      <c r="E131" s="24" t="str">
        <f>VLOOKUP(Ruimtestaat[[#This Row],[Code]],Locaties[#All],6,FALSE)</f>
        <v>Veenendaal</v>
      </c>
      <c r="F131" s="66"/>
      <c r="G131" s="24" t="s">
        <v>467</v>
      </c>
      <c r="H131" s="24" t="s">
        <v>565</v>
      </c>
      <c r="I131" s="28" t="s">
        <v>579</v>
      </c>
      <c r="J131" s="4" t="s">
        <v>622</v>
      </c>
      <c r="K131" s="24">
        <v>16</v>
      </c>
      <c r="L131" s="66" t="str">
        <f>VLOOKUP(K131,Ruimtegroepen[],2,FALSE)</f>
        <v>Leslokalen theorie</v>
      </c>
      <c r="M131" s="24" t="s">
        <v>645</v>
      </c>
      <c r="N131" s="24" t="s">
        <v>384</v>
      </c>
      <c r="O131" s="92">
        <v>43.1</v>
      </c>
      <c r="P131" s="92"/>
      <c r="Q131" s="101" t="str">
        <f>LEFT(VLOOKUP(Ruimtestaat[[#This Row],[Ruimte code]],Ruimtegroepen[#All],4,1),2)</f>
        <v xml:space="preserve">L </v>
      </c>
      <c r="R131" s="101"/>
      <c r="S131" s="93">
        <v>40</v>
      </c>
      <c r="T131" s="93" t="s">
        <v>2</v>
      </c>
      <c r="U131" s="94">
        <f>IF(S131&gt;0,IF(RIGHT(Ruimtestaat[[#This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1" s="94">
        <f>IF(U131&gt;0,VLOOKUP($K131,Ruimtegroepen[],3,FALSE)*VLOOKUP($M131,Vloersoorten[],3,FALSE)*VLOOKUP($T131,Frequenties[],3,FALSE)*VLOOKUP($A131,Locaties[],3,FALSE),0)</f>
        <v>0</v>
      </c>
      <c r="W131" s="95">
        <f>Ruimtestaat[[#This Row],[Uitvoeringen werkdagen]]*Ruimtestaat[[#This Row],[Oppervlak (netto)]]</f>
        <v>8620</v>
      </c>
      <c r="X131" s="96">
        <f>IF(V131&gt;0,Ruimtestaat[[#This Row],[Prest. (m2 /jaar) werkdagen]]/Ruimtestaat[[#This Row],[Norm (m2/uur) werkdagen]],0)</f>
        <v>0</v>
      </c>
      <c r="Y131" s="97">
        <f>Ruimtestaat[[#This Row],[uren / jaar werkdagen]]*Tariefsopbouw!$E$35</f>
        <v>0</v>
      </c>
      <c r="Z131" s="94"/>
      <c r="AA131" s="98">
        <f>IF(Ruimtestaat[[#This Row],[Frequentie weekend]]&gt;0,VALUE(LEFT(Z131,1))*S131,0)</f>
        <v>0</v>
      </c>
      <c r="AB131" s="94">
        <f>IF($AA131&gt;0,VLOOKUP($K131,Ruimtegroepen[],3,FALSE)*VLOOKUP($M131,Vloersoorten[],3,FALSE)*VLOOKUP($Z131,Frequenties[],3,FALSE)*VLOOKUP($A102,Locaties[],3,FALSE),0)</f>
        <v>0</v>
      </c>
      <c r="AC131" s="96">
        <f>Ruimtestaat[[#This Row],[Uitvoeringen weekend]]*Ruimtestaat[[#This Row],[Oppervlak (netto)]]</f>
        <v>0</v>
      </c>
      <c r="AD131" s="99">
        <f>IF(AC131&gt;0,Ruimtestaat[[#This Row],[Prest. (m2 /jaar) weekend]]/Ruimtestaat[[#This Row],[Norm (m2/uur) weekend]],0)</f>
        <v>0</v>
      </c>
      <c r="AE131" s="100">
        <f>Ruimtestaat[[#This Row],[uren / jaar weekend]]*Tariefsopbouw!$D$40</f>
        <v>0</v>
      </c>
      <c r="AF131" s="72">
        <f>Ruimtestaat[[#This Row],[Prest. (m2 /jaar) weekend]]+Ruimtestaat[[#This Row],[Prest. (m2 /jaar) werkdagen]]</f>
        <v>8620</v>
      </c>
      <c r="AG131" s="72">
        <f>Ruimtestaat[[#This Row],[uren / jaar weekend]]+Ruimtestaat[[#This Row],[uren / jaar werkdagen]]</f>
        <v>0</v>
      </c>
      <c r="AH131" s="73">
        <f>Ruimtestaat[[#This Row],[kosten / jaar weekend]]+Ruimtestaat[[#This Row],[kosten / jaar werkdagen]]</f>
        <v>0</v>
      </c>
    </row>
    <row r="132" spans="1:34" ht="15" customHeight="1">
      <c r="A132" s="118">
        <v>1</v>
      </c>
      <c r="B132" s="24" t="str">
        <f>VLOOKUP(Ruimtestaat[[#This Row],[Code]],Locaties[#All],2,FALSE)</f>
        <v>Rembrandt College</v>
      </c>
      <c r="C132" s="24" t="str">
        <f>VLOOKUP(Ruimtestaat[[#This Row],[Code]],Locaties[#All],4,FALSE)</f>
        <v>Rembrandtlaan 2</v>
      </c>
      <c r="D132" s="24" t="str">
        <f>VLOOKUP(Ruimtestaat[[#This Row],[Code]],Locaties[#All],5,FALSE)</f>
        <v>3904 ZK</v>
      </c>
      <c r="E132" s="24" t="str">
        <f>VLOOKUP(Ruimtestaat[[#This Row],[Code]],Locaties[#All],6,FALSE)</f>
        <v>Veenendaal</v>
      </c>
      <c r="F132" s="66"/>
      <c r="G132" s="24" t="s">
        <v>467</v>
      </c>
      <c r="H132" s="24" t="s">
        <v>564</v>
      </c>
      <c r="I132" s="28" t="s">
        <v>580</v>
      </c>
      <c r="J132" s="4" t="s">
        <v>622</v>
      </c>
      <c r="K132" s="24">
        <v>16</v>
      </c>
      <c r="L132" s="66" t="str">
        <f>VLOOKUP(K132,Ruimtegroepen[],2,FALSE)</f>
        <v>Leslokalen theorie</v>
      </c>
      <c r="M132" s="24" t="s">
        <v>645</v>
      </c>
      <c r="N132" s="24" t="s">
        <v>384</v>
      </c>
      <c r="O132" s="92">
        <v>44.3</v>
      </c>
      <c r="P132" s="92"/>
      <c r="Q132" s="101" t="str">
        <f>LEFT(VLOOKUP(Ruimtestaat[[#This Row],[Ruimte code]],Ruimtegroepen[#All],4,1),2)</f>
        <v xml:space="preserve">L </v>
      </c>
      <c r="R132" s="101"/>
      <c r="S132" s="93">
        <v>40</v>
      </c>
      <c r="T132" s="93" t="s">
        <v>2</v>
      </c>
      <c r="U132" s="94">
        <f>IF(S132&gt;0,IF(RIGHT(Ruimtestaat[[#This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2" s="94">
        <f>IF(U132&gt;0,VLOOKUP($K132,Ruimtegroepen[],3,FALSE)*VLOOKUP($M132,Vloersoorten[],3,FALSE)*VLOOKUP($T132,Frequenties[],3,FALSE)*VLOOKUP($A132,Locaties[],3,FALSE),0)</f>
        <v>0</v>
      </c>
      <c r="W132" s="95">
        <f>Ruimtestaat[[#This Row],[Uitvoeringen werkdagen]]*Ruimtestaat[[#This Row],[Oppervlak (netto)]]</f>
        <v>8860</v>
      </c>
      <c r="X132" s="96">
        <f>IF(V132&gt;0,Ruimtestaat[[#This Row],[Prest. (m2 /jaar) werkdagen]]/Ruimtestaat[[#This Row],[Norm (m2/uur) werkdagen]],0)</f>
        <v>0</v>
      </c>
      <c r="Y132" s="97">
        <f>Ruimtestaat[[#This Row],[uren / jaar werkdagen]]*Tariefsopbouw!$E$35</f>
        <v>0</v>
      </c>
      <c r="Z132" s="94"/>
      <c r="AA132" s="98">
        <f>IF(Ruimtestaat[[#This Row],[Frequentie weekend]]&gt;0,VALUE(LEFT(Z132,1))*S132,0)</f>
        <v>0</v>
      </c>
      <c r="AB132" s="94">
        <f>IF($AA132&gt;0,VLOOKUP($K132,Ruimtegroepen[],3,FALSE)*VLOOKUP($M132,Vloersoorten[],3,FALSE)*VLOOKUP($Z132,Frequenties[],3,FALSE)*VLOOKUP($A103,Locaties[],3,FALSE),0)</f>
        <v>0</v>
      </c>
      <c r="AC132" s="96">
        <f>Ruimtestaat[[#This Row],[Uitvoeringen weekend]]*Ruimtestaat[[#This Row],[Oppervlak (netto)]]</f>
        <v>0</v>
      </c>
      <c r="AD132" s="99">
        <f>IF(AC132&gt;0,Ruimtestaat[[#This Row],[Prest. (m2 /jaar) weekend]]/Ruimtestaat[[#This Row],[Norm (m2/uur) weekend]],0)</f>
        <v>0</v>
      </c>
      <c r="AE132" s="100">
        <f>Ruimtestaat[[#This Row],[uren / jaar weekend]]*Tariefsopbouw!$D$40</f>
        <v>0</v>
      </c>
      <c r="AF132" s="72">
        <f>Ruimtestaat[[#This Row],[Prest. (m2 /jaar) weekend]]+Ruimtestaat[[#This Row],[Prest. (m2 /jaar) werkdagen]]</f>
        <v>8860</v>
      </c>
      <c r="AG132" s="72">
        <f>Ruimtestaat[[#This Row],[uren / jaar weekend]]+Ruimtestaat[[#This Row],[uren / jaar werkdagen]]</f>
        <v>0</v>
      </c>
      <c r="AH132" s="73">
        <f>Ruimtestaat[[#This Row],[kosten / jaar weekend]]+Ruimtestaat[[#This Row],[kosten / jaar werkdagen]]</f>
        <v>0</v>
      </c>
    </row>
    <row r="133" spans="1:34" ht="15" customHeight="1">
      <c r="A133" s="118">
        <v>1</v>
      </c>
      <c r="B133" s="24" t="str">
        <f>VLOOKUP(Ruimtestaat[[#This Row],[Code]],Locaties[#All],2,FALSE)</f>
        <v>Rembrandt College</v>
      </c>
      <c r="C133" s="24" t="str">
        <f>VLOOKUP(Ruimtestaat[[#This Row],[Code]],Locaties[#All],4,FALSE)</f>
        <v>Rembrandtlaan 2</v>
      </c>
      <c r="D133" s="24" t="str">
        <f>VLOOKUP(Ruimtestaat[[#This Row],[Code]],Locaties[#All],5,FALSE)</f>
        <v>3904 ZK</v>
      </c>
      <c r="E133" s="24" t="str">
        <f>VLOOKUP(Ruimtestaat[[#This Row],[Code]],Locaties[#All],6,FALSE)</f>
        <v>Veenendaal</v>
      </c>
      <c r="F133" s="66"/>
      <c r="G133" s="24" t="s">
        <v>467</v>
      </c>
      <c r="H133" s="24" t="s">
        <v>563</v>
      </c>
      <c r="I133" s="28"/>
      <c r="J133" s="4" t="s">
        <v>622</v>
      </c>
      <c r="K133" s="24">
        <v>16</v>
      </c>
      <c r="L133" s="66" t="str">
        <f>VLOOKUP(K133,Ruimtegroepen[],2,FALSE)</f>
        <v>Leslokalen theorie</v>
      </c>
      <c r="M133" s="24" t="s">
        <v>645</v>
      </c>
      <c r="N133" s="24" t="s">
        <v>384</v>
      </c>
      <c r="O133" s="92">
        <v>55</v>
      </c>
      <c r="P133" s="92"/>
      <c r="Q133" s="101" t="str">
        <f>LEFT(VLOOKUP(Ruimtestaat[[#This Row],[Ruimte code]],Ruimtegroepen[#All],4,1),2)</f>
        <v xml:space="preserve">L </v>
      </c>
      <c r="R133" s="101"/>
      <c r="S133" s="93">
        <v>40</v>
      </c>
      <c r="T133" s="93" t="s">
        <v>2</v>
      </c>
      <c r="U133" s="94">
        <f>IF(S133&gt;0,IF(RIGHT(Ruimtestaat[[#This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3" s="94">
        <f>IF(U133&gt;0,VLOOKUP($K133,Ruimtegroepen[],3,FALSE)*VLOOKUP($M133,Vloersoorten[],3,FALSE)*VLOOKUP($T133,Frequenties[],3,FALSE)*VLOOKUP($A133,Locaties[],3,FALSE),0)</f>
        <v>0</v>
      </c>
      <c r="W133" s="95">
        <f>Ruimtestaat[[#This Row],[Uitvoeringen werkdagen]]*Ruimtestaat[[#This Row],[Oppervlak (netto)]]</f>
        <v>11000</v>
      </c>
      <c r="X133" s="96">
        <f>IF(V133&gt;0,Ruimtestaat[[#This Row],[Prest. (m2 /jaar) werkdagen]]/Ruimtestaat[[#This Row],[Norm (m2/uur) werkdagen]],0)</f>
        <v>0</v>
      </c>
      <c r="Y133" s="97">
        <f>Ruimtestaat[[#This Row],[uren / jaar werkdagen]]*Tariefsopbouw!$E$35</f>
        <v>0</v>
      </c>
      <c r="Z133" s="94"/>
      <c r="AA133" s="98">
        <f>IF(Ruimtestaat[[#This Row],[Frequentie weekend]]&gt;0,VALUE(LEFT(Z133,1))*S133,0)</f>
        <v>0</v>
      </c>
      <c r="AB133" s="94">
        <f>IF($AA133&gt;0,VLOOKUP($K133,Ruimtegroepen[],3,FALSE)*VLOOKUP($M133,Vloersoorten[],3,FALSE)*VLOOKUP($Z133,Frequenties[],3,FALSE)*VLOOKUP($A104,Locaties[],3,FALSE),0)</f>
        <v>0</v>
      </c>
      <c r="AC133" s="96">
        <f>Ruimtestaat[[#This Row],[Uitvoeringen weekend]]*Ruimtestaat[[#This Row],[Oppervlak (netto)]]</f>
        <v>0</v>
      </c>
      <c r="AD133" s="99">
        <f>IF(AC133&gt;0,Ruimtestaat[[#This Row],[Prest. (m2 /jaar) weekend]]/Ruimtestaat[[#This Row],[Norm (m2/uur) weekend]],0)</f>
        <v>0</v>
      </c>
      <c r="AE133" s="100">
        <f>Ruimtestaat[[#This Row],[uren / jaar weekend]]*Tariefsopbouw!$D$40</f>
        <v>0</v>
      </c>
      <c r="AF133" s="72">
        <f>Ruimtestaat[[#This Row],[Prest. (m2 /jaar) weekend]]+Ruimtestaat[[#This Row],[Prest. (m2 /jaar) werkdagen]]</f>
        <v>11000</v>
      </c>
      <c r="AG133" s="72">
        <f>Ruimtestaat[[#This Row],[uren / jaar weekend]]+Ruimtestaat[[#This Row],[uren / jaar werkdagen]]</f>
        <v>0</v>
      </c>
      <c r="AH133" s="73">
        <f>Ruimtestaat[[#This Row],[kosten / jaar weekend]]+Ruimtestaat[[#This Row],[kosten / jaar werkdagen]]</f>
        <v>0</v>
      </c>
    </row>
    <row r="134" spans="1:34" ht="15" customHeight="1">
      <c r="A134" s="118"/>
      <c r="B134" s="24" t="e">
        <f>VLOOKUP(Ruimtestaat[[#This Row],[Code]],Locaties[#All],2,FALSE)</f>
        <v>#N/A</v>
      </c>
      <c r="C134" s="24" t="e">
        <f>VLOOKUP(Ruimtestaat[[#This Row],[Code]],Locaties[#All],4,FALSE)</f>
        <v>#N/A</v>
      </c>
      <c r="D134" s="24" t="e">
        <f>VLOOKUP(Ruimtestaat[[#This Row],[Code]],Locaties[#All],5,FALSE)</f>
        <v>#N/A</v>
      </c>
      <c r="E134" s="24" t="e">
        <f>VLOOKUP(Ruimtestaat[[#This Row],[Code]],Locaties[#All],6,FALSE)</f>
        <v>#N/A</v>
      </c>
      <c r="F134" s="66"/>
      <c r="G134" s="24"/>
      <c r="H134" s="24"/>
      <c r="J134" s="4"/>
      <c r="L134" s="66" t="e">
        <f>VLOOKUP(K134,Ruimtegroepen[],2,FALSE)</f>
        <v>#N/A</v>
      </c>
      <c r="N134" s="24"/>
      <c r="O134" s="92"/>
      <c r="P134" s="92"/>
      <c r="Q134" s="101" t="e">
        <f>LEFT(VLOOKUP(Ruimtestaat[[#This Row],[Ruimte code]],Ruimtegroepen[#All],4,1),2)</f>
        <v>#N/A</v>
      </c>
      <c r="R134" s="101"/>
      <c r="S134" s="93"/>
      <c r="T134" s="93"/>
      <c r="U134" s="94">
        <f>IF(S134&gt;0,IF(RIGHT(Ruimtestaat[[#This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34" s="94">
        <f>IF(U134&gt;0,VLOOKUP($K134,Ruimtegroepen[],3,FALSE)*VLOOKUP($M134,Vloersoorten[],3,FALSE)*VLOOKUP($T134,Frequenties[],3,FALSE)*VLOOKUP($A134,Locaties[],3,FALSE),0)</f>
        <v>0</v>
      </c>
      <c r="W134" s="95">
        <f>Ruimtestaat[[#This Row],[Uitvoeringen werkdagen]]*Ruimtestaat[[#This Row],[Oppervlak (netto)]]</f>
        <v>0</v>
      </c>
      <c r="X134" s="96">
        <f>IF(V134&gt;0,Ruimtestaat[[#This Row],[Prest. (m2 /jaar) werkdagen]]/Ruimtestaat[[#This Row],[Norm (m2/uur) werkdagen]],0)</f>
        <v>0</v>
      </c>
      <c r="Y134" s="97">
        <f>Ruimtestaat[[#This Row],[uren / jaar werkdagen]]*Tariefsopbouw!$E$35</f>
        <v>0</v>
      </c>
      <c r="Z134" s="94"/>
      <c r="AA134" s="98">
        <f>IF(Ruimtestaat[[#This Row],[Frequentie weekend]]&gt;0,VALUE(LEFT(Z134,1))*S134,0)</f>
        <v>0</v>
      </c>
      <c r="AB134" s="94">
        <f>IF($AA134&gt;0,VLOOKUP($K134,Ruimtegroepen[],3,FALSE)*VLOOKUP($M134,Vloersoorten[],3,FALSE)*VLOOKUP($Z134,Frequenties[],3,FALSE)*VLOOKUP(#REF!,Locaties[],3,FALSE),0)</f>
        <v>0</v>
      </c>
      <c r="AC134" s="96">
        <f>Ruimtestaat[[#This Row],[Uitvoeringen weekend]]*Ruimtestaat[[#This Row],[Oppervlak (netto)]]</f>
        <v>0</v>
      </c>
      <c r="AD134" s="99">
        <f>IF(AC134&gt;0,Ruimtestaat[[#This Row],[Prest. (m2 /jaar) weekend]]/Ruimtestaat[[#This Row],[Norm (m2/uur) weekend]],0)</f>
        <v>0</v>
      </c>
      <c r="AE134" s="100">
        <f>Ruimtestaat[[#This Row],[uren / jaar weekend]]*Tariefsopbouw!$D$40</f>
        <v>0</v>
      </c>
      <c r="AF134" s="72">
        <f>Ruimtestaat[[#This Row],[Prest. (m2 /jaar) weekend]]+Ruimtestaat[[#This Row],[Prest. (m2 /jaar) werkdagen]]</f>
        <v>0</v>
      </c>
      <c r="AG134" s="72">
        <f>Ruimtestaat[[#This Row],[uren / jaar weekend]]+Ruimtestaat[[#This Row],[uren / jaar werkdagen]]</f>
        <v>0</v>
      </c>
      <c r="AH134" s="73">
        <f>Ruimtestaat[[#This Row],[kosten / jaar weekend]]+Ruimtestaat[[#This Row],[kosten / jaar werkdagen]]</f>
        <v>0</v>
      </c>
    </row>
  </sheetData>
  <sortState xmlns:xlrd2="http://schemas.microsoft.com/office/spreadsheetml/2017/richdata2" ref="B7:U1015">
    <sortCondition ref="B7:B1015"/>
    <sortCondition ref="F7:F1015"/>
  </sortState>
  <mergeCells count="5">
    <mergeCell ref="A1:R1"/>
    <mergeCell ref="S1:AH1"/>
    <mergeCell ref="T3:Y3"/>
    <mergeCell ref="Z3:AE3"/>
    <mergeCell ref="AF3:AH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activeCell="C10" sqref="C10:C17"/>
    </sheetView>
  </sheetViews>
  <sheetFormatPr defaultColWidth="9.140625" defaultRowHeight="15" customHeight="1"/>
  <cols>
    <col min="1" max="1" width="9.7109375" style="4" customWidth="1"/>
    <col min="2" max="2" width="51.85546875" style="4" bestFit="1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65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297" t="s">
        <v>167</v>
      </c>
      <c r="B1" s="297"/>
      <c r="C1" s="297"/>
      <c r="D1" s="297"/>
      <c r="E1" s="297"/>
      <c r="F1" s="297"/>
      <c r="G1" s="297"/>
      <c r="H1" s="297"/>
    </row>
    <row r="2" spans="1:9" s="7" customFormat="1" ht="15" customHeight="1">
      <c r="A2" s="318" t="s">
        <v>221</v>
      </c>
      <c r="B2" s="298"/>
      <c r="C2" s="298"/>
      <c r="D2" s="298"/>
      <c r="E2" s="298"/>
      <c r="F2" s="298"/>
      <c r="G2" s="298"/>
      <c r="H2" s="298"/>
    </row>
    <row r="3" spans="1:9" ht="15" customHeight="1">
      <c r="B3" s="24"/>
      <c r="C3" s="4"/>
    </row>
    <row r="4" spans="1:9" ht="15" customHeight="1">
      <c r="A4" s="4" t="s">
        <v>261</v>
      </c>
      <c r="B4" s="25"/>
      <c r="C4" s="25"/>
      <c r="D4" s="25"/>
      <c r="E4" s="25"/>
      <c r="F4" s="166"/>
      <c r="G4" s="26"/>
    </row>
    <row r="5" spans="1:9" ht="15" customHeight="1">
      <c r="A5" s="4" t="s">
        <v>252</v>
      </c>
      <c r="B5" s="25"/>
      <c r="C5" s="25"/>
      <c r="D5" s="25"/>
      <c r="E5" s="25"/>
      <c r="F5" s="166"/>
      <c r="G5" s="26"/>
    </row>
    <row r="6" spans="1:9" ht="15" customHeight="1">
      <c r="A6" s="4" t="s">
        <v>244</v>
      </c>
      <c r="B6" s="28"/>
      <c r="C6" s="29"/>
      <c r="D6" s="29"/>
      <c r="E6" s="29"/>
      <c r="F6" s="167"/>
    </row>
    <row r="7" spans="1:9" ht="15" customHeight="1">
      <c r="B7" s="28"/>
      <c r="C7" s="28"/>
      <c r="D7" s="23"/>
      <c r="E7" s="23"/>
      <c r="F7" s="168"/>
      <c r="G7" s="29"/>
    </row>
    <row r="8" spans="1:9" s="19" customFormat="1" ht="26.25" customHeight="1">
      <c r="A8" s="47" t="s">
        <v>219</v>
      </c>
      <c r="B8" s="48" t="s">
        <v>154</v>
      </c>
      <c r="C8" s="49" t="s">
        <v>153</v>
      </c>
      <c r="D8" s="47" t="s">
        <v>409</v>
      </c>
      <c r="E8" s="22" t="s">
        <v>259</v>
      </c>
      <c r="F8" s="22" t="s">
        <v>258</v>
      </c>
      <c r="G8" s="22" t="s">
        <v>257</v>
      </c>
      <c r="H8" s="22" t="s">
        <v>269</v>
      </c>
      <c r="I8" s="22" t="s">
        <v>731</v>
      </c>
    </row>
    <row r="9" spans="1:9" ht="15" customHeight="1">
      <c r="A9" s="50">
        <v>1</v>
      </c>
      <c r="B9" s="51" t="s">
        <v>161</v>
      </c>
      <c r="C9" s="52">
        <v>0</v>
      </c>
      <c r="D9" s="55" t="s">
        <v>155</v>
      </c>
      <c r="E9" s="213" t="e">
        <f>InvulVloer[[#This Row],[Prijs]]*Tariefsopbouw!$I$37+InvulVloer[[#This Row],[Prijs]]</f>
        <v>#DIV/0!</v>
      </c>
      <c r="F9" s="214" t="e">
        <f>InvulVloer[[#This Row],[2025]]*Tariefsopbouw!$K$37+InvulVloer[[#This Row],[2025]]</f>
        <v>#DIV/0!</v>
      </c>
      <c r="G9" s="214" t="e">
        <f>InvulVloer[[#This Row],[2026]]*Tariefsopbouw!$M$37+InvulVloer[[#This Row],[2026]]</f>
        <v>#DIV/0!</v>
      </c>
      <c r="H9" s="214" t="e">
        <f>InvulVloer[[#This Row],[2027]]*Tariefsopbouw!$O$37+InvulVloer[[#This Row],[2027]]</f>
        <v>#DIV/0!</v>
      </c>
      <c r="I9" s="214" t="e">
        <f>InvulVloer[[#This Row],[2028]]*Tariefsopbouw!$Q$37+InvulVloer[[#This Row],[2028]]</f>
        <v>#DIV/0!</v>
      </c>
    </row>
    <row r="10" spans="1:9" ht="15" customHeight="1">
      <c r="A10" s="53">
        <v>2</v>
      </c>
      <c r="B10" s="54" t="s">
        <v>162</v>
      </c>
      <c r="C10" s="52">
        <v>0</v>
      </c>
      <c r="D10" s="58" t="s">
        <v>156</v>
      </c>
      <c r="E10" s="213" t="e">
        <f>InvulVloer[[#This Row],[Prijs]]*Tariefsopbouw!$I$37+InvulVloer[[#This Row],[Prijs]]</f>
        <v>#DIV/0!</v>
      </c>
      <c r="F10" s="215" t="e">
        <f>InvulVloer[[#This Row],[2025]]*Tariefsopbouw!$K$37+InvulVloer[[#This Row],[2025]]</f>
        <v>#DIV/0!</v>
      </c>
      <c r="G10" s="215" t="e">
        <f>InvulVloer[[#This Row],[2026]]*Tariefsopbouw!$M$37+InvulVloer[[#This Row],[2026]]</f>
        <v>#DIV/0!</v>
      </c>
      <c r="H10" s="215" t="e">
        <f>InvulVloer[[#This Row],[2027]]*Tariefsopbouw!$O$37+InvulVloer[[#This Row],[2027]]</f>
        <v>#DIV/0!</v>
      </c>
      <c r="I10" s="215" t="e">
        <f>InvulVloer[[#This Row],[2028]]*Tariefsopbouw!$Q$37+InvulVloer[[#This Row],[2028]]</f>
        <v>#DIV/0!</v>
      </c>
    </row>
    <row r="11" spans="1:9" ht="15" customHeight="1">
      <c r="A11" s="50">
        <v>3</v>
      </c>
      <c r="B11" s="51" t="s">
        <v>163</v>
      </c>
      <c r="C11" s="52">
        <v>0</v>
      </c>
      <c r="D11" s="55" t="s">
        <v>156</v>
      </c>
      <c r="E11" s="213" t="e">
        <f>InvulVloer[[#This Row],[Prijs]]*Tariefsopbouw!$I$37+InvulVloer[[#This Row],[Prijs]]</f>
        <v>#DIV/0!</v>
      </c>
      <c r="F11" s="216" t="e">
        <f>InvulVloer[[#This Row],[2025]]*Tariefsopbouw!$K$37+InvulVloer[[#This Row],[2025]]</f>
        <v>#DIV/0!</v>
      </c>
      <c r="G11" s="216" t="e">
        <f>InvulVloer[[#This Row],[2026]]*Tariefsopbouw!$M$37+InvulVloer[[#This Row],[2026]]</f>
        <v>#DIV/0!</v>
      </c>
      <c r="H11" s="216" t="e">
        <f>InvulVloer[[#This Row],[2027]]*Tariefsopbouw!$O$37+InvulVloer[[#This Row],[2027]]</f>
        <v>#DIV/0!</v>
      </c>
      <c r="I11" s="216" t="e">
        <f>InvulVloer[[#This Row],[2028]]*Tariefsopbouw!$Q$37+InvulVloer[[#This Row],[2028]]</f>
        <v>#DIV/0!</v>
      </c>
    </row>
    <row r="12" spans="1:9" ht="15" customHeight="1">
      <c r="A12" s="53">
        <v>4</v>
      </c>
      <c r="B12" s="54" t="s">
        <v>157</v>
      </c>
      <c r="C12" s="52">
        <v>0</v>
      </c>
      <c r="D12" s="58" t="s">
        <v>155</v>
      </c>
      <c r="E12" s="213" t="e">
        <f>InvulVloer[[#This Row],[Prijs]]*Tariefsopbouw!$I$37+InvulVloer[[#This Row],[Prijs]]</f>
        <v>#DIV/0!</v>
      </c>
      <c r="F12" s="215" t="e">
        <f>InvulVloer[[#This Row],[2025]]*Tariefsopbouw!$K$37+InvulVloer[[#This Row],[2025]]</f>
        <v>#DIV/0!</v>
      </c>
      <c r="G12" s="215" t="e">
        <f>InvulVloer[[#This Row],[2026]]*Tariefsopbouw!$M$37+InvulVloer[[#This Row],[2026]]</f>
        <v>#DIV/0!</v>
      </c>
      <c r="H12" s="215" t="e">
        <f>InvulVloer[[#This Row],[2027]]*Tariefsopbouw!$O$37+InvulVloer[[#This Row],[2027]]</f>
        <v>#DIV/0!</v>
      </c>
      <c r="I12" s="215" t="e">
        <f>InvulVloer[[#This Row],[2028]]*Tariefsopbouw!$Q$37+InvulVloer[[#This Row],[2028]]</f>
        <v>#DIV/0!</v>
      </c>
    </row>
    <row r="13" spans="1:9" ht="15" customHeight="1">
      <c r="A13" s="50">
        <v>5</v>
      </c>
      <c r="B13" s="51" t="s">
        <v>158</v>
      </c>
      <c r="C13" s="52">
        <v>0</v>
      </c>
      <c r="D13" s="55" t="s">
        <v>155</v>
      </c>
      <c r="E13" s="213" t="e">
        <f>InvulVloer[[#This Row],[Prijs]]*Tariefsopbouw!$I$37+InvulVloer[[#This Row],[Prijs]]</f>
        <v>#DIV/0!</v>
      </c>
      <c r="F13" s="216" t="e">
        <f>InvulVloer[[#This Row],[2025]]*Tariefsopbouw!$K$37+InvulVloer[[#This Row],[2025]]</f>
        <v>#DIV/0!</v>
      </c>
      <c r="G13" s="216" t="e">
        <f>InvulVloer[[#This Row],[2026]]*Tariefsopbouw!$M$37+InvulVloer[[#This Row],[2026]]</f>
        <v>#DIV/0!</v>
      </c>
      <c r="H13" s="216" t="e">
        <f>InvulVloer[[#This Row],[2027]]*Tariefsopbouw!$O$37+InvulVloer[[#This Row],[2027]]</f>
        <v>#DIV/0!</v>
      </c>
      <c r="I13" s="216" t="e">
        <f>InvulVloer[[#This Row],[2028]]*Tariefsopbouw!$Q$37+InvulVloer[[#This Row],[2028]]</f>
        <v>#DIV/0!</v>
      </c>
    </row>
    <row r="14" spans="1:9" ht="15" customHeight="1">
      <c r="A14" s="53">
        <v>6</v>
      </c>
      <c r="B14" s="54" t="s">
        <v>164</v>
      </c>
      <c r="C14" s="52">
        <v>0</v>
      </c>
      <c r="D14" s="58" t="s">
        <v>155</v>
      </c>
      <c r="E14" s="213" t="e">
        <f>InvulVloer[[#This Row],[Prijs]]*Tariefsopbouw!$I$37+InvulVloer[[#This Row],[Prijs]]</f>
        <v>#DIV/0!</v>
      </c>
      <c r="F14" s="215" t="e">
        <f>InvulVloer[[#This Row],[2025]]*Tariefsopbouw!$K$37+InvulVloer[[#This Row],[2025]]</f>
        <v>#DIV/0!</v>
      </c>
      <c r="G14" s="215" t="e">
        <f>InvulVloer[[#This Row],[2026]]*Tariefsopbouw!$M$37+InvulVloer[[#This Row],[2026]]</f>
        <v>#DIV/0!</v>
      </c>
      <c r="H14" s="215" t="e">
        <f>InvulVloer[[#This Row],[2027]]*Tariefsopbouw!$O$37+InvulVloer[[#This Row],[2027]]</f>
        <v>#DIV/0!</v>
      </c>
      <c r="I14" s="215" t="e">
        <f>InvulVloer[[#This Row],[2028]]*Tariefsopbouw!$Q$37+InvulVloer[[#This Row],[2028]]</f>
        <v>#DIV/0!</v>
      </c>
    </row>
    <row r="15" spans="1:9" ht="15" customHeight="1">
      <c r="A15" s="50">
        <v>7</v>
      </c>
      <c r="B15" s="55" t="s">
        <v>166</v>
      </c>
      <c r="C15" s="52">
        <v>0</v>
      </c>
      <c r="D15" s="55" t="s">
        <v>155</v>
      </c>
      <c r="E15" s="213" t="e">
        <f>InvulVloer[[#This Row],[Prijs]]*Tariefsopbouw!$I$37+InvulVloer[[#This Row],[Prijs]]</f>
        <v>#DIV/0!</v>
      </c>
      <c r="F15" s="216" t="e">
        <f>InvulVloer[[#This Row],[2025]]*Tariefsopbouw!$K$37+InvulVloer[[#This Row],[2025]]</f>
        <v>#DIV/0!</v>
      </c>
      <c r="G15" s="216" t="e">
        <f>InvulVloer[[#This Row],[2026]]*Tariefsopbouw!$M$37+InvulVloer[[#This Row],[2026]]</f>
        <v>#DIV/0!</v>
      </c>
      <c r="H15" s="216" t="e">
        <f>InvulVloer[[#This Row],[2027]]*Tariefsopbouw!$O$37+InvulVloer[[#This Row],[2027]]</f>
        <v>#DIV/0!</v>
      </c>
      <c r="I15" s="216" t="e">
        <f>InvulVloer[[#This Row],[2028]]*Tariefsopbouw!$Q$37+InvulVloer[[#This Row],[2028]]</f>
        <v>#DIV/0!</v>
      </c>
    </row>
    <row r="16" spans="1:9" ht="15" customHeight="1">
      <c r="A16" s="53">
        <v>8</v>
      </c>
      <c r="B16" s="56" t="s">
        <v>202</v>
      </c>
      <c r="C16" s="52">
        <v>0</v>
      </c>
      <c r="D16" s="58" t="s">
        <v>155</v>
      </c>
      <c r="E16" s="213" t="e">
        <f>InvulVloer[[#This Row],[Prijs]]*Tariefsopbouw!$I$37+InvulVloer[[#This Row],[Prijs]]</f>
        <v>#DIV/0!</v>
      </c>
      <c r="F16" s="215" t="e">
        <f>InvulVloer[[#This Row],[2025]]*Tariefsopbouw!$K$37+InvulVloer[[#This Row],[2025]]</f>
        <v>#DIV/0!</v>
      </c>
      <c r="G16" s="215" t="e">
        <f>InvulVloer[[#This Row],[2026]]*Tariefsopbouw!$M$37+InvulVloer[[#This Row],[2026]]</f>
        <v>#DIV/0!</v>
      </c>
      <c r="H16" s="215" t="e">
        <f>InvulVloer[[#This Row],[2027]]*Tariefsopbouw!$O$37+InvulVloer[[#This Row],[2027]]</f>
        <v>#DIV/0!</v>
      </c>
      <c r="I16" s="215" t="e">
        <f>InvulVloer[[#This Row],[2028]]*Tariefsopbouw!$Q$37+InvulVloer[[#This Row],[2028]]</f>
        <v>#DIV/0!</v>
      </c>
    </row>
    <row r="17" spans="1:9" ht="15" customHeight="1">
      <c r="A17" s="50">
        <v>9</v>
      </c>
      <c r="B17" s="57" t="s">
        <v>203</v>
      </c>
      <c r="C17" s="52">
        <v>0</v>
      </c>
      <c r="D17" s="55" t="s">
        <v>155</v>
      </c>
      <c r="E17" s="224" t="e">
        <f>InvulVloer[[#This Row],[Prijs]]*Tariefsopbouw!$I$37+InvulVloer[[#This Row],[Prijs]]</f>
        <v>#DIV/0!</v>
      </c>
      <c r="F17" s="224" t="e">
        <f>InvulVloer[[#This Row],[2025]]*Tariefsopbouw!$K$37+InvulVloer[[#This Row],[2025]]</f>
        <v>#DIV/0!</v>
      </c>
      <c r="G17" s="224" t="e">
        <f>InvulVloer[[#This Row],[2026]]*Tariefsopbouw!$M$37+InvulVloer[[#This Row],[2026]]</f>
        <v>#DIV/0!</v>
      </c>
      <c r="H17" s="224" t="e">
        <f>InvulVloer[[#This Row],[2027]]*Tariefsopbouw!$O$37+InvulVloer[[#This Row],[2027]]</f>
        <v>#DIV/0!</v>
      </c>
      <c r="I17" s="224" t="e">
        <f>InvulVloer[[#This Row],[2028]]*Tariefsopbouw!$Q$37+InvulVloer[[#This Row],[2028]]</f>
        <v>#DIV/0!</v>
      </c>
    </row>
    <row r="18" spans="1:9" ht="15" customHeight="1">
      <c r="B18" s="24"/>
      <c r="E18" s="31"/>
      <c r="F18" s="168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7" t="s">
        <v>218</v>
      </c>
      <c r="B20" s="48" t="s">
        <v>150</v>
      </c>
      <c r="C20" s="47" t="s">
        <v>219</v>
      </c>
      <c r="D20" s="59" t="s">
        <v>154</v>
      </c>
      <c r="E20" s="59" t="s">
        <v>159</v>
      </c>
      <c r="F20" s="169" t="s">
        <v>160</v>
      </c>
      <c r="G20" s="59" t="s">
        <v>165</v>
      </c>
      <c r="H20" s="60" t="s">
        <v>151</v>
      </c>
    </row>
    <row r="21" spans="1:9" ht="15" customHeight="1">
      <c r="A21" s="217">
        <v>1</v>
      </c>
      <c r="B21" s="163" t="str">
        <f>VLOOKUP(OverzichtVloer[[#This Row],[Code Locatie]],Locaties[],2,0)</f>
        <v>Rembrandt College</v>
      </c>
      <c r="C21" s="217">
        <v>4</v>
      </c>
      <c r="D21" s="218" t="str">
        <f>IF(Vloeronderhoud!$C21&gt;0,VLOOKUP(Vloeronderhoud!$C21,$A$8:$B$17,2,FALSE),"")</f>
        <v>Tapijtreinigen, sproei-extractiemethode</v>
      </c>
      <c r="E21" s="176" t="s">
        <v>111</v>
      </c>
      <c r="F21" s="170">
        <f>SUMIFS('Ruimtestaat'!$O:$O,'Ruimtestaat'!M:M,Vloeronderhoud!E21,'Ruimtestaat'!A:A,Vloeronderhoud!A21)</f>
        <v>66</v>
      </c>
      <c r="G21" s="235">
        <v>0.5</v>
      </c>
      <c r="H21" s="219">
        <f>VLOOKUP(OverzichtVloer[[#This Row],[Code Taak]],InvulVloer[],3,3)*F21*G21</f>
        <v>0</v>
      </c>
    </row>
    <row r="22" spans="1:9" ht="15.75" customHeight="1">
      <c r="A22" s="217">
        <v>1</v>
      </c>
      <c r="B22" s="163" t="str">
        <f>VLOOKUP(OverzichtVloer[[#This Row],[Code Locatie]],Locaties[],2,0)</f>
        <v>Rembrandt College</v>
      </c>
      <c r="C22" s="217">
        <v>1</v>
      </c>
      <c r="D22" s="218" t="str">
        <f>IF(Vloeronderhoud!$C22&gt;0,VLOOKUP(Vloeronderhoud!$C22,$A$8:$B$17,2,FALSE),"")</f>
        <v>Sprayen/opblokken</v>
      </c>
      <c r="E22" s="176" t="s">
        <v>112</v>
      </c>
      <c r="F22" s="170">
        <f>SUMIFS('Ruimtestaat'!$O:$O,'Ruimtestaat'!M:M,Vloeronderhoud!E22,'Ruimtestaat'!A:A,Vloeronderhoud!A22)</f>
        <v>4485.5200000000032</v>
      </c>
      <c r="G22" s="235">
        <v>1</v>
      </c>
      <c r="H22" s="219">
        <f>VLOOKUP(OverzichtVloer[[#This Row],[Code Taak]],InvulVloer[],3,3)*F22*G22</f>
        <v>0</v>
      </c>
    </row>
    <row r="23" spans="1:9" ht="15" customHeight="1">
      <c r="A23" s="217">
        <v>1</v>
      </c>
      <c r="B23" s="163" t="str">
        <f>VLOOKUP(OverzichtVloer[[#This Row],[Code Locatie]],Locaties[],2,0)</f>
        <v>Rembrandt College</v>
      </c>
      <c r="C23" s="217">
        <v>2</v>
      </c>
      <c r="D23" s="218" t="str">
        <f>IF(Vloeronderhoud!$C23&gt;0,VLOOKUP(Vloeronderhoud!$C23,$A$8:$B$17,2,FALSE),"")</f>
        <v>Topstrippen en conserveren</v>
      </c>
      <c r="E23" s="176" t="s">
        <v>112</v>
      </c>
      <c r="F23" s="170">
        <f>SUMIFS('Ruimtestaat'!$O:$O,'Ruimtestaat'!M:M,Vloeronderhoud!E23,'Ruimtestaat'!A:A,Vloeronderhoud!A23)</f>
        <v>4485.5200000000032</v>
      </c>
      <c r="G23" s="235">
        <v>1</v>
      </c>
      <c r="H23" s="219">
        <f>VLOOKUP(OverzichtVloer[[#This Row],[Code Taak]],InvulVloer[],3,3)*F23*G23</f>
        <v>0</v>
      </c>
    </row>
    <row r="24" spans="1:9" ht="15" customHeight="1">
      <c r="A24" s="217">
        <v>1</v>
      </c>
      <c r="B24" s="163" t="str">
        <f>VLOOKUP(OverzichtVloer[[#This Row],[Code Locatie]],Locaties[],2,0)</f>
        <v>Rembrandt College</v>
      </c>
      <c r="C24" s="217">
        <v>3</v>
      </c>
      <c r="D24" s="218" t="str">
        <f>IF(Vloeronderhoud!$C24&gt;0,VLOOKUP(Vloeronderhoud!$C24,$A$8:$B$17,2,FALSE),"")</f>
        <v>Diepstrippen, sealen en conserveren</v>
      </c>
      <c r="E24" s="176" t="s">
        <v>112</v>
      </c>
      <c r="F24" s="170">
        <f>SUMIFS('Ruimtestaat'!$O:$O,'Ruimtestaat'!M:M,Vloeronderhoud!E24,'Ruimtestaat'!A:A,Vloeronderhoud!A24)</f>
        <v>4485.5200000000032</v>
      </c>
      <c r="G24" s="176">
        <v>0.25</v>
      </c>
      <c r="H24" s="219">
        <f>VLOOKUP(OverzichtVloer[[#This Row],[Code Taak]],InvulVloer[],3,3)*F24*G24</f>
        <v>0</v>
      </c>
    </row>
    <row r="25" spans="1:9" ht="15" customHeight="1">
      <c r="A25" s="190"/>
      <c r="B25" s="191" t="s">
        <v>33</v>
      </c>
      <c r="C25" s="190"/>
      <c r="D25" s="192"/>
      <c r="E25" s="190"/>
      <c r="F25" s="193"/>
      <c r="G25" s="190"/>
      <c r="H25" s="194">
        <f>SUBTOTAL(109,OverzichtVloer[Kosten/jaar excl. BTW])</f>
        <v>0</v>
      </c>
    </row>
    <row r="26" spans="1:9" ht="15" customHeight="1">
      <c r="A26" s="27"/>
      <c r="C26" s="25"/>
      <c r="D26" s="25"/>
      <c r="E26" s="25"/>
      <c r="F26" s="168"/>
      <c r="G26" s="34"/>
      <c r="H26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91"/>
  <sheetViews>
    <sheetView topLeftCell="A4" workbookViewId="0">
      <selection activeCell="B13" sqref="B13"/>
    </sheetView>
  </sheetViews>
  <sheetFormatPr defaultColWidth="9.140625" defaultRowHeight="11.25"/>
  <cols>
    <col min="1" max="1" width="11.5703125" style="24" customWidth="1"/>
    <col min="2" max="2" width="65.140625" style="4" bestFit="1" customWidth="1"/>
    <col min="3" max="3" width="13.7109375" style="4" customWidth="1"/>
    <col min="4" max="4" width="65.28515625" style="24" bestFit="1" customWidth="1"/>
    <col min="5" max="5" width="19" style="4" customWidth="1"/>
    <col min="6" max="6" width="16.5703125" style="4" bestFit="1" customWidth="1"/>
    <col min="7" max="7" width="18.140625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297" t="s">
        <v>411</v>
      </c>
      <c r="B1" s="297"/>
      <c r="C1" s="297"/>
      <c r="D1" s="297"/>
      <c r="E1" s="297"/>
      <c r="F1" s="297"/>
      <c r="G1" s="297"/>
      <c r="H1" s="65"/>
    </row>
    <row r="2" spans="1:9" s="7" customFormat="1" ht="15" customHeight="1">
      <c r="A2" s="306" t="s">
        <v>221</v>
      </c>
      <c r="B2" s="307"/>
      <c r="C2" s="307"/>
      <c r="D2" s="307"/>
      <c r="E2" s="307"/>
      <c r="F2" s="307"/>
      <c r="G2" s="319"/>
    </row>
    <row r="3" spans="1:9" ht="15" customHeight="1">
      <c r="B3" s="24"/>
      <c r="D3" s="237"/>
      <c r="E3" s="238"/>
    </row>
    <row r="4" spans="1:9" ht="15" customHeight="1">
      <c r="A4" s="4" t="s">
        <v>180</v>
      </c>
      <c r="B4" s="24"/>
      <c r="D4" s="237"/>
      <c r="E4" s="237"/>
    </row>
    <row r="5" spans="1:9" ht="15" customHeight="1">
      <c r="A5" s="4" t="s">
        <v>252</v>
      </c>
      <c r="B5" s="24"/>
      <c r="D5" s="4"/>
    </row>
    <row r="6" spans="1:9" ht="15" customHeight="1">
      <c r="A6" s="4" t="s">
        <v>201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20" t="s">
        <v>262</v>
      </c>
      <c r="F7" s="320"/>
      <c r="G7" s="320"/>
      <c r="H7" s="320"/>
      <c r="I7" s="320"/>
    </row>
    <row r="8" spans="1:9" s="19" customFormat="1" ht="26.25" customHeight="1">
      <c r="A8" s="47" t="s">
        <v>412</v>
      </c>
      <c r="B8" s="48" t="s">
        <v>413</v>
      </c>
      <c r="C8" s="49" t="s">
        <v>178</v>
      </c>
      <c r="D8" s="47" t="s">
        <v>152</v>
      </c>
      <c r="E8" s="22" t="s">
        <v>259</v>
      </c>
      <c r="F8" s="22" t="s">
        <v>258</v>
      </c>
      <c r="G8" s="22" t="s">
        <v>257</v>
      </c>
      <c r="H8" s="22" t="s">
        <v>269</v>
      </c>
      <c r="I8" s="22" t="s">
        <v>731</v>
      </c>
    </row>
    <row r="9" spans="1:9" ht="15" customHeight="1">
      <c r="A9" s="217">
        <v>1</v>
      </c>
      <c r="B9" s="239" t="s">
        <v>414</v>
      </c>
      <c r="C9" s="52">
        <v>0</v>
      </c>
      <c r="D9" s="163" t="s">
        <v>415</v>
      </c>
      <c r="E9" s="213" t="e">
        <f>(InvulGlas[[#This Row],[Prijs excl. BTW]]*Tariefsopbouw!$I$37)+InvulGlas[[#This Row],[Prijs excl. BTW]]</f>
        <v>#DIV/0!</v>
      </c>
      <c r="F9" s="213" t="e">
        <f>(InvulGlas[[#This Row],[2025]]*Tariefsopbouw!$K$37)+InvulGlas[[#This Row],[2025]]</f>
        <v>#DIV/0!</v>
      </c>
      <c r="G9" s="213" t="e">
        <f>(InvulGlas[[#This Row],[2026]]*Tariefsopbouw!$M$37)+InvulGlas[[#This Row],[2026]]</f>
        <v>#DIV/0!</v>
      </c>
      <c r="H9" s="213" t="e">
        <f>(InvulGlas[[#This Row],[2027]]*Tariefsopbouw!$O$37)+InvulGlas[[#This Row],[2027]]</f>
        <v>#DIV/0!</v>
      </c>
      <c r="I9" s="213" t="e">
        <f>(InvulGlas[[#This Row],[2028]]*Tariefsopbouw!$Q$37)+InvulGlas[[#This Row],[2028]]</f>
        <v>#DIV/0!</v>
      </c>
    </row>
    <row r="10" spans="1:9" ht="15" customHeight="1">
      <c r="A10" s="217">
        <v>2</v>
      </c>
      <c r="B10" s="239" t="s">
        <v>416</v>
      </c>
      <c r="C10" s="52">
        <v>0</v>
      </c>
      <c r="D10" s="163" t="s">
        <v>415</v>
      </c>
      <c r="E10" s="213" t="e">
        <f>(InvulGlas[[#This Row],[Prijs excl. BTW]]*Tariefsopbouw!$I$37)+InvulGlas[[#This Row],[Prijs excl. BTW]]</f>
        <v>#DIV/0!</v>
      </c>
      <c r="F10" s="213" t="e">
        <f>(InvulGlas[[#This Row],[2025]]*Tariefsopbouw!$K$37)+InvulGlas[[#This Row],[2025]]</f>
        <v>#DIV/0!</v>
      </c>
      <c r="G10" s="213" t="e">
        <f>(InvulGlas[[#This Row],[2026]]*Tariefsopbouw!$M$37)+InvulGlas[[#This Row],[2026]]</f>
        <v>#DIV/0!</v>
      </c>
      <c r="H10" s="213" t="e">
        <f>(InvulGlas[[#This Row],[2027]]*Tariefsopbouw!$O$37)+InvulGlas[[#This Row],[2027]]</f>
        <v>#DIV/0!</v>
      </c>
      <c r="I10" s="213" t="e">
        <f>(InvulGlas[[#This Row],[2028]]*Tariefsopbouw!$Q$37)+InvulGlas[[#This Row],[2028]]</f>
        <v>#DIV/0!</v>
      </c>
    </row>
    <row r="11" spans="1:9" ht="15" customHeight="1">
      <c r="A11" s="217">
        <v>3</v>
      </c>
      <c r="B11" s="239" t="s">
        <v>729</v>
      </c>
      <c r="C11" s="52">
        <v>0</v>
      </c>
      <c r="D11" s="163" t="s">
        <v>415</v>
      </c>
      <c r="E11" s="213" t="e">
        <f>(InvulGlas[[#This Row],[Prijs excl. BTW]]*Tariefsopbouw!$I$37)+InvulGlas[[#This Row],[Prijs excl. BTW]]</f>
        <v>#DIV/0!</v>
      </c>
      <c r="F11" s="213" t="e">
        <f>(InvulGlas[[#This Row],[2025]]*Tariefsopbouw!$K$37)+InvulGlas[[#This Row],[2025]]</f>
        <v>#DIV/0!</v>
      </c>
      <c r="G11" s="213" t="e">
        <f>(InvulGlas[[#This Row],[2026]]*Tariefsopbouw!$M$37)+InvulGlas[[#This Row],[2026]]</f>
        <v>#DIV/0!</v>
      </c>
      <c r="H11" s="213" t="e">
        <f>(InvulGlas[[#This Row],[2027]]*Tariefsopbouw!$O$37)+InvulGlas[[#This Row],[2027]]</f>
        <v>#DIV/0!</v>
      </c>
      <c r="I11" s="213" t="e">
        <f>(InvulGlas[[#This Row],[2028]]*Tariefsopbouw!$Q$37)+InvulGlas[[#This Row],[2028]]</f>
        <v>#DIV/0!</v>
      </c>
    </row>
    <row r="12" spans="1:9" ht="15" customHeight="1">
      <c r="A12" s="217">
        <v>4</v>
      </c>
      <c r="B12" s="239" t="s">
        <v>732</v>
      </c>
      <c r="C12" s="52">
        <v>0</v>
      </c>
      <c r="D12" s="163" t="s">
        <v>415</v>
      </c>
      <c r="E12" s="213" t="e">
        <f>(InvulGlas[[#This Row],[Prijs excl. BTW]]*Tariefsopbouw!$I$37)+InvulGlas[[#This Row],[Prijs excl. BTW]]</f>
        <v>#DIV/0!</v>
      </c>
      <c r="F12" s="213" t="e">
        <f>(InvulGlas[[#This Row],[2025]]*Tariefsopbouw!$K$37)+InvulGlas[[#This Row],[2025]]</f>
        <v>#DIV/0!</v>
      </c>
      <c r="G12" s="213" t="e">
        <f>(InvulGlas[[#This Row],[2026]]*Tariefsopbouw!$M$37)+InvulGlas[[#This Row],[2026]]</f>
        <v>#DIV/0!</v>
      </c>
      <c r="H12" s="213" t="e">
        <f>(InvulGlas[[#This Row],[2027]]*Tariefsopbouw!$O$37)+InvulGlas[[#This Row],[2027]]</f>
        <v>#DIV/0!</v>
      </c>
      <c r="I12" s="213" t="e">
        <f>(InvulGlas[[#This Row],[2028]]*Tariefsopbouw!$Q$37)+InvulGlas[[#This Row],[2028]]</f>
        <v>#DIV/0!</v>
      </c>
    </row>
    <row r="13" spans="1:9" ht="15" customHeight="1">
      <c r="A13" s="217">
        <v>5</v>
      </c>
      <c r="B13" s="239" t="s">
        <v>733</v>
      </c>
      <c r="C13" s="52">
        <v>0</v>
      </c>
      <c r="D13" s="163" t="s">
        <v>415</v>
      </c>
      <c r="E13" s="213" t="e">
        <f>(InvulGlas[[#This Row],[Prijs excl. BTW]]*Tariefsopbouw!$I$37)+InvulGlas[[#This Row],[Prijs excl. BTW]]</f>
        <v>#DIV/0!</v>
      </c>
      <c r="F13" s="213" t="e">
        <f>(InvulGlas[[#This Row],[2025]]*Tariefsopbouw!$K$37)+InvulGlas[[#This Row],[2025]]</f>
        <v>#DIV/0!</v>
      </c>
      <c r="G13" s="213" t="e">
        <f>(InvulGlas[[#This Row],[2026]]*Tariefsopbouw!$M$37)+InvulGlas[[#This Row],[2026]]</f>
        <v>#DIV/0!</v>
      </c>
      <c r="H13" s="213" t="e">
        <f>(InvulGlas[[#This Row],[2027]]*Tariefsopbouw!$O$37)+InvulGlas[[#This Row],[2027]]</f>
        <v>#DIV/0!</v>
      </c>
      <c r="I13" s="213" t="e">
        <f>(InvulGlas[[#This Row],[2028]]*Tariefsopbouw!$Q$37)+InvulGlas[[#This Row],[2028]]</f>
        <v>#DIV/0!</v>
      </c>
    </row>
    <row r="14" spans="1:9" ht="15" customHeight="1">
      <c r="A14" s="217">
        <v>6</v>
      </c>
      <c r="B14" s="239" t="s">
        <v>734</v>
      </c>
      <c r="C14" s="52">
        <v>0</v>
      </c>
      <c r="D14" s="163" t="s">
        <v>415</v>
      </c>
      <c r="E14" s="213" t="e">
        <f>(InvulGlas[[#This Row],[Prijs excl. BTW]]*Tariefsopbouw!$I$37)+InvulGlas[[#This Row],[Prijs excl. BTW]]</f>
        <v>#DIV/0!</v>
      </c>
      <c r="F14" s="213" t="e">
        <f>(InvulGlas[[#This Row],[2025]]*Tariefsopbouw!$K$37)+InvulGlas[[#This Row],[2025]]</f>
        <v>#DIV/0!</v>
      </c>
      <c r="G14" s="213" t="e">
        <f>(InvulGlas[[#This Row],[2026]]*Tariefsopbouw!$M$37)+InvulGlas[[#This Row],[2026]]</f>
        <v>#DIV/0!</v>
      </c>
      <c r="H14" s="213" t="e">
        <f>(InvulGlas[[#This Row],[2027]]*Tariefsopbouw!$O$37)+InvulGlas[[#This Row],[2027]]</f>
        <v>#DIV/0!</v>
      </c>
      <c r="I14" s="213" t="e">
        <f>(InvulGlas[[#This Row],[2028]]*Tariefsopbouw!$Q$37)+InvulGlas[[#This Row],[2028]]</f>
        <v>#DIV/0!</v>
      </c>
    </row>
    <row r="15" spans="1:9" ht="15" customHeight="1">
      <c r="A15" s="217">
        <v>7</v>
      </c>
      <c r="B15" s="239" t="s">
        <v>735</v>
      </c>
      <c r="C15" s="52">
        <v>0</v>
      </c>
      <c r="D15" s="163" t="s">
        <v>415</v>
      </c>
      <c r="E15" s="213" t="e">
        <f>(InvulGlas[[#This Row],[Prijs excl. BTW]]*Tariefsopbouw!$I$37)+InvulGlas[[#This Row],[Prijs excl. BTW]]</f>
        <v>#DIV/0!</v>
      </c>
      <c r="F15" s="213" t="e">
        <f>(InvulGlas[[#This Row],[2025]]*Tariefsopbouw!$K$37)+InvulGlas[[#This Row],[2025]]</f>
        <v>#DIV/0!</v>
      </c>
      <c r="G15" s="213" t="e">
        <f>(InvulGlas[[#This Row],[2026]]*Tariefsopbouw!$M$37)+InvulGlas[[#This Row],[2026]]</f>
        <v>#DIV/0!</v>
      </c>
      <c r="H15" s="213" t="e">
        <f>(InvulGlas[[#This Row],[2027]]*Tariefsopbouw!$O$37)+InvulGlas[[#This Row],[2027]]</f>
        <v>#DIV/0!</v>
      </c>
      <c r="I15" s="213" t="e">
        <f>(InvulGlas[[#This Row],[2028]]*Tariefsopbouw!$Q$37)+InvulGlas[[#This Row],[2028]]</f>
        <v>#DIV/0!</v>
      </c>
    </row>
    <row r="16" spans="1:9" ht="15" customHeight="1">
      <c r="A16" s="217" t="s">
        <v>417</v>
      </c>
      <c r="B16" s="239" t="s">
        <v>418</v>
      </c>
      <c r="C16" s="52">
        <v>0</v>
      </c>
      <c r="D16" s="163" t="s">
        <v>48</v>
      </c>
      <c r="E16" s="213" t="e">
        <f>(InvulGlas[[#This Row],[Prijs excl. BTW]]*Tariefsopbouw!$I$37)+InvulGlas[[#This Row],[Prijs excl. BTW]]</f>
        <v>#DIV/0!</v>
      </c>
      <c r="F16" s="213" t="e">
        <f>(InvulGlas[[#This Row],[2025]]*Tariefsopbouw!$K$37)+InvulGlas[[#This Row],[2025]]</f>
        <v>#DIV/0!</v>
      </c>
      <c r="G16" s="213" t="e">
        <f>(InvulGlas[[#This Row],[2026]]*Tariefsopbouw!$M$37)+InvulGlas[[#This Row],[2026]]</f>
        <v>#DIV/0!</v>
      </c>
      <c r="H16" s="213" t="e">
        <f>(InvulGlas[[#This Row],[2027]]*Tariefsopbouw!$O$37)+InvulGlas[[#This Row],[2027]]</f>
        <v>#DIV/0!</v>
      </c>
      <c r="I16" s="213" t="e">
        <f>(InvulGlas[[#This Row],[2028]]*Tariefsopbouw!$Q$37)+InvulGlas[[#This Row],[2028]]</f>
        <v>#DIV/0!</v>
      </c>
    </row>
    <row r="17" spans="1:9" ht="15" customHeight="1">
      <c r="A17" s="217" t="s">
        <v>419</v>
      </c>
      <c r="B17" s="239" t="s">
        <v>420</v>
      </c>
      <c r="C17" s="52">
        <v>0</v>
      </c>
      <c r="D17" s="163" t="s">
        <v>48</v>
      </c>
      <c r="E17" s="213" t="e">
        <f>(InvulGlas[[#This Row],[Prijs excl. BTW]]*Tariefsopbouw!$I$37)+InvulGlas[[#This Row],[Prijs excl. BTW]]</f>
        <v>#DIV/0!</v>
      </c>
      <c r="F17" s="213" t="e">
        <f>(InvulGlas[[#This Row],[2025]]*Tariefsopbouw!$K$37)+InvulGlas[[#This Row],[2025]]</f>
        <v>#DIV/0!</v>
      </c>
      <c r="G17" s="213" t="e">
        <f>(InvulGlas[[#This Row],[2026]]*Tariefsopbouw!$M$37)+InvulGlas[[#This Row],[2026]]</f>
        <v>#DIV/0!</v>
      </c>
      <c r="H17" s="213" t="e">
        <f>(InvulGlas[[#This Row],[2027]]*Tariefsopbouw!$O$37)+InvulGlas[[#This Row],[2027]]</f>
        <v>#DIV/0!</v>
      </c>
      <c r="I17" s="213" t="e">
        <f>(InvulGlas[[#This Row],[2028]]*Tariefsopbouw!$Q$37)+InvulGlas[[#This Row],[2028]]</f>
        <v>#DIV/0!</v>
      </c>
    </row>
    <row r="18" spans="1:9" ht="15" customHeight="1">
      <c r="A18" s="217" t="s">
        <v>421</v>
      </c>
      <c r="B18" s="239" t="s">
        <v>422</v>
      </c>
      <c r="C18" s="52">
        <v>0</v>
      </c>
      <c r="D18" s="163" t="s">
        <v>48</v>
      </c>
      <c r="E18" s="213" t="e">
        <f>(InvulGlas[[#This Row],[Prijs excl. BTW]]*Tariefsopbouw!$I$37)+InvulGlas[[#This Row],[Prijs excl. BTW]]</f>
        <v>#DIV/0!</v>
      </c>
      <c r="F18" s="213" t="e">
        <f>(InvulGlas[[#This Row],[2025]]*Tariefsopbouw!$K$37)+InvulGlas[[#This Row],[2025]]</f>
        <v>#DIV/0!</v>
      </c>
      <c r="G18" s="213" t="e">
        <f>(InvulGlas[[#This Row],[2026]]*Tariefsopbouw!$M$37)+InvulGlas[[#This Row],[2026]]</f>
        <v>#DIV/0!</v>
      </c>
      <c r="H18" s="213" t="e">
        <f>(InvulGlas[[#This Row],[2027]]*Tariefsopbouw!$O$37)+InvulGlas[[#This Row],[2027]]</f>
        <v>#DIV/0!</v>
      </c>
      <c r="I18" s="213" t="e">
        <f>(InvulGlas[[#This Row],[2028]]*Tariefsopbouw!$Q$37)+InvulGlas[[#This Row],[2028]]</f>
        <v>#DIV/0!</v>
      </c>
    </row>
    <row r="19" spans="1:9" ht="15" customHeight="1">
      <c r="A19" s="217" t="s">
        <v>423</v>
      </c>
      <c r="B19" s="239" t="s">
        <v>424</v>
      </c>
      <c r="C19" s="52">
        <v>0</v>
      </c>
      <c r="D19" s="163" t="s">
        <v>48</v>
      </c>
      <c r="E19" s="240" t="e">
        <f>(InvulGlas[[#This Row],[Prijs excl. BTW]]*Tariefsopbouw!$I$37)+InvulGlas[[#This Row],[Prijs excl. BTW]]</f>
        <v>#DIV/0!</v>
      </c>
      <c r="F19" s="240" t="e">
        <f>(InvulGlas[[#This Row],[2025]]*Tariefsopbouw!$K$37)+InvulGlas[[#This Row],[2025]]</f>
        <v>#DIV/0!</v>
      </c>
      <c r="G19" s="240" t="e">
        <f>(InvulGlas[[#This Row],[2026]]*Tariefsopbouw!$M$37)+InvulGlas[[#This Row],[2026]]</f>
        <v>#DIV/0!</v>
      </c>
      <c r="H19" s="213" t="e">
        <f>(InvulGlas[[#This Row],[2027]]*Tariefsopbouw!$O$37)+InvulGlas[[#This Row],[2027]]</f>
        <v>#DIV/0!</v>
      </c>
      <c r="I19" s="240" t="e">
        <f>(InvulGlas[[#This Row],[2028]]*Tariefsopbouw!$Q$37)+InvulGlas[[#This Row],[2028]]</f>
        <v>#DIV/0!</v>
      </c>
    </row>
    <row r="20" spans="1:9" ht="15" customHeight="1">
      <c r="C20" s="25"/>
      <c r="D20" s="25"/>
    </row>
    <row r="21" spans="1:9" s="246" customFormat="1" ht="26.25" customHeight="1">
      <c r="A21" s="241" t="s">
        <v>218</v>
      </c>
      <c r="B21" s="241" t="s">
        <v>150</v>
      </c>
      <c r="C21" s="241" t="s">
        <v>412</v>
      </c>
      <c r="D21" s="242" t="s">
        <v>413</v>
      </c>
      <c r="E21" s="242" t="s">
        <v>425</v>
      </c>
      <c r="F21" s="242" t="s">
        <v>426</v>
      </c>
      <c r="G21" s="243" t="s">
        <v>151</v>
      </c>
      <c r="H21" s="244" t="s">
        <v>427</v>
      </c>
      <c r="I21" s="245" t="s">
        <v>176</v>
      </c>
    </row>
    <row r="22" spans="1:9" ht="15" customHeight="1">
      <c r="A22" s="217">
        <v>1</v>
      </c>
      <c r="B22" s="247" t="str">
        <f>VLOOKUP(OverzichtGlas[[#This Row],[Code Locatie]],Samenvattingschoonmaak[[#All],[Code Locatie]:[Locatie]],2,FALSE)</f>
        <v>Rembrandt College</v>
      </c>
      <c r="C22" s="217">
        <v>1</v>
      </c>
      <c r="D22" s="218" t="str">
        <f>IF($C22&gt;0,VLOOKUP($C22,$A$8:$B$19,2,FALSE),"Hier vult u de inzet van eventuele hoogwerkers in")</f>
        <v>Gevelglas binnenzijde</v>
      </c>
      <c r="E22" s="24">
        <v>1206.4000000000001</v>
      </c>
      <c r="F22" s="176">
        <v>2</v>
      </c>
      <c r="G22" s="219">
        <f>IF(C22&gt;0,VLOOKUP(OverzichtGlas[[#This Row],[Code taak]],InvulGlas[],3,0)*E22*F22,0)</f>
        <v>0</v>
      </c>
      <c r="H22" s="219">
        <f>OverzichtGlas[[#This Row],[Kosten/jaar excl. BTW]]*1.21</f>
        <v>0</v>
      </c>
      <c r="I22" s="217"/>
    </row>
    <row r="23" spans="1:9" ht="15" customHeight="1">
      <c r="A23" s="217">
        <v>1</v>
      </c>
      <c r="B23" s="247" t="str">
        <f>VLOOKUP(OverzichtGlas[[#This Row],[Code Locatie]],Samenvattingschoonmaak[[#All],[Code Locatie]:[Locatie]],2,FALSE)</f>
        <v>Rembrandt College</v>
      </c>
      <c r="C23" s="217">
        <v>2</v>
      </c>
      <c r="D23" s="218" t="str">
        <f>IF($C23&gt;0,VLOOKUP($C23,$A$8:$B$19,2,FALSE),"Hier vult u de inzet van eventuele hoogwerkers in")</f>
        <v>Gevelglas buitenzijde</v>
      </c>
      <c r="E23" s="24">
        <v>1206.4000000000001</v>
      </c>
      <c r="F23" s="176">
        <v>2</v>
      </c>
      <c r="G23" s="219">
        <f>IF(C23&gt;0,VLOOKUP(OverzichtGlas[[#This Row],[Code taak]],InvulGlas[],3,0)*E23*F23,0)</f>
        <v>0</v>
      </c>
      <c r="H23" s="219">
        <f>OverzichtGlas[[#This Row],[Kosten/jaar excl. BTW]]*1.21</f>
        <v>0</v>
      </c>
      <c r="I23" s="217"/>
    </row>
    <row r="24" spans="1:9" ht="15" customHeight="1">
      <c r="A24" s="217">
        <v>1</v>
      </c>
      <c r="B24" s="247" t="str">
        <f>VLOOKUP(OverzichtGlas[[#This Row],[Code Locatie]],Samenvattingschoonmaak[[#All],[Code Locatie]:[Locatie]],2,FALSE)</f>
        <v>Rembrandt College</v>
      </c>
      <c r="C24" s="217">
        <v>3</v>
      </c>
      <c r="D24" s="218" t="str">
        <f>IF($C24&gt;0,VLOOKUP($C24,$A$8:$B$19,2,FALSE),"Hier vult u de inzet van eventuele hoogwerkers in")</f>
        <v>Separatieglas (dubbelzijdig gemeten, dubbelzijdig wassen)</v>
      </c>
      <c r="E24" s="24">
        <v>701.2</v>
      </c>
      <c r="F24" s="176">
        <v>2</v>
      </c>
      <c r="G24" s="219">
        <f>IF(C24&gt;0,VLOOKUP(OverzichtGlas[[#This Row],[Code taak]],InvulGlas[],3,0)*E24*F24,0)</f>
        <v>0</v>
      </c>
      <c r="H24" s="219">
        <f>OverzichtGlas[[#This Row],[Kosten/jaar excl. BTW]]*1.21</f>
        <v>0</v>
      </c>
      <c r="I24" s="217"/>
    </row>
    <row r="25" spans="1:9" ht="15" customHeight="1">
      <c r="A25" s="217">
        <v>1</v>
      </c>
      <c r="B25" s="247" t="str">
        <f>VLOOKUP(OverzichtGlas[[#This Row],[Code Locatie]],Samenvattingschoonmaak[[#All],[Code Locatie]:[Locatie]],2,FALSE)</f>
        <v>Rembrandt College</v>
      </c>
      <c r="C25" s="217">
        <v>4</v>
      </c>
      <c r="D25" s="23" t="str">
        <f>IF($C25&gt;0,VLOOKUP($C25,$A$8:$B$19,2,FALSE),"Hier vult u de inzet van eventuele hoogwerkers in")</f>
        <v>Separatie dakglas studiecentrum (enkel gemeten, dubbel te wassen)</v>
      </c>
      <c r="E25" s="24">
        <v>80</v>
      </c>
      <c r="F25" s="176">
        <v>4</v>
      </c>
      <c r="G25" s="219">
        <f>IF(C25&gt;0,VLOOKUP(OverzichtGlas[[#This Row],[Code taak]],InvulGlas[],3,0)*E25*F25,0)</f>
        <v>0</v>
      </c>
      <c r="H25" s="219">
        <f>OverzichtGlas[[#This Row],[Kosten/jaar excl. BTW]]*1.21</f>
        <v>0</v>
      </c>
      <c r="I25" s="217"/>
    </row>
    <row r="26" spans="1:9" ht="15" customHeight="1">
      <c r="A26" s="217">
        <v>1</v>
      </c>
      <c r="B26" s="247" t="str">
        <f>VLOOKUP(OverzichtGlas[[#This Row],[Code Locatie]],Samenvattingschoonmaak[[#All],[Code Locatie]:[Locatie]],2,FALSE)</f>
        <v>Rembrandt College</v>
      </c>
      <c r="C26" s="217">
        <v>5</v>
      </c>
      <c r="D26" s="23" t="str">
        <f>IF($C26&gt;0,VLOOKUP($C26,$A$8:$B$19,2,FALSE),"Hier vult u de inzet van eventuele hoogwerkers in")</f>
        <v>Glazen bouwstenen</v>
      </c>
      <c r="E26" s="24">
        <v>7</v>
      </c>
      <c r="F26" s="176">
        <v>2</v>
      </c>
      <c r="G26" s="219">
        <f>IF(C26&gt;0,VLOOKUP(OverzichtGlas[[#This Row],[Code taak]],InvulGlas[],3,0)*E26*F26,0)</f>
        <v>0</v>
      </c>
      <c r="H26" s="219">
        <f>OverzichtGlas[[#This Row],[Kosten/jaar excl. BTW]]*1.21</f>
        <v>0</v>
      </c>
      <c r="I26" s="217"/>
    </row>
    <row r="27" spans="1:9" ht="15" customHeight="1">
      <c r="A27" s="217">
        <v>1</v>
      </c>
      <c r="B27" s="247" t="str">
        <f>VLOOKUP(OverzichtGlas[[#This Row],[Code Locatie]],Samenvattingschoonmaak[[#All],[Code Locatie]:[Locatie]],2,FALSE)</f>
        <v>Rembrandt College</v>
      </c>
      <c r="C27" s="217">
        <v>6</v>
      </c>
      <c r="D27" s="23" t="str">
        <f>IF($C27&gt;0,VLOOKUP($C27,$A$8:$B$19,2,FALSE),"Hier vult u de inzet van eventuele hoogwerkers in")</f>
        <v>Dakglas (enkel gemeten, dubbel te wassen)</v>
      </c>
      <c r="E27" s="24">
        <v>22</v>
      </c>
      <c r="F27" s="176">
        <v>2</v>
      </c>
      <c r="G27" s="219">
        <f>IF(C27&gt;0,VLOOKUP(OverzichtGlas[[#This Row],[Code taak]],InvulGlas[],3,0)*E27*F27,0)</f>
        <v>0</v>
      </c>
      <c r="H27" s="219">
        <f>OverzichtGlas[[#This Row],[Kosten/jaar excl. BTW]]*1.21</f>
        <v>0</v>
      </c>
      <c r="I27" s="217"/>
    </row>
    <row r="28" spans="1:9" ht="15" customHeight="1">
      <c r="A28" s="217">
        <v>1</v>
      </c>
      <c r="B28" s="247" t="str">
        <f>VLOOKUP(OverzichtGlas[[#This Row],[Code Locatie]],Samenvattingschoonmaak[[#All],[Code Locatie]:[Locatie]],2,FALSE)</f>
        <v>Rembrandt College</v>
      </c>
      <c r="C28" s="217">
        <v>7</v>
      </c>
      <c r="D28" s="23" t="str">
        <f>IF($C28&gt;0,VLOOKUP($C28,$A$8:$B$19,2,FALSE),"Hier vult u de inzet van eventuele hoogwerkers in")</f>
        <v>Zonnepanelen</v>
      </c>
      <c r="E28" s="24">
        <v>269.39999999999998</v>
      </c>
      <c r="F28" s="176">
        <v>2</v>
      </c>
      <c r="G28" s="219">
        <f>IF(C28&gt;0,VLOOKUP(OverzichtGlas[[#This Row],[Code taak]],InvulGlas[],3,0)*E28*F28,0)</f>
        <v>0</v>
      </c>
      <c r="H28" s="219">
        <f>OverzichtGlas[[#This Row],[Kosten/jaar excl. BTW]]*1.21</f>
        <v>0</v>
      </c>
      <c r="I28" s="217"/>
    </row>
    <row r="29" spans="1:9" ht="15" customHeight="1">
      <c r="A29" s="217">
        <v>1</v>
      </c>
      <c r="B29" s="247" t="str">
        <f>VLOOKUP(OverzichtGlas[[#This Row],[Code Locatie]],Samenvattingschoonmaak[[#All],[Code Locatie]:[Locatie]],2,FALSE)</f>
        <v>Rembrandt College</v>
      </c>
      <c r="C29" s="248"/>
      <c r="D29" s="23" t="s">
        <v>428</v>
      </c>
      <c r="E29" s="248"/>
      <c r="F29" s="176">
        <v>2</v>
      </c>
      <c r="G29" s="219">
        <f>IF(C29&gt;0,VLOOKUP(OverzichtGlas[[#This Row],[Code taak]],InvulGlas[],3,0)*E29*F29,0)</f>
        <v>0</v>
      </c>
      <c r="H29" s="219">
        <f>OverzichtGlas[[#This Row],[Kosten/jaar excl. BTW]]*1.21</f>
        <v>0</v>
      </c>
      <c r="I29" s="217"/>
    </row>
    <row r="30" spans="1:9" ht="15" customHeight="1">
      <c r="A30" s="217">
        <v>1</v>
      </c>
      <c r="B30" s="247" t="str">
        <f>VLOOKUP(OverzichtGlas[[#This Row],[Code Locatie]],Samenvattingschoonmaak[[#All],[Code Locatie]:[Locatie]],2,FALSE)</f>
        <v>Rembrandt College</v>
      </c>
      <c r="C30" s="248"/>
      <c r="D30" s="23" t="s">
        <v>428</v>
      </c>
      <c r="E30" s="248"/>
      <c r="F30" s="176">
        <v>2</v>
      </c>
      <c r="G30" s="219">
        <f>IF(C30&gt;0,VLOOKUP(OverzichtGlas[[#This Row],[Code taak]],InvulGlas[],3,0)*E30*F30,0)</f>
        <v>0</v>
      </c>
      <c r="H30" s="219">
        <f>OverzichtGlas[[#This Row],[Kosten/jaar excl. BTW]]*1.21</f>
        <v>0</v>
      </c>
      <c r="I30" s="217"/>
    </row>
    <row r="31" spans="1:9" ht="15" customHeight="1">
      <c r="A31" s="249" t="s">
        <v>33</v>
      </c>
      <c r="B31" s="250"/>
      <c r="C31" s="249"/>
      <c r="D31" s="251"/>
      <c r="E31" s="249"/>
      <c r="F31" s="249"/>
      <c r="G31" s="252">
        <f>SUBTOTAL(109,OverzichtGlas[Kosten/jaar excl. BTW])</f>
        <v>0</v>
      </c>
      <c r="H31" s="252">
        <f>SUBTOTAL(109,OverzichtGlas[Kosten/jaar incl. BTW])</f>
        <v>0</v>
      </c>
      <c r="I31" s="249"/>
    </row>
    <row r="32" spans="1:9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  <row r="91" spans="3:4" ht="15" customHeight="1">
      <c r="C91" s="24"/>
      <c r="D91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69FB87-FD53-41AE-A514-10ABE87F8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9</vt:i4>
      </vt:variant>
    </vt:vector>
  </HeadingPairs>
  <TitlesOfParts>
    <vt:vector size="21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2018-06-11T07:01:37Z</cp:lastPrinted>
  <dcterms:created xsi:type="dcterms:W3CDTF">1999-03-23T11:24:21Z</dcterms:created>
  <dcterms:modified xsi:type="dcterms:W3CDTF">2023-06-12T12:36:03Z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