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3.bin" ContentType="application/vnd.openxmlformats-officedocument.oleObject"/>
  <Override PartName="/xl/embeddings/oleObject1.bin" ContentType="application/vnd.openxmlformats-officedocument.oleObject"/>
  <Override PartName="/xl/embeddings/oleObject2.bin" ContentType="application/vnd.openxmlformats-officedocument.oleObject"/>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R:\WO\Team Kwaliteit\Sensor_experts\Frans van Wijngaarden\Zichtsensoren documentenreview\Program of Requirements and Desirables\versie 1.3\"/>
    </mc:Choice>
  </mc:AlternateContent>
  <xr:revisionPtr revIDLastSave="0" documentId="13_ncr:1_{5ECB13B2-8C90-4197-8A7E-F4DCCA1E2CB0}" xr6:coauthVersionLast="47" xr6:coauthVersionMax="47" xr10:uidLastSave="{00000000-0000-0000-0000-000000000000}"/>
  <workbookProtection workbookAlgorithmName="SHA-512" workbookHashValue="s2NfHtozg4wwtKhyaS2K7xtsB3PmQkC93J4dzJjnuk+6nqcz5RgFKwWrnMsYUSRp+6EhOqm8b4VXphiHSsaTDA==" workbookSaltValue="bRNKGI56iS1JqtI/3jvv/w==" workbookSpinCount="100000" lockStructure="1"/>
  <bookViews>
    <workbookView xWindow="1065" yWindow="-120" windowWidth="27855" windowHeight="16440" tabRatio="773" xr2:uid="{79E636BC-670E-4245-99C6-584F8AF18D2F}"/>
  </bookViews>
  <sheets>
    <sheet name="Instructions and Explanations" sheetId="13" r:id="rId1"/>
    <sheet name="Requirements and Desirables" sheetId="4" r:id="rId2"/>
    <sheet name="Summary of Quality criteria" sheetId="17" r:id="rId3"/>
    <sheet name="Technical Drawings Mandatory-75" sheetId="16" r:id="rId4"/>
    <sheet name="Technical Area" sheetId="15" state="hidden" r:id="rId5"/>
  </sheets>
  <definedNames>
    <definedName name="_xlnm.Print_Area" localSheetId="1">'Requirements and Desirables'!$A$2:$I$168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5" i="4" l="1"/>
  <c r="H34" i="4"/>
  <c r="H166" i="4"/>
  <c r="H120" i="4"/>
  <c r="H148" i="4"/>
  <c r="H146" i="4"/>
  <c r="H168" i="4" l="1"/>
  <c r="H159" i="4"/>
  <c r="H140" i="4"/>
  <c r="H127" i="4"/>
  <c r="H126" i="4"/>
  <c r="H125" i="4"/>
  <c r="H124" i="4"/>
  <c r="H110" i="4"/>
  <c r="H89" i="4"/>
  <c r="H66" i="4"/>
  <c r="H51" i="4"/>
  <c r="H49" i="4"/>
  <c r="H47" i="4"/>
  <c r="H43" i="4"/>
  <c r="H33" i="4"/>
  <c r="H32" i="4"/>
  <c r="H31" i="4"/>
  <c r="H25" i="4"/>
  <c r="H24" i="4"/>
  <c r="H21" i="4"/>
  <c r="H20" i="4"/>
  <c r="H18" i="4"/>
  <c r="H15" i="4"/>
  <c r="H10" i="4"/>
  <c r="H6" i="4"/>
  <c r="H167" i="4"/>
  <c r="H163" i="4"/>
  <c r="H160" i="4"/>
  <c r="H158" i="4"/>
  <c r="H157" i="4"/>
  <c r="H156" i="4"/>
  <c r="H153" i="4"/>
  <c r="H151" i="4"/>
  <c r="H150" i="4"/>
  <c r="H149" i="4"/>
  <c r="H147" i="4"/>
  <c r="H145" i="4"/>
  <c r="H144" i="4"/>
  <c r="H143" i="4"/>
  <c r="H142" i="4"/>
  <c r="H139" i="4"/>
  <c r="H135" i="4"/>
  <c r="H133" i="4"/>
  <c r="H132" i="4"/>
  <c r="H131" i="4"/>
  <c r="H130" i="4"/>
  <c r="H123" i="4"/>
  <c r="H122" i="4"/>
  <c r="H121" i="4"/>
  <c r="H119" i="4"/>
  <c r="H116" i="4"/>
  <c r="H115" i="4"/>
  <c r="H113" i="4"/>
  <c r="H112" i="4"/>
  <c r="H109" i="4"/>
  <c r="H108" i="4"/>
  <c r="H105" i="4"/>
  <c r="H103" i="4"/>
  <c r="H102" i="4"/>
  <c r="H100" i="4"/>
  <c r="H101" i="4"/>
  <c r="H99" i="4"/>
  <c r="H98" i="4"/>
  <c r="H94" i="4"/>
  <c r="H93" i="4"/>
  <c r="H92" i="4"/>
  <c r="H91" i="4"/>
  <c r="H88" i="4"/>
  <c r="H87" i="4"/>
  <c r="H83" i="4"/>
  <c r="H82" i="4"/>
  <c r="H81" i="4"/>
  <c r="H79" i="4"/>
  <c r="H78" i="4"/>
  <c r="H77" i="4"/>
  <c r="H76" i="4"/>
  <c r="H75" i="4"/>
  <c r="H74" i="4"/>
  <c r="H72" i="4"/>
  <c r="H71" i="4"/>
  <c r="H70" i="4"/>
  <c r="H69" i="4"/>
  <c r="H68" i="4"/>
  <c r="H62" i="4"/>
  <c r="H63" i="4"/>
  <c r="H61" i="4"/>
  <c r="H60" i="4"/>
  <c r="H59" i="4"/>
  <c r="H58" i="4"/>
  <c r="H57" i="4"/>
  <c r="H53" i="4"/>
  <c r="H46" i="4"/>
  <c r="H45" i="4"/>
  <c r="H42" i="4"/>
  <c r="H41" i="4"/>
  <c r="H37" i="4"/>
  <c r="H36" i="4"/>
  <c r="H35" i="4"/>
  <c r="H30" i="4"/>
  <c r="H28" i="4"/>
  <c r="H27" i="4"/>
  <c r="H23" i="4"/>
  <c r="H19" i="4"/>
  <c r="H17" i="4"/>
  <c r="H14" i="4"/>
  <c r="H13" i="4"/>
  <c r="H9" i="4"/>
  <c r="H8" i="4"/>
  <c r="H5" i="4"/>
  <c r="B15" i="17" l="1"/>
  <c r="A58" i="15"/>
  <c r="E159" i="4" s="1"/>
  <c r="I159" i="4" s="1"/>
  <c r="D12" i="17" s="1"/>
  <c r="E168" i="4"/>
  <c r="E134" i="4"/>
  <c r="E124" i="4"/>
  <c r="E100" i="4"/>
  <c r="E79" i="4"/>
  <c r="E49" i="4"/>
  <c r="E32" i="4"/>
  <c r="I32" i="4" s="1"/>
  <c r="E21" i="4"/>
  <c r="I21" i="4" s="1"/>
  <c r="E11" i="4"/>
  <c r="H134" i="4"/>
  <c r="H96" i="4"/>
  <c r="H95" i="4"/>
  <c r="H11" i="4"/>
  <c r="I168" i="4" l="1"/>
  <c r="D13" i="17" s="1"/>
  <c r="I124" i="4"/>
  <c r="I49" i="4"/>
  <c r="H1" i="4"/>
  <c r="I100" i="4"/>
  <c r="E6" i="4"/>
  <c r="I6" i="4" s="1"/>
  <c r="D5" i="17" s="1"/>
  <c r="D15" i="17" s="1"/>
  <c r="E18" i="4"/>
  <c r="I18" i="4" s="1"/>
  <c r="E25" i="4"/>
  <c r="I25" i="4" s="1"/>
  <c r="E43" i="4"/>
  <c r="I43" i="4" s="1"/>
  <c r="E62" i="4"/>
  <c r="I62" i="4" s="1"/>
  <c r="D7" i="17" s="1"/>
  <c r="E95" i="4"/>
  <c r="E110" i="4"/>
  <c r="I110" i="4" s="1"/>
  <c r="E126" i="4"/>
  <c r="I126" i="4" s="1"/>
  <c r="E10" i="4"/>
  <c r="I10" i="4" s="1"/>
  <c r="E15" i="4"/>
  <c r="I15" i="4" s="1"/>
  <c r="E20" i="4"/>
  <c r="I20" i="4" s="1"/>
  <c r="E24" i="4"/>
  <c r="I24" i="4" s="1"/>
  <c r="E31" i="4"/>
  <c r="I31" i="4" s="1"/>
  <c r="E33" i="4"/>
  <c r="I33" i="4" s="1"/>
  <c r="E47" i="4"/>
  <c r="I47" i="4" s="1"/>
  <c r="E51" i="4"/>
  <c r="I51" i="4" s="1"/>
  <c r="E66" i="4"/>
  <c r="I66" i="4" s="1"/>
  <c r="E89" i="4"/>
  <c r="I89" i="4" s="1"/>
  <c r="D8" i="17" s="1"/>
  <c r="E96" i="4"/>
  <c r="E103" i="4"/>
  <c r="I103" i="4" s="1"/>
  <c r="E123" i="4"/>
  <c r="I123" i="4" s="1"/>
  <c r="E125" i="4"/>
  <c r="I125" i="4" s="1"/>
  <c r="E127" i="4"/>
  <c r="I127" i="4" s="1"/>
  <c r="E140" i="4"/>
  <c r="I140" i="4" s="1"/>
  <c r="D11" i="17" s="1"/>
  <c r="I95" i="4"/>
  <c r="I134" i="4"/>
  <c r="I96" i="4"/>
  <c r="I79" i="4"/>
  <c r="I11" i="4"/>
  <c r="C5" i="17" s="1"/>
  <c r="C15" i="17" s="1"/>
  <c r="C9" i="17" l="1"/>
  <c r="D9" i="17"/>
  <c r="C8" i="17"/>
  <c r="D10" i="17"/>
  <c r="C10" i="17"/>
  <c r="C7" i="17"/>
  <c r="D6" i="17"/>
</calcChain>
</file>

<file path=xl/sharedStrings.xml><?xml version="1.0" encoding="utf-8"?>
<sst xmlns="http://schemas.openxmlformats.org/spreadsheetml/2006/main" count="1083" uniqueCount="466">
  <si>
    <t>Weight</t>
  </si>
  <si>
    <t>1.</t>
  </si>
  <si>
    <t>&lt;M&gt;</t>
  </si>
  <si>
    <t>2.</t>
  </si>
  <si>
    <t>&lt;D&gt;</t>
  </si>
  <si>
    <t>3.</t>
  </si>
  <si>
    <t>4.</t>
  </si>
  <si>
    <t>5.</t>
  </si>
  <si>
    <t>6.</t>
  </si>
  <si>
    <t>7.</t>
  </si>
  <si>
    <t>8.</t>
  </si>
  <si>
    <t>9.</t>
  </si>
  <si>
    <t>10.</t>
  </si>
  <si>
    <t>11.</t>
  </si>
  <si>
    <t>12.</t>
  </si>
  <si>
    <t>13.</t>
  </si>
  <si>
    <t>14.</t>
  </si>
  <si>
    <t>15.</t>
  </si>
  <si>
    <t>16.</t>
  </si>
  <si>
    <t>17.</t>
  </si>
  <si>
    <t>18.</t>
  </si>
  <si>
    <t>19.</t>
  </si>
  <si>
    <t>20.</t>
  </si>
  <si>
    <t>22.</t>
  </si>
  <si>
    <t>23.</t>
  </si>
  <si>
    <t>24.</t>
  </si>
  <si>
    <t>25.</t>
  </si>
  <si>
    <t>26.</t>
  </si>
  <si>
    <t>27.</t>
  </si>
  <si>
    <t>28.</t>
  </si>
  <si>
    <t>29.</t>
  </si>
  <si>
    <t>30.</t>
  </si>
  <si>
    <t>31.</t>
  </si>
  <si>
    <t>32.</t>
  </si>
  <si>
    <t>33.</t>
  </si>
  <si>
    <t>34.</t>
  </si>
  <si>
    <t>35.</t>
  </si>
  <si>
    <t>36.</t>
  </si>
  <si>
    <t>37.</t>
  </si>
  <si>
    <t>38.</t>
  </si>
  <si>
    <t>39.</t>
  </si>
  <si>
    <t>40.</t>
  </si>
  <si>
    <t>41.</t>
  </si>
  <si>
    <t>Commands shall be available to retrieve, change and store the parameter and configuration settings of the PWS.</t>
  </si>
  <si>
    <t>42.</t>
  </si>
  <si>
    <t>43.</t>
  </si>
  <si>
    <t>45.</t>
  </si>
  <si>
    <t>46.</t>
  </si>
  <si>
    <t>47.</t>
  </si>
  <si>
    <t>48.</t>
  </si>
  <si>
    <t>49.</t>
  </si>
  <si>
    <t>50.</t>
  </si>
  <si>
    <t>51.</t>
  </si>
  <si>
    <t>52.</t>
  </si>
  <si>
    <t>53.</t>
  </si>
  <si>
    <t>The PWS shall support operation in polling mode.</t>
  </si>
  <si>
    <t>54.</t>
  </si>
  <si>
    <t>55.</t>
  </si>
  <si>
    <t>56.</t>
  </si>
  <si>
    <t>The format of the PWS response to any command shall be specified. This specification shall include the length of any response.</t>
  </si>
  <si>
    <t>57.</t>
  </si>
  <si>
    <t>58.</t>
  </si>
  <si>
    <t>59.</t>
  </si>
  <si>
    <t>60.</t>
  </si>
  <si>
    <t>62.</t>
  </si>
  <si>
    <t>The PWS shall report status information on the operational state of the PWS and clearly identify any problem, either within the regular data message or through documented diagnostic commands.</t>
  </si>
  <si>
    <t>63.</t>
  </si>
  <si>
    <t>64.</t>
  </si>
  <si>
    <t>65.</t>
  </si>
  <si>
    <t>66.</t>
  </si>
  <si>
    <t>67.</t>
  </si>
  <si>
    <t>68.</t>
  </si>
  <si>
    <t>69.</t>
  </si>
  <si>
    <t>70.</t>
  </si>
  <si>
    <t>Each PWS shall be delivered in a reusable protective case that prevents damage to the instrument during transportation under normal conditions. A cardboard box with suitable protection can be used.</t>
  </si>
  <si>
    <t>71.</t>
  </si>
  <si>
    <t>72.</t>
  </si>
  <si>
    <t>73.</t>
  </si>
  <si>
    <t>74.</t>
  </si>
  <si>
    <t>75.</t>
  </si>
  <si>
    <t>76.</t>
  </si>
  <si>
    <t>77.</t>
  </si>
  <si>
    <t>78.</t>
  </si>
  <si>
    <t>79.</t>
  </si>
  <si>
    <t>80.</t>
  </si>
  <si>
    <t>81.</t>
  </si>
  <si>
    <t>82.</t>
  </si>
  <si>
    <t>83.</t>
  </si>
  <si>
    <t>The material of the PWS and related parts shall be suitable for use in maritime and industrial environments.</t>
  </si>
  <si>
    <t>84.</t>
  </si>
  <si>
    <t>85.</t>
  </si>
  <si>
    <t>86.</t>
  </si>
  <si>
    <t>87.</t>
  </si>
  <si>
    <t>88.</t>
  </si>
  <si>
    <t>89.</t>
  </si>
  <si>
    <t>90.</t>
  </si>
  <si>
    <t>91.</t>
  </si>
  <si>
    <t>92.</t>
  </si>
  <si>
    <t>93.</t>
  </si>
  <si>
    <t>94.</t>
  </si>
  <si>
    <t>95.</t>
  </si>
  <si>
    <t>96.</t>
  </si>
  <si>
    <t>97.</t>
  </si>
  <si>
    <t>98.</t>
  </si>
  <si>
    <t>99.</t>
  </si>
  <si>
    <t>100.</t>
  </si>
  <si>
    <t>101.</t>
  </si>
  <si>
    <t>102.</t>
  </si>
  <si>
    <t>104.</t>
  </si>
  <si>
    <t>105.</t>
  </si>
  <si>
    <t>The life time of the PWS and spare parts shall be at least 10 years.</t>
  </si>
  <si>
    <t>109.</t>
  </si>
  <si>
    <t>110.</t>
  </si>
  <si>
    <t>111.</t>
  </si>
  <si>
    <t>112.</t>
  </si>
  <si>
    <t>113.</t>
  </si>
  <si>
    <t>114.</t>
  </si>
  <si>
    <t>115.</t>
  </si>
  <si>
    <t>116.</t>
  </si>
  <si>
    <t>Terrible/No information</t>
  </si>
  <si>
    <t>The calibration interval of the PWS concerning MOR, background luminance, and the physical quantities from which the precipitation type and intensity are derived, shall be at least 1 year.</t>
  </si>
  <si>
    <t>Training and associated documentation shall be in Dutch or English.</t>
  </si>
  <si>
    <t>Score Type</t>
  </si>
  <si>
    <t>Evaluation Criteria</t>
  </si>
  <si>
    <t>Mandatory</t>
  </si>
  <si>
    <t>Desirable</t>
  </si>
  <si>
    <t>Yes or No</t>
  </si>
  <si>
    <t>Type</t>
  </si>
  <si>
    <t>Desired answer</t>
  </si>
  <si>
    <t>Explanation</t>
  </si>
  <si>
    <t>A singular Yes or No answer is requested, without any extra information.</t>
  </si>
  <si>
    <t>Yes or No with extra information</t>
  </si>
  <si>
    <t>A singular Yes or No answer is requested that is supplemented with particular objective information (such as a number or list).</t>
  </si>
  <si>
    <t>Scoring</t>
  </si>
  <si>
    <t>n/a</t>
  </si>
  <si>
    <t>n/a, the supplementary information is not used in the scoring.</t>
  </si>
  <si>
    <t>Substantiation</t>
  </si>
  <si>
    <t>Substantiation with minimum score</t>
  </si>
  <si>
    <t>The “BL calibrator” shall be traceable to a standard reference.</t>
  </si>
  <si>
    <t>Information</t>
  </si>
  <si>
    <t>The PWS shall meet the WMO and ICAO requirements for background luminance.</t>
  </si>
  <si>
    <t>The parameters/settings configured and stored in the PWS shall be retained after a re-start or shutdown due to power failure.</t>
  </si>
  <si>
    <t>The measured quantities of the PWS shall be reported and updated at least every minute and with an output averaging time of at most 1 minute.</t>
  </si>
  <si>
    <t>The response of the PWS to any command at any time shall start within 200 milliseconds. The response to any valid or invalid command shall be completely transmitted within 1500 milliseconds using the maximum requested and available transmission rate.</t>
  </si>
  <si>
    <t>It should be is possible within the PWS to create a user-defined output data message.</t>
  </si>
  <si>
    <t>The Tenderer shall guarantee electrically safe operation of the delivered PWS including its components according to Dutch and EU regulations. Compliance with electric safety standard DIN-EN 60204 and the IEC 60364 standard is preferred.</t>
  </si>
  <si>
    <t>The PWS and related parts shall have water and dust protection IP65 or better according to norm IEC 60529.</t>
  </si>
  <si>
    <t>Excellent</t>
  </si>
  <si>
    <t>Good</t>
  </si>
  <si>
    <t>Poor</t>
  </si>
  <si>
    <t>Insufficient</t>
  </si>
  <si>
    <t>21.</t>
  </si>
  <si>
    <t>D S</t>
  </si>
  <si>
    <t>M C</t>
  </si>
  <si>
    <t>D C</t>
  </si>
  <si>
    <t>M I</t>
  </si>
  <si>
    <t>D O</t>
  </si>
  <si>
    <t>D KO</t>
  </si>
  <si>
    <t>Sufficient</t>
  </si>
  <si>
    <t>WMO requirements</t>
  </si>
  <si>
    <t>WMO-No. 8, Guide to Instruments and Methods of Observation, 2018 Edition</t>
  </si>
  <si>
    <t>M/D</t>
  </si>
  <si>
    <t>Description</t>
  </si>
  <si>
    <t>Answer</t>
  </si>
  <si>
    <t>Short</t>
  </si>
  <si>
    <t>Definition</t>
  </si>
  <si>
    <t>ICAO requirements</t>
  </si>
  <si>
    <t>ICAO Annex 3, Meteorological Service for International Air Navigation, Twentieth Edition, July 2018</t>
  </si>
  <si>
    <t>The PWS shall have a MOR filter for removing or mitigating the signal caused by insects interacting with the measurement volume. For background information regarding how the visibility reported by a forward scatter PWS can be affected by flying insects, see TECO, 2012_paper P1(28).</t>
  </si>
  <si>
    <t>The "visibility calibrator” shall be traceable to a standard reference.</t>
  </si>
  <si>
    <t>44.</t>
  </si>
  <si>
    <t>61.</t>
  </si>
  <si>
    <t>The PWS and related parts shall comply with European standard IEC 62305 concerning lightning protection and failure of electrical installations.</t>
  </si>
  <si>
    <t>Certification Specifications and Guidance Material for Aerodromes Design Issue 6 - CHAPTER Q — VISUAL AIDS FOR DENOTING OBSTACLES</t>
  </si>
  <si>
    <t>EASA airport requirements</t>
  </si>
  <si>
    <t>The PWS should comply with European standard IEC 60068-2-52 concerning suitability for use in marine environments.</t>
  </si>
  <si>
    <t>1st line maintenance</t>
  </si>
  <si>
    <t>2nd line maintenance</t>
  </si>
  <si>
    <t>3rd line maintenance</t>
  </si>
  <si>
    <t>Tenderer agrees that KNMI shall be free to choose not to install any updates or upgrades without loss of warranty or 3rd line maintenance. In the case that an update is not installed, KNMI accepts the shortcomings reported by the manufacturer which are solved in the new software/firmware version.</t>
  </si>
  <si>
    <t>106.</t>
  </si>
  <si>
    <t>107.</t>
  </si>
  <si>
    <t>108.</t>
  </si>
  <si>
    <t>• Documentation on the internal algorithms and thresholds used in the PWS processing for the calculation of output quantities;
• Documentation on the internal algorithm to determine the 1 minute (or less) precipitation type;
• Description of internal data quality control algorithms;
• Verification protocol;
• Description of factory acceptance test;
• Maintenance guidelines (on site and indoors);
• Safety instructions;
• Guidelines for transport;
• Troubleshooting;
• Training documentation.</t>
  </si>
  <si>
    <t>This set shall at least include information on:
• Technical data/specifications;
• Data output description;
• Status information output description;
• Data communication options;
• Installation instructions;
• Mechanical and electronic connections;
• Electronic wiring schematic diagrams;
• Electrical specifications of digital outputs, power supply, power consumption and temperature range of the instrument;
• Measurement examples;</t>
  </si>
  <si>
    <t>Tenderer shall train five staff members of KNMI as core instructors which shall be certified to train other KNMI staff to perform 1st and 2nd line maintenance in accordance with the training requirements of Tenderer.</t>
  </si>
  <si>
    <t>See descriptive document section 3.1. This maintenance is performed by KNMI personnel in De Bilt.</t>
  </si>
  <si>
    <t>See descriptive document section 3.1. This maintenance is performed by Tenderer.</t>
  </si>
  <si>
    <t>The PWS shall be capable of measuring and reporting the:
• Visibility (MOR: Meteorological Optical Range);
• Background luminance;
• Precipitation type;
• Precipitation intensity.</t>
  </si>
  <si>
    <t>The PWS shall support at least one of the listed options for each of the following transmission characteristics:
• Speed: 1200, 2400, 4800, 9600 or 19200 bits per second;
• Parity: Even, Odd, or None;
• Wordsize: 7 or 8 bits;
• Stopbits: 1 or 2.</t>
  </si>
  <si>
    <t>The PWS should be able to operate on a power supply 24 VDC ± 20% and the maximum power consumption of the PWS, including heating, should be 100 Watt or less. The maximum power consumption shall be provided.</t>
  </si>
  <si>
    <t xml:space="preserve">It shall be possible either (case 1) to mount the PWS on the existing tiltable and frangible mast owned by KNMI by using an adapter and/or shortening of the mast and/or suitable mounting materials or (case 2) Tenderer shall include a tiltable and frangible mast in the offer.
</t>
  </si>
  <si>
    <t>The PWS shall be provided with both the power cable and serial connection cable, and with connectors attached.
Note that both power and serial connection is allowed to be combined in one cable. The length of the cables and type of the connectors shall be specified by KNMI in consultation with Tenderer before delivery. The cable length will not exceed 3 meters.</t>
  </si>
  <si>
    <t>The PWS shall be equipped with cables and connectors for use under exterior conditions according to European standards IEC 60204 and/or IEC 60364. These cables and connectors are available on the European market.</t>
  </si>
  <si>
    <t>The range of MOR should be at least 10 meters to 100 kilometers.</t>
  </si>
  <si>
    <t>The averaged power consumption of the PWS, including heating, should be specified by Tenderer. The offered solution will be evaluated based on the lowest power consumption.</t>
  </si>
  <si>
    <t>The PWS shall be resistant to shock and vibration in normal operating conditions in all locations, including transport.</t>
  </si>
  <si>
    <t>PWS sensors or parts that have been sent to the Tenderer for repair shall be returned after repair or replaced within 2 months (including FAT and transport). Tenderer shall specify the typical time required for a PWS repair.</t>
  </si>
  <si>
    <t>Tenderer shall include a comprehensive and complete set of manuals and technical documentation written in Dutch or English with instructions for operation, installation, maintenance and verification of the PWS.</t>
  </si>
  <si>
    <t>1.1    General Requirements</t>
  </si>
  <si>
    <t>2.5    Verification protocol</t>
  </si>
  <si>
    <t xml:space="preserve">The PWS shall meet the WMO and ICAO requirements for precipitation detection. Detection shall either be based on the precipitation intensity threshold for detection of WMO or on certified observers and a Probability of Detection (POD) exceeding 80% and a False Alarm Rate (FAR) below 25%. </t>
  </si>
  <si>
    <t>The offered PWS shall not be affected, within the required measurement uncertainty, by (reflected) sunlight or other light sources, such as runway/traffic lights or lights from passing aircraft/cars.</t>
  </si>
  <si>
    <t>The time between switching on the PWS (power on) and the first output of a data message containing valid observational data shall be 5 minutes or less.</t>
  </si>
  <si>
    <t>The PWS should be equipped with a second interface for data and service communication that uses and conforms to a common protocol (e.g. serial, network, USB).
The interface and functionality available through the interface should be specified.</t>
  </si>
  <si>
    <t>The PWS response shall contain a data integrity check, for example a checksum.</t>
  </si>
  <si>
    <t>The PWS response shall be enclosed by unique predefined delimiters, for example STX (start of text) and ETX (end of text).</t>
  </si>
  <si>
    <t>The PWS and related parts shall comply with the CE and EMC requirements, specifically European standards IEC 61000-6-2 (immunity) and IEC 61000-6-4 (emission) for industrial environments.
Tenderer shall supply, upon request, the EMC test report of the offered PWS issued by an independent accredited organisation.</t>
  </si>
  <si>
    <t>The colour of the PWS and mast shall be in accordance with the EASA airport requirements.
Specifically, the PWS shall be traffic red (RAL 3020), and the mast shall be both traffic red (RAL 3020) and traffic white (RAL 9016).</t>
  </si>
  <si>
    <t>It shall be possible, at locations where background luminance needs to be measured, to mount the background luminance sensor on the PWS or on the mast in such a way that it points north with an elevation of 20 to 30 degrees.</t>
  </si>
  <si>
    <t>It should be possible to upgrade the PWS firmware or configuration remotely through the serial or network interface. The PWS should automatically revert to the previous firmware in case of a failure that occurs during the firmware upgrade. The settings and calibration of the PWS should remain intact during upgrade of the firmware. Downgrading to a previous firmware version should also be possible.</t>
  </si>
  <si>
    <t>The Tenderer shall include a "visibility calibrator" that ensures that the MOR of the PWS can be verified, adjusted and calibrated by KNMI staff. This calibration procedure must be clearly documented.</t>
  </si>
  <si>
    <t>Tenderer shall safeguard the PWS to avoid lockup situations in which components or the whole system becomes inoperative or unresponsive.</t>
  </si>
  <si>
    <t>The PWS shall be designed and able to operate continuously 24 hours a day, 7 days a week.</t>
  </si>
  <si>
    <t>Introduction</t>
  </si>
  <si>
    <t>Definitions</t>
  </si>
  <si>
    <t>Assessment levels</t>
  </si>
  <si>
    <t>Tenderer should substantiate that the design of the PWS is such that the effect of flying insects on the measured and reported visibility is within the required measurement uncertainty. The effectiveness of the insect filter should be substantiated and illustrated by examples of real-life cases. The cases should include situations showing an unfiltered MOR below 1 kilometer and filtered MOR above 8 kilometer. It is allowed but not necessary to include situations obtained from external parties that are using the offered PWS.</t>
  </si>
  <si>
    <t>Tenderer should substantiate the verification and calibration of the MOR reported by the PWS using the “visibility calibrator”.</t>
  </si>
  <si>
    <t>Tenderer should substantiate the verification and calibration of the background luminance reported by the PWS using the "BL calibrator".</t>
  </si>
  <si>
    <t>The measured MOR should be reported and updated every 12 seconds with an output averaging time of 12 seconds.</t>
  </si>
  <si>
    <t>Tenderer should substantiate the possibility to reprocess archived “raw” sensor data offline by either Tenderer or KNMI in order to optimize the algorithms that derive the meteorological quantities.</t>
  </si>
  <si>
    <t>The documentation set should specify how to implement, use and maintain the PWS.</t>
  </si>
  <si>
    <t>Yes</t>
  </si>
  <si>
    <t>No</t>
  </si>
  <si>
    <t>The Tenderer shall include a "BL calibrator" that ensures that the background luminance of the PWS can be verified, adjusted and calibrated by KNMI staff. This calibration procedure must be clearly documented.</t>
  </si>
  <si>
    <t>The Tenderer should include a "calibrator" that ensures that the physical quantities from which the precipitation type is derived by the PWS can be verified, adjusted and calibrated by KNMI staff. This calibration procedure must be clearly documented. This procedure should also ensure that the precipitation type reported by the PWS is reproducible with a “calibrator” in a documented manner.
Tenderer should substantiate the verification and calibration of these physical quantities and the reproducibility of the precipitation type reported by each PWS.</t>
  </si>
  <si>
    <t xml:space="preserve">This sheet contains technical structures to assist with Excel Data Validation. Tenderers do not need to take any actions with respect to this sheet. </t>
  </si>
  <si>
    <t>Tenderer should provide a description of the contents of the training program.</t>
  </si>
  <si>
    <t>Outcome</t>
  </si>
  <si>
    <t>Desirable 6:</t>
  </si>
  <si>
    <t>50 kilometers</t>
  </si>
  <si>
    <t>51 to 63 kilometers</t>
  </si>
  <si>
    <t>63 to 75 kilometers</t>
  </si>
  <si>
    <t>75 to 88 kilometers</t>
  </si>
  <si>
    <t>88 to 99 kilometers</t>
  </si>
  <si>
    <t>≥100 kilometers</t>
  </si>
  <si>
    <t>Points</t>
  </si>
  <si>
    <t>For all Mandatory Closed &amp; Desirable Closed</t>
  </si>
  <si>
    <t>#</t>
  </si>
  <si>
    <t>Yes, both cases apply</t>
  </si>
  <si>
    <t>Tenderer should substantiate why the offered PWS is considered to be suitable for the intended purpose of KNMI (see section 3.1 through to 3.4 of the Descriptive Document) and the advantages of the offered PWS.</t>
  </si>
  <si>
    <t>The PWS response shall be in readable ASCII.</t>
  </si>
  <si>
    <t>The PWS shall be able to operate using either (case 1) the public electricity in the Netherlands: 230 VAC 50Hz (NEN-EN-50160) with a maximum power consumption of the PWS, including heating, of 1 kiloWatt or less, or (case 2) a power supply voltage of 24 VDC ± 20% with a maximum power consumption of the PWS, including heating, of 150 Watt or less.</t>
  </si>
  <si>
    <t>&lt;100 Watt (at 24 VDC ± 20%)</t>
  </si>
  <si>
    <t>100 to 113 Watt (at 24 VDC ± 20%)</t>
  </si>
  <si>
    <t>113 to 125 Watt (at 24 VDC ± 20%)</t>
  </si>
  <si>
    <t>125 to 138 Watt (at 24 VDC ± 20%)</t>
  </si>
  <si>
    <t>Unable to operate at 24 VDC ± 20%.</t>
  </si>
  <si>
    <t>Desirable 67</t>
  </si>
  <si>
    <t>&lt;10 Watt</t>
  </si>
  <si>
    <t>10 to 33 Watt</t>
  </si>
  <si>
    <t>33 to 55 Watt</t>
  </si>
  <si>
    <t>55 to 78 Watt</t>
  </si>
  <si>
    <t>78 to 100 Watt</t>
  </si>
  <si>
    <t>&gt;100 Watt</t>
  </si>
  <si>
    <t>Requirement and Desirable Types</t>
  </si>
  <si>
    <t>Abbreviation</t>
  </si>
  <si>
    <t>Sub-type</t>
  </si>
  <si>
    <t>The MOR reported by any two sensors of the offered PWS placed next to each other shall agree within the WMO and ICAO measurement uncertainty over the entire measurement range.</t>
  </si>
  <si>
    <t>The background luminance reported by any two sensors of the offered PWS placed next to each other shall agree within the WMO and ICAO measurement uncertainty over the entire measurement range.</t>
  </si>
  <si>
    <t>Tenderer should specify and substantiate the agreement between the reported precipitation type of any two sensors of the offered PWS placed next to each other.</t>
  </si>
  <si>
    <t>Tenderer should specify and substantiate the quality and measurement uncertainty of the precipitation intensity reported by the offered PWS for the precipitation intensity range 0.02 to 500 mm/h.
The substantiation should include a specification of the measurement uncertainty according to the "Guide to the Expression of Uncertainty in Measurement" (GUM, JCGM_100_2008). This substantiation should include the effects of e.g. long and short term stability, linearity, hysteresis, reproducibility, temperature dependency, calibration and lens contamination on the measurement uncertainty. It should also substantiate that the precipitation intensity reported by any two sensors of the offered PWS placed next to each other agree within the WMO measurement uncertainty over the entire measurement range.</t>
  </si>
  <si>
    <t>The Tenderer should include a "calibrator" that ensures that the physical quantities from which the precipitation intensity is derived by the PWS can be verified, adjusted and calibrated by KNMI staff. This calibration procedure must be clearly documented. This procedure should also ensure that the precipitation intensity reported by the PWS is reproducible with a “calibrator” in a documented manner.
Tenderer should substantiate the verification and calibration of these physical quantities and the reproducibility of the precipitation intensity reported by each PWS.</t>
  </si>
  <si>
    <t>Tenderer should substantiate that the weight and dimensions of the PWS and its enclosure are such that it can be transported and installed by one person. Dutch legislation for occupational health and safety (ARBO) is applicable.
The substantiation must state the PWS weight, dimensions and installation description.</t>
  </si>
  <si>
    <t>138 to 149 Watt (at 24 VDC ± 20%)</t>
  </si>
  <si>
    <t>It shall be possible to mount the PWS in a flexible way on the mast such that it can be oriented optimally to avoid obstacle interferences. The mounting of the PWS shall be such that the orientation of the PWS is kept fixed when replacing the sensor.</t>
  </si>
  <si>
    <t>The Mean Time To Repair (MTTR) during 2nd line maintenance of the PWS should be specified and should be 4 person-hours or less including diagnosis, calibration and verification.</t>
  </si>
  <si>
    <t>&gt;16 hours</t>
  </si>
  <si>
    <t>13 to 16 hours</t>
  </si>
  <si>
    <t>10 to 13 hours</t>
  </si>
  <si>
    <t>7 to 10 hours</t>
  </si>
  <si>
    <t>4 to 7 hours</t>
  </si>
  <si>
    <t>&lt;4 hours</t>
  </si>
  <si>
    <t>Specify the typical repair time in this field.</t>
  </si>
  <si>
    <t>The substantiation is mostly complete and consistent, is mostly relevant, is convincing and/or the solution offers clear added value.</t>
  </si>
  <si>
    <t>The substantiation is only barely sufficient/consistent, is only somewhat relevant, is barely convincing and/or the solution is barely sufficient and offers no added value.</t>
  </si>
  <si>
    <t>The substantiation is either completely missing or too fragmentary to meaningfully judge for its value.</t>
  </si>
  <si>
    <t>Level</t>
  </si>
  <si>
    <t>Score</t>
  </si>
  <si>
    <t>All documentation files shall be formatted in Portable Document Format (PDF). </t>
  </si>
  <si>
    <t>The PWS should comply with European standard IEC 60068-2 concerning shock and vibration resistance.</t>
  </si>
  <si>
    <t>The PWS shall be able to operate on airfield locations and on North Sea platform locations for at least 2 months in between 1st line maintenance instances.</t>
  </si>
  <si>
    <t>Handshake shall not be required for communication with the PWS, neither in hardware nor in software.</t>
  </si>
  <si>
    <t>A unique ID/serial number of the PWS, as well as the firmware version shall be available in the data message or is accessible through specific commands.</t>
  </si>
  <si>
    <t>Closed</t>
  </si>
  <si>
    <t>Scale</t>
  </si>
  <si>
    <t>Open</t>
  </si>
  <si>
    <t>Open with Knock-Out</t>
  </si>
  <si>
    <t>In this cell, write the specification of the interface and communication protocol used.</t>
  </si>
  <si>
    <r>
      <t xml:space="preserve">Fill-in instructions </t>
    </r>
    <r>
      <rPr>
        <b/>
        <sz val="13"/>
        <color rgb="FFFF0000"/>
        <rFont val="Calibri"/>
        <family val="2"/>
        <scheme val="minor"/>
      </rPr>
      <t>IMPORTANT INFORMATION</t>
    </r>
  </si>
  <si>
    <t>Scaling Factor for weights</t>
  </si>
  <si>
    <t>The design of the PWS and the PWS setup shall be such that the cleaning and 1st line maintenance can be performed by one person without the use of a ladder.</t>
  </si>
  <si>
    <t>Scoring according to the criteria given.</t>
  </si>
  <si>
    <t>The weight and dimensions of the PWS shall be such that it can be easily transported and installed by a maximum of two persons.</t>
  </si>
  <si>
    <t>Substantiations Yes/No</t>
  </si>
  <si>
    <t>Select applicable option:</t>
  </si>
  <si>
    <t>Select your answer:</t>
  </si>
  <si>
    <t>Yes, Substantiation is provided in Annex 12.</t>
  </si>
  <si>
    <t>No, Substantiation is not submitted.</t>
  </si>
  <si>
    <t>Please specify the MTTR:</t>
  </si>
  <si>
    <r>
      <t xml:space="preserve">Please provide the </t>
    </r>
    <r>
      <rPr>
        <u/>
        <sz val="11"/>
        <color theme="1"/>
        <rFont val="Calibri"/>
        <family val="2"/>
        <scheme val="minor"/>
      </rPr>
      <t>average</t>
    </r>
    <r>
      <rPr>
        <sz val="11"/>
        <color theme="1"/>
        <rFont val="Calibri"/>
        <family val="2"/>
        <scheme val="minor"/>
      </rPr>
      <t xml:space="preserve"> power consumption of the PWS:</t>
    </r>
  </si>
  <si>
    <r>
      <t xml:space="preserve">Please provide the </t>
    </r>
    <r>
      <rPr>
        <u/>
        <sz val="11"/>
        <color theme="1"/>
        <rFont val="Calibri"/>
        <family val="2"/>
        <scheme val="minor"/>
      </rPr>
      <t>maximum</t>
    </r>
    <r>
      <rPr>
        <sz val="11"/>
        <color theme="1"/>
        <rFont val="Calibri"/>
        <family val="2"/>
        <scheme val="minor"/>
      </rPr>
      <t xml:space="preserve"> power consumption of the PWS:</t>
    </r>
  </si>
  <si>
    <t>Please provide the actual range of the PWS:</t>
  </si>
  <si>
    <t>Yes, case 1 is applicable</t>
  </si>
  <si>
    <t>Yes, case 2 is applicable</t>
  </si>
  <si>
    <t>Yes, file is included.</t>
  </si>
  <si>
    <t>No, file is not included.</t>
  </si>
  <si>
    <t>Please provide the maximum power consumption of the PWS:</t>
  </si>
  <si>
    <t>Please provide the average power consumption of the PWS:</t>
  </si>
  <si>
    <t>Chapter</t>
  </si>
  <si>
    <t># of desirables</t>
  </si>
  <si>
    <t>1 - Functional</t>
  </si>
  <si>
    <t>5 - Software</t>
  </si>
  <si>
    <t>2 - Maintainability</t>
  </si>
  <si>
    <t>3 - Technical</t>
  </si>
  <si>
    <t>4 - Hardware</t>
  </si>
  <si>
    <t>6 - Reliability</t>
  </si>
  <si>
    <t>7 - Support and Maintenance</t>
  </si>
  <si>
    <t>8 - Training</t>
  </si>
  <si>
    <t>9 - Documentation</t>
  </si>
  <si>
    <t>Totals</t>
  </si>
  <si>
    <t>(without KNMI-assessed desirables)</t>
  </si>
  <si>
    <t>(with KNMI-assessed desirables)</t>
  </si>
  <si>
    <t>The PWS shall be able to operate in the field at rural sites for at least 6 months in between 1st line maintenance instances.</t>
  </si>
  <si>
    <t>Training shall be made available to KNMI staff (approximately 20 persons in total) in order to enable them to perform 1st and 2nd line of maintenance on the offered PWS independently from the Tenderer. Organizational details of this training program are to be decided jointly by Tenderer and KNMI.</t>
  </si>
  <si>
    <t>Tenderer shall inform KNMI of each new software/firmware release for the PWS during the entire Contract period. This includes updates with additional features as well as bug fixes. Information shall be provided on the contents of the update, its consequences for the operation of the PWS, and whether or not the update is critical.</t>
  </si>
  <si>
    <t>The aforementioned training shall guarantee that the maintenance activities plan (MAP) can be carried out on the PWS by trained KNMI staff without impact on warranty and 3rd line maintenance during the Contract period.</t>
  </si>
  <si>
    <t>1    Functional Requirements</t>
  </si>
  <si>
    <t>Yes=Compliant to Requirement
No=Failure to comply</t>
  </si>
  <si>
    <t>1.2    Visibility (MOR) Requirements</t>
  </si>
  <si>
    <t>1.3    Background Luminance Requirements</t>
  </si>
  <si>
    <t>1.4    Precipitation Type Requirements</t>
  </si>
  <si>
    <t>1.5    Precipitation Intensity Requirements</t>
  </si>
  <si>
    <t>1.7    Environmental Requirements</t>
  </si>
  <si>
    <t>2    Maintainability Requirements</t>
  </si>
  <si>
    <t>2.1    Visibility Requirements</t>
  </si>
  <si>
    <t>2.2    Background Luminance Requirements</t>
  </si>
  <si>
    <t>2.3    Precipitation Type Requirements</t>
  </si>
  <si>
    <t>2.4    Precipitation Intensity Requirements</t>
  </si>
  <si>
    <t>3    Technical Requirements</t>
  </si>
  <si>
    <t>3.1    General Requirements</t>
  </si>
  <si>
    <t>3.2    Communication Requirements</t>
  </si>
  <si>
    <t>3.3    Sensor Output Requirements</t>
  </si>
  <si>
    <t>3.4    Status Requirements</t>
  </si>
  <si>
    <t>4    Hardware Requirements</t>
  </si>
  <si>
    <t>4.1    General Requirements</t>
  </si>
  <si>
    <t>4.2    Electrical Requirements</t>
  </si>
  <si>
    <t>4.3    Mechanical Requirements</t>
  </si>
  <si>
    <t>4.4    Installation Requirements</t>
  </si>
  <si>
    <t>4.5    Sensor Connections Requirements</t>
  </si>
  <si>
    <t>4.6    Operating Environment Requirements</t>
  </si>
  <si>
    <t>5    Software Requirements</t>
  </si>
  <si>
    <t>6    Reliability Requirements</t>
  </si>
  <si>
    <t>7    Support and Maintenance Requirements</t>
  </si>
  <si>
    <t>7.1    Support Requirements</t>
  </si>
  <si>
    <t>7.2    Maintenance Requirements</t>
  </si>
  <si>
    <t>7.3    Delivery Requirements</t>
  </si>
  <si>
    <t>8    Training Requirements</t>
  </si>
  <si>
    <t>9    Documentation Requirements</t>
  </si>
  <si>
    <t>Tenderer should substantiate that Requirements 3 and 4 are met.
The substantiation should include the measurement uncertainty according to the "Guide to the Expression of Uncertainty in Measurement" (GUM, JCGM_100_2008)". This should include the effects of e.g. long and short term stability, linearity, hysteresis, reproducibility, temperature dependency, calibration and lens contamination on the measurement uncertainty. It should also include the quality and measurement uncertainty of the MOR reported over the entire measurement range of the PWS.</t>
  </si>
  <si>
    <t>Tenderer should substantiate that Requirements 7 and 8 are met.
The substantiation should include a specification of the measurement uncertainty according to the "Guide to the Expression of Uncertainty in Measurement" (GUM, JCGM_100_2008). This substantiation should include the effects of e.g. long and short term stability, linearity, hysteresis, reproducibility, temperature dependency, calibration and lens contamination on the measurement uncertainty. It should also include the quality and measurement uncertainty of the background luminance reported over the entire range of the PWS.</t>
  </si>
  <si>
    <t>Tenderer should substantiate that Requirement 10 is met.
References to field evaluations, for example against certified human observers using WMO and ICAO reporting practices or via an alternative method (details of this method should be provided), shall be provided and the level of agreement shall be stated for each type expressed in Probability of Detection (POD) and False Alarm Rate (FAR). These field evaluations should cover all seasons and as many precipitation types as possible, and should be representative for the climate conditions in the Netherlands.</t>
  </si>
  <si>
    <t>Tenderer should substantiate that Requirement 15 is met.
References to field evaluations must be included. These field evaluations should be validated by certified human observers using WMO and ICAO reporting practices and the level of agreement should be stated and expressed in Probability of Detection (POD) and False Alarm Rate (FAR). Alternatively, a field evaluation of the precipitation detection against the precipitation intensity threshold should be substantiated.
The field evaluations should cover at least all seasons and be representative for the climate conditions in the Netherlands.</t>
  </si>
  <si>
    <t>Tenderer should substantiate that the design of the PWS is such that the effect of wind on the measurements or measurement area is within the required measurement uncertainty.
The substantiation should include arguments based on geometrical design and/or relevant field testing of the offered PWS. If possible, the wind speed at which the required measurement uncertainty is no longer guaranteed should be specified and substantiated by experiments.</t>
  </si>
  <si>
    <t>The PWS shall be able to operate in all environmental conditions in The Netherlands, including the North Sea platforms and the Caribbean Netherlands. Specifically, it shall be able to operate according to the Requirements in the relative humidity range of 0 to 100%, the ambient temperature range of –40 to 50 °C and wind speeds up to 50 m/s.</t>
  </si>
  <si>
    <t>Tenderer shall provide a verification protocol for the PWS and/or its modules directly with their submitted Proposal in response to this Tender. This protocol shall allow complete verification of the correct operation and the required quality of the PWS measurements in the laboratory and on the test field by KNMI before operational deployment of the PWS.</t>
  </si>
  <si>
    <t>Tenderer should specify the requirements of the PWS concerning the observation site and its vicinity. Tenderer should specify the optimal orientation and the allowed orientation range of the PWS to ensure that the measurements remain within the required measurement uncertainty. The Tenderer should at least address the requirements when using multiple PWS's close together for parallel measurements, as well as required distances from reflecting obstacles and surfaces including nearby PV installations.</t>
  </si>
  <si>
    <t>The serviceability of the PWS shall be based on the concept of Line Replaceable Units (LRU), which means that it is designed to be repaired quickly at KNMI by either (case 1) replacement of modular components, or (case 2) the PWS as a whole is considered the LRU. For case 1, Tenderer shall provide a list with recommended LRU items including recommended amounts. For case 2, the number of recommended spare PWSs shall be specified. Note that these spare PWS are not included in the 10% spares that KNMI requires for performing 2nd line maintenance.</t>
  </si>
  <si>
    <t>Tenderer should state and substantiate whether any new firmware releases are planned that will lead to improvements of the PWS.</t>
  </si>
  <si>
    <t>Tenderer should substantiate how the PWS reports qualitative information about the reported precipitation types. For example, a probability distribution which indicates that precipitation is of a specific type.</t>
  </si>
  <si>
    <t>The PWS should make “raw” sensor data that can be used to verify the calibration of the PWS available. Raw sensor data is, for example, information on particle size, falling velocity, shape, water content as well as the information from which visibility and background luminance is derived. The availability of “raw” sensor data should be substantiated. The format of the raw data should be disclosed to KNMI.</t>
  </si>
  <si>
    <t>1.6    Temperature and Humidity Requirements</t>
  </si>
  <si>
    <t>The substantiation is insufficient or not consistent, is not relevant, is not convincing and/or the solution is insufficient.</t>
  </si>
  <si>
    <t>Sub-total points achieved</t>
  </si>
  <si>
    <t>Total points achieved</t>
  </si>
  <si>
    <t>Summary of Quality criteria points</t>
  </si>
  <si>
    <t>Scoring by assessment team based on Assessment table (see below). Score of 0 to 5 is given.</t>
  </si>
  <si>
    <t>Each precipitation type that the PWS can report has been verified during field evaluations. The Probability of Detection (POD) of liquid precipitation for conditions in the Netherlands shall exceed 80% and the False Alarm Rate (FAR) shall be less than 25%. For solid precipitation, the POD shall exceed 65% and the FAR shall be less than 25%.</t>
  </si>
  <si>
    <t>The precipitation types that the PWS can report shall include at least drizzle, rain, snow, ice pellets (sleet) and hail.</t>
  </si>
  <si>
    <t>Tenderer should specify the precipitation types that the PWS can report and should specify and substantiate the quality of the precipitation types reported by the PWS.</t>
  </si>
  <si>
    <t>Please provide a substantiation of maximum 1 A4 page. The substantiation will be assessed and a score is given between 0 to 5 maximum.
The assessment is based on expert judgement with special attention given to the following assessment criteria:
- Suitability and advantages of the PWS w.r.t. the intended purpose as described in the Descriptive Document.
- Clarity, completeness and level of detail of the substantiation.
- Higher score for better performing PWS in general.</t>
  </si>
  <si>
    <t>Please provide a substantiation of maximum 2 A4 pages. The substantiation will be assessed and a score is given between 0 to 5 maximum. A minimum score of 3 must be achieved; otherwise, the Tender is disqualified (knock-out).
The assessment is based on expert judgement with special attention given to the following assessment criteria:
- Clarity, completeness and level of detail of the substantiation.
- The results of a field test with at least two identical sensors next to each other must be included; otherwise, the Tender is disqualified. This field test must span all seasons and the entire measurement range of the MOR.
- Inclusion of the results of a field test with a PWS versus a transmissometer and spanning all seasons is desired.
- Detail with which the measurement uncertainty is stated in accordance with the GUM.
- Absolute accuracy/quality of the MOR measurement.</t>
  </si>
  <si>
    <t>Please provide a substantiation of maximum 2 A4 pages. The substantiation will be assessed and a score is given between 0 to 5 maximum. A minimum score of 3 must be achieved; otherwise, the Tender is disqualified (knock-out).
The assessment is based on expert judgement with special attention given to the following assessment criteria:
- Clarity, completeness and level of detail of the substantiation.
- Inclusion of the results of a field test with at least two sensors next to each other and spanning all seasons is desired.
- Detail with which the measurement uncertainty is stated in accordance with the GUM.
- Accuracy/quality of the background luminance measurement.</t>
  </si>
  <si>
    <t>Please provide a substantiation of maximum 2 A4 pages. The substantiation will be assessed and a score is given between 0 to 5 maximum. A minimum score of 3 must be achieved; otherwise, the Tender is disqualified (knock-out).
The assessment is based on expert judgement with special attention given to the following assessment criteria:
- The FAR and POD values.
- The precipitation types present during the evaluation period.
- The results of a field test covering all seasons must be included; otherwise, the Tender is disqualified. The field test is graded on its representativeness.</t>
  </si>
  <si>
    <t>Please provide a substantiation of maximum 1 A4 page. The substantiation will be assessed and a score is given between 0 to 5 maximum. 
The assessment is based on expert judgement with special attention given to the following assessment criteria:
- Clarity, completeness and level of detail of the substantiation.
- Level of agreement between any two sensors.</t>
  </si>
  <si>
    <t>Please provide a substantiation of maximum 2 A4 pages. The substantiation will be assessed and a score is given between 0 to 5 maximum. A minimum score of 3 must be achieved; otherwise, the Tender is disqualified (knock-out).
The assessment is based on expert judgement with special attention given to the following assessment criteria:
- Clarity, completeness and level of detail of the substantiation.
- Quality of the precipitation detection (FAR and POD numbers).
- The results of a field test covering all seasons must be included; otherwise, the Tender is disqualified. The field test is graded on its representativeness.</t>
  </si>
  <si>
    <t>Please provide a substantiation of maximum 1 A4 page. The substantiation will be assessed and a score is given between 0 to 5 maximum.
The assessment is based on expert judgement with special attention given to the following assessment criteria:
- Clarity, completeness and level of detail of the substantiation.
- Detail with which the measurement uncertainty is stated in accordance with the GUM.
- The quality of the precipitation intensity.
- The results of testing of two sensors next to each other.</t>
  </si>
  <si>
    <t>Please provide a substantiation of maximum 2 A4 pages. The substantiation will be assessed and a score is given between 0 to 5 maximum. A minimum score of 3 must be achieved; otherwise, the Tender is disqualified (knock-out).
The assessment is based on expert judgement with special attention given to the following assessment criteria:
- Performance and quality of the filter.
- Clarity, completeness and level of detail of the substantiation.
- The results of a field test showing the effect of the insect filter must be included; otherwise, the Tender is disqualified.</t>
  </si>
  <si>
    <t>Please provide a substantiation of maximum 2 A4 pages. The substantiation will be assessed and a score is given between 0 to 5 maximum. A minimum score of 3 must be achieved; otherwise, the Tender is disqualified (knock-out).
The assessment is based on expert judgement with special attention given to the following assessment criteria:
- Clarity, completeness and level of detail of the substantiation.
- Robustness against the mentioned contamination.
- All three categories of contamination (insects, spiders, and other contamination) must be covered in the substantiation; otherwise, the Tender is disqualified.</t>
  </si>
  <si>
    <t>Please provide a substantiation of maximum 1/2 A4 page. The substantiation will be assessed and a score is given between 0 to 5 maximum.
The assessment is based on expert judgement with special attention given to the following assessment criteria:
- Availability of relevant experimental results.
- Maximum wind speed at which measurements are still within the required measurement uncertainty.
- Clarity, completeness and level of detail of the substantiation.</t>
  </si>
  <si>
    <t>Please provide a substantiation of maximum 1 A4 page. The substantiation will be assessed and a score is given between 0 to 5 maximum.
The assessment is based on expert judgement with special attention given to the following assessment criteria:
- Clarity, completeness and level of detail of the substantiation.
- Correct traceability to a standard measurement reference.
- Completeness of the verification and calibration procedure
- Ease to perform the calibration.</t>
  </si>
  <si>
    <t>Please provide a substantiation of maximum 1/2 A4 page. The substantiation will be assessed and a score is given between 0 to 5 maximum.
The assessment is based on expert judgement with special attention given to the following assessment criteria:
- Clarity, completeness and level of detail of the substantiation.
- Completeness of the verification and calibration procedure
- Ease to perform the calibration.</t>
  </si>
  <si>
    <t>Please provide a substantiation of maximum 1/2 A4 page. The substantiation will be assessed and a score is given between 0 to 5 maximum.
The assessment is based on expert judgement with special attention given to the following assessment criteria:
- The minimum distance to any obstacle, both reflecting and non-reflecting.
- The constraints and requirements on the siting/surroundings.
- The minimum distance between two sensors that allows operation without interference.</t>
  </si>
  <si>
    <t xml:space="preserve">Please provide a substantiation of maximum 1/4 A4 page. The substantiation will be assessed and a score is given between 0 to 5 maximum.
The assessment is based on expert judgement with special attention given to the following assessment criteria:
- Quality and potential of expected enhancements with respect to the filtering algorithm to counteract the influence of flying insects and/or spiders and contamination.
- Quality and potential of expected enhancements with respect to an upgraded precipitation type discrimination algorithm.
</t>
  </si>
  <si>
    <t>Please provide a substantiation of maximum 1/4 A4 page. The substantiation will be assessed and a score is given between 0 to 5 maximum.
The assessment is based on expert judgement with special attention given to the following assessment criteria:
- Clarity, completeness and level of detail of the substantiation.
- The amount, level of detail and type of raw sensor data available.</t>
  </si>
  <si>
    <t>Please provide a substantiation of maximum 1/4 A4 page. The substantiation will be assessed and a score is given between 0 to 5 maximum.
The assessment is based on expert judgement with special attention given to the following assessment criteria:
- Clarity, completeness and level of detail of the substantiation.
- The level of optimization that is facilitated/possible to the algorithms with archived raw data.</t>
  </si>
  <si>
    <t>Please provide a substantiation of maximum 1/2 A4 page. The substantiation will be assessed and a score is given between 0 to 5 maximum.
The assessment is based on expert judgement with special attention given to the following assessment criteria:
- Clarity, completeness and level of detail of the substantiation.
- The response times to both standard and complex inquiries relating to the offered PWS.
- Clarity and practical usability of the escalation procedures for both hardware and software problems.</t>
  </si>
  <si>
    <t>Please provide a substantiation of maximum 1 A4 page. The substantiation will be assessed and a score is given between 0 to 5 maximum.
The assessment is based on expert judgement with special attention given to the following assessment criteria:
- Applicability of the training curriculum to the 1st line and 2nd line maintenance work that needs to be done by KNMI personnel
- Clarity and logical structure of the training program
- Completeness of the topics covered during the training</t>
  </si>
  <si>
    <t xml:space="preserve">Tenderer should substantiate that the design of the PWS is such that the effect of disturbances or contamination on the quality of the measurements is within the required measurement uncertainty (when applicable after compensation) or covered by the maintenance interval. Contamination is caused by, but not limited to, insects/spiders, salt water spray and salt deposits, (blowing) precipitation, dust, pollen, exhaust or other environmental factors.
</t>
  </si>
  <si>
    <t>The Mean Time Between Failure (MTBF) of the PWS shall be at least 43 830 hours (=60 months), based on all environmental conditions and continuous 24/7 operation.</t>
  </si>
  <si>
    <t>The offered PWS shall be equipped with the means to keep the windows unobstructed by condensation, snow and ice during continuous operation for climate conditions in the Netherlands including North Sea platforms and the Caribbean Netherlands.</t>
  </si>
  <si>
    <t>The offered PWS is suitable for usage above the land and sea conditions occurring in the Netherlands including North Sea platforms and Caribbean Netherlands, within the required measurement uncertainty and maintenance interval. These conditions include, but are not limited to, surfaces of grass, dirt, sand, rock and water including the state of the grass covered ground, the state of the sea and the presence of snow on the ground.</t>
  </si>
  <si>
    <t>Please provide a substantiation of maximum 1 A4 page. The substantiation will be assessed and a score is given between 0 to 5 maximum.
The assessment is based on expert judgement with special attention given to the following assessment criteria:
- Clarity, completeness and level of detail of the substantiation.
- Correct traceability to a standard measurement reference.
- Completeness of the verification and calibration procedure.
- Ease of use to perform the calibration.</t>
  </si>
  <si>
    <t>Include the verification protocol in a separate file.
Yes=Compliant to Requirement
No=Failure to comply</t>
  </si>
  <si>
    <t>The PWS and all associated sensors shall be equipped with one serial interface for all data communications through either (case 1) RS422 full-duplex using 4 data wires (receive and transmit over separate wires); or (case 2) RS485 half-duplex using 2 data wires (receive and transmit over the same wires).</t>
  </si>
  <si>
    <t>The PWS shall prevent blocking of further communication in case of transmission errors by ignoring any command which is not received completely within 10.000 milliseconds.</t>
  </si>
  <si>
    <t>The PWS response shall be fixed, i.e. all data is located at fixed positions in the data message. For example, the information for a specific quantity is always given between byte i and byte j or as the n-th element using a unique delimiter to divide the data message into elements.</t>
  </si>
  <si>
    <t>The PWS shall perform internal checks to ensure correct functioning of each module. Status information shall be reported for each module.</t>
  </si>
  <si>
    <t>The PWS shall not be damaged by environmental conditions in The Netherlands, including North Sea platforms and the Caribbean Netherlands. Damage caused by extreme weather events such as hurricanes and the debris associated with these events is exempt.</t>
  </si>
  <si>
    <t>Please provide a substantiation of maximum 1/4 A4 page. The substantiation will be assessed and a score is given between 0 to 5 maximum.
The assessment is based on expert judgement with special attention given to the following assessment criteria:
- Clarity, completeness and level of detail of the substantiation.
- Level of detail of the quality information (e.g. probability of correct detection of the type).</t>
  </si>
  <si>
    <t>A helpdesk with skilled personnel fluent in English shall be available and reachable during working hours (9:00-17:00 CET) by telephone and e-mail. The helpdesk shall reply to questions within two working days.</t>
  </si>
  <si>
    <t>Tenderer should specify the type of help and support that is made available to KNMI during the contract period. In particular, the following aspects are considered important:
•  An overview of corrective actions to rectify hardware/software bugs and performance limiting factors;
•   Specification of response time and the levels of support available during standard/helpdesk telephone inquiries inside and outside of office hours;
•   Specification of response time and levels of available support for detailed response to more complex inquiries (telephone/e-mail/written);
•  Escalation procedures for hardware/software problems which cannot be fixed in a timely manner by onsite personnel.</t>
  </si>
  <si>
    <t>Provide the documentation package in a separate file. The documentation will be assessed and a score is given between 0 to 5 maximum.
The assessment is based on expert judgement with special attention given to the following assessment criteria:
- Level of detail of the documentation
- Completeness of the documentation
- Ease with which information can be found.</t>
  </si>
  <si>
    <t>Every Requirement and Desirable in this Program of Requirements and Desirables is of a specific type. These types are listed here and includes an explanation of what is expected for each type.</t>
  </si>
  <si>
    <t>See descriptive document section 3.1. This maintenance is performed by KNMI or 3rd party personnel in the field.</t>
  </si>
  <si>
    <t>The substantiation is very complete and highly consistent, is clearly relevant, is very convincing and/or the solution offers extensive added value.</t>
  </si>
  <si>
    <t>The substantiation is sufficient/consistent, is partly relevant, is reasonably convincing and/or the solution is sufficient and offers some added value.</t>
  </si>
  <si>
    <t>A specific piece of objective information is requested (such as a number or list).</t>
  </si>
  <si>
    <t>A substantiation for the Desirable is requested, in accordance with the guidelines given.</t>
  </si>
  <si>
    <t>A substantiation for the Desirable is requested, in accordance with the guidelines given. A knock-out criteria applies to this substantiation if the Tenderer does not achieve the minimum score stated.</t>
  </si>
  <si>
    <t>This Program of Requirements and Desirables forms an integral part of TN-349307. It details the technical Requirements and Desirables of the new present weather sensors that the KNMI intends to buy. Every Requirement and Desirable is of a specific type, where the possible types are listed below in the Requirement and Desirable Types section. Every type has a specific answer format that must be adhered to. Some types are associated with a substantiation that will be given a score by the assessment team. Every Desirable can receive a score between 0 and 5. This score will be multiplied by the weight of the particular Desirable to yield the points awarded to the Tenderer for that specific Desirable. Note that the weights are not integer numbers. A scaling factor is applied to the score of the Desirables to KNMI in order to ensure the maximum achievable points for the Quality equals 750.
For more information on the award criteria, see the Descriptive Document. In general, the assessment is done using the guidelines described in the Descriptive Document. Additional focus points are mentioned in the Evaluation Criteria next to each Desirable, indicating the specific aspects that are of interest to the KNMI assessment team. Read these carefully, because for the D KO type of Desirables these evaluation criteria can contain guidelines on what is considered necessary to achieve the minimum score.</t>
  </si>
  <si>
    <r>
      <t xml:space="preserve">The PWS shall meet the requirements for visibility (MOR, aeronautical visibility and Runway Visual Range) according to the WMO and ICAO requirements, see Definitions in the "Instructions &amp; Explanations" sheet. 
</t>
    </r>
    <r>
      <rPr>
        <i/>
        <sz val="11"/>
        <rFont val="Segoe UI"/>
        <family val="2"/>
      </rPr>
      <t>Please note:</t>
    </r>
    <r>
      <rPr>
        <sz val="11"/>
        <rFont val="Segoe UI"/>
        <family val="2"/>
      </rPr>
      <t xml:space="preserve"> One exception is that the WMO requirement of MOR up to 100 kilometers is not required for this Tender. Instead, the MOR range shall be at least 10 meters to 50 kilometers.
Also, note that since the PWS is used for synoptic, climatological and aeronautical applications it must meet the requirements for RVR, aeronautical visibility, and synoptical MOR. Therefore, the strictest requirement is applicable, more specifically, RVR at low end and synoptical MOR at high end.</t>
    </r>
  </si>
  <si>
    <r>
      <t xml:space="preserve">Either (case 1) the PWS shall not contain an integrated temperature and/or humidity probe that is used for the discrimination of the precipitation type, or (case 2) it shall be possible to verify and calibrate the integrated temperature and/or humidity probe of the PWS.
</t>
    </r>
    <r>
      <rPr>
        <i/>
        <sz val="11"/>
        <rFont val="Segoe UI"/>
        <family val="2"/>
      </rPr>
      <t>Please note</t>
    </r>
    <r>
      <rPr>
        <sz val="11"/>
        <rFont val="Segoe UI"/>
        <family val="2"/>
      </rPr>
      <t xml:space="preserve">: KNMI envisions the possibility of using temperature and/or humidity data for better discrimination of freezing and solid precipitiation. </t>
    </r>
  </si>
  <si>
    <r>
      <t xml:space="preserve">Either (case 1) the PWS shall not contain an integrated temperature and/or humidity probe that is used for the discrimination of the precipitation type, or (case 2) the measurement values of the integrated temperature and/or humidity probe shall be available in the data message of the PWS.
</t>
    </r>
    <r>
      <rPr>
        <i/>
        <sz val="11"/>
        <rFont val="Segoe UI"/>
        <family val="2"/>
      </rPr>
      <t>Please note</t>
    </r>
    <r>
      <rPr>
        <sz val="11"/>
        <rFont val="Segoe UI"/>
        <family val="2"/>
      </rPr>
      <t xml:space="preserve">: KNMI envisions the possibility of using temperature and/or humidity data for better discrimination of freezing and solid precipitiation. </t>
    </r>
  </si>
  <si>
    <r>
      <t xml:space="preserve">The PWS shall report information that indicates if instrument parameters or window contamination levels exceed thresholds that affect the quality of the measurements or the correct operation of the PWS.
These indicators shall have at least two severity classes. For example: warnings and errors. These indicators shall be included in the data message which shall be clearly described in the documentation. Suitable warning and error levels are to be provided by Tenderer.
</t>
    </r>
    <r>
      <rPr>
        <i/>
        <sz val="11"/>
        <rFont val="Segoe UI"/>
        <family val="2"/>
      </rPr>
      <t>Please note</t>
    </r>
    <r>
      <rPr>
        <sz val="11"/>
        <rFont val="Segoe UI"/>
        <family val="2"/>
      </rPr>
      <t>: During warnings the PWS shall still meet the measurement uncertainty requirements. The PWS shall issue an error when the reliability of measurement data no longer meets the required measurement uncertainty.</t>
    </r>
  </si>
  <si>
    <r>
      <rPr>
        <sz val="11"/>
        <color theme="1"/>
        <rFont val="Calibri"/>
        <family val="2"/>
      </rPr>
      <t>≥</t>
    </r>
    <r>
      <rPr>
        <sz val="11"/>
        <color theme="1"/>
        <rFont val="Calibri"/>
        <family val="2"/>
        <scheme val="minor"/>
      </rPr>
      <t>150 Watt (at 24 VDC ± 20%)</t>
    </r>
  </si>
  <si>
    <t>Specify the requested list or # of additional spares here.</t>
  </si>
  <si>
    <t>Tenderer shall commit to the delivery schedule and support required during the verification test as described in Annex 10. Verification Phase and Delivery.</t>
  </si>
  <si>
    <t>Tenderer shall offer, upon request after a provisional award of the Contract, a Maintenance Activities Plan (MAP) for the PWS. The MAP addresses maintenance activities that shall be performed to safeguard and maintain the correct functioning of the PWS and to ensure that the PWS meets the Requirements. The MAP shall include preventive maintenance activities and the required spare parts. The MAP shall establish Key Performance Indicators (KPI's) for monitoring and reporting the PWS performance.</t>
  </si>
  <si>
    <t>Tenderer shall supply new software/firmware updates in a format that can be used by KNMI. The installation of updates or upgrades can be performed by adequately trained KNMI staff (according to section 8 of this Annex 3 - Programme of Requirements and Desirables) during 2nd line maintenance and has no effect on warranty.</t>
  </si>
  <si>
    <t>117.</t>
  </si>
  <si>
    <t>Tender shall supply new or updated documentation when new firmware releases or upgrades of the PWS are delivered to KNMI, or when incorrect or incomplete information in the current documentation set is found.</t>
  </si>
  <si>
    <t>The offered PWS shall be suitable for use within the Netherlands, including North Sea platforms and the Caribbean Netherlands.</t>
  </si>
  <si>
    <t>KNMI - PWS Tender 2023 - Requirements and Desirables</t>
  </si>
  <si>
    <r>
      <rPr>
        <u/>
        <sz val="11"/>
        <rFont val="Segoe UI"/>
        <family val="2"/>
      </rPr>
      <t>Notes for case 1:</t>
    </r>
    <r>
      <rPr>
        <sz val="11"/>
        <rFont val="Segoe UI"/>
        <family val="2"/>
      </rPr>
      <t xml:space="preserve">
The top of the existing tiltable aluminium mast with a 76 mm diameter is at 2.060 or 2.675 meter (measured with respect to the concrete foundation) and the measurement sample area for visibility shall be at 1.885 and 2.50 meter, respectively. Technical drawings of the mast head, on which the PWS is to be fitted, are included in the sheet "Technical Drawings Mandatory-75" of this Annex 3. In this case, the Tenderer is not responsible for the colour of the masts as stated in Requirement 72.
Note that the bolts mounting the existing mast (owned by KNMI) to the concrete foundation provide the required frangibility.
</t>
    </r>
  </si>
  <si>
    <r>
      <rPr>
        <u/>
        <sz val="11"/>
        <rFont val="Segoe UI"/>
        <family val="2"/>
      </rPr>
      <t>Notes for case 2:</t>
    </r>
    <r>
      <rPr>
        <sz val="11"/>
        <rFont val="Segoe UI"/>
        <family val="2"/>
      </rPr>
      <t xml:space="preserve">
The mast supplied by Tenderer shall be tiltable and frangible and the colour of the setup shall be according to Requirement 72. It shall be suitable for installation on a concrete foundation with dimensions 42 x 46 cm. Furthermore, the measurement sample area for visibility shall be placed at 1.885 or 2.50 meter.</t>
    </r>
  </si>
  <si>
    <r>
      <t xml:space="preserve">The PWS shall be COTS (Commercial Off The Shelf).
</t>
    </r>
    <r>
      <rPr>
        <i/>
        <sz val="11"/>
        <rFont val="Segoe UI"/>
        <family val="2"/>
      </rPr>
      <t>Please note:</t>
    </r>
    <r>
      <rPr>
        <sz val="11"/>
        <rFont val="Segoe UI"/>
        <family val="2"/>
      </rPr>
      <t xml:space="preserve"> The colour of the PWS is not considered part of this requirement (see Requirement 72).</t>
    </r>
  </si>
  <si>
    <t>103.</t>
  </si>
  <si>
    <r>
      <rPr>
        <i/>
        <sz val="11"/>
        <color theme="1"/>
        <rFont val="Calibri"/>
        <family val="2"/>
        <scheme val="minor"/>
      </rPr>
      <t>Please note:</t>
    </r>
    <r>
      <rPr>
        <sz val="11"/>
        <color theme="1"/>
        <rFont val="Calibri"/>
        <family val="2"/>
        <scheme val="minor"/>
      </rPr>
      <t xml:space="preserve"> this column will only be filled in after the assessment by KNMI is completed.</t>
    </r>
  </si>
  <si>
    <t>Mandatory 18, 19, 75, 105 (Y/N+case)</t>
  </si>
  <si>
    <t>The measured quantities reported by the PWS shall contain the values generated during the most recent measurement window (according to Requirement 41 and Desirable 42).</t>
  </si>
  <si>
    <t>Mandatory 44, 66 (y/n + case where both can apply)</t>
  </si>
  <si>
    <t>Desirable 68</t>
  </si>
  <si>
    <t>Desirable 97</t>
  </si>
  <si>
    <t>Mandatory 36</t>
  </si>
  <si>
    <t>Instructions regarding the Programme of Requirements and Desirables - TN-349307</t>
  </si>
  <si>
    <t>Score 0 for No. Score 5 for Yes.</t>
  </si>
  <si>
    <r>
      <t xml:space="preserve">50 kilometers range = score 0
51 to 63 kilometers = score 1
63 to 75 kilometers = score 2
75 to 88 kilometers = score 3
88 to 99 kilometers = score 4
</t>
    </r>
    <r>
      <rPr>
        <sz val="11"/>
        <rFont val="Calibri"/>
        <family val="2"/>
      </rPr>
      <t>≥</t>
    </r>
    <r>
      <rPr>
        <sz val="11"/>
        <rFont val="Segoe UI"/>
        <family val="2"/>
      </rPr>
      <t>100 kilometers = score 5
No additional score for minimum range &lt;10 meters.</t>
    </r>
  </si>
  <si>
    <t>Y/N for a reporting and updating time every 12 seconds for MOR.
Yes = score 5
No = score 0</t>
  </si>
  <si>
    <t>Y/N for presence of a specified second interface.
Yes = score 5
No = score 0</t>
  </si>
  <si>
    <t xml:space="preserve">Yes = score 5
No = score 0
</t>
  </si>
  <si>
    <t>Please provide a substantiation of maximum 1/4 A4 page. The substantiation will be assessed and a score of 0 or 5 will be given.
Score of 5 if transportable by car and handling and installation by one person is possible within ARBO regulations.
Score of 0 in all other cases.
Note: the KNMI assessment team will seek internal advice from a specialist in Dutch occupational health and safety (ARBO) regulations when assigning the score for this Desirable.</t>
  </si>
  <si>
    <r>
      <t xml:space="preserve">Score given on maximum power consumption:
&lt;100 Watt = score 5
100 -113 Watt = score 4
113 -125 Watt = score 3
125 -138 Watt = score 2
138 -149 Watt = score 1
</t>
    </r>
    <r>
      <rPr>
        <sz val="11"/>
        <rFont val="Calibri"/>
        <family val="2"/>
      </rPr>
      <t>≥</t>
    </r>
    <r>
      <rPr>
        <sz val="11"/>
        <rFont val="Segoe UI"/>
        <family val="2"/>
      </rPr>
      <t>150 Watt = score 0
Score of 0 is given if the PWS is unable to operate on 24 VDC ± 20%, regardless of actual maximum power.</t>
    </r>
  </si>
  <si>
    <t>Score given on average power consumption:
&lt;10 Watt = score 5
10-33 Watt = score 4
33-55 Watt = score 3
55-78 Watt = score 2
78-100 Watt = score 1
&gt;100 Watt = score 0</t>
  </si>
  <si>
    <t>Yes = score 5
No = score 0</t>
  </si>
  <si>
    <t>Yes to all = score 5
No to any = score 0</t>
  </si>
  <si>
    <t>Score shall be given on the MTTR:
&lt;4 hours = score 5
4-7 hours = score 4
7-10 hours = score 3
10-13 hours = score 2
13-16 hours = score1
&gt;16 hours = score 0</t>
  </si>
  <si>
    <t>(maximum)</t>
  </si>
  <si>
    <t>(76,2)</t>
  </si>
  <si>
    <t>(750)</t>
  </si>
  <si>
    <t>Technical drawings of the current KNMI PWS mast - part of Mandatory #75</t>
  </si>
  <si>
    <t>Please provide a substantiation of maximum 1 A4 page. The substantiation will be assessed and a score is given between 0 to 5 maximum. 
The assessment is based on expert judgement with special attention given to the following assessment criteria:
- Clarity, completeness and level of detail of the substantiation.
- Quality of the detection of precipitation.
- Accuracy with which the precipitation types are reported, preferably in substantiated FAR and POD numbers.
Note that no score is awarded for the number of precipitation types that can be reported.</t>
  </si>
  <si>
    <t>Support and maintenance of the offered PWS and parts shall be available for the period of validity of the contract, with a minimum of 10 years and a maximum of 16 years.</t>
  </si>
  <si>
    <t>The offered PWS, or compatible products meeting the same Requirements that can replace the original PWS, shall be available for the period of validity of the Contract, with a minimum of 10 years and a maximum of 16 years.</t>
  </si>
  <si>
    <r>
      <t xml:space="preserve">This document also functions as the formal declaration of the Tenderer to comply with the Requirements and to indicate in what extent the Tenderer complies with the Desirables. For this purpose, fill in the Requirements and Desirables sheet of this excel file for all yellow cells. These cells typically contain a drop-down menu that can be used to select the proper option. Tenderer may not change any other cells within this excel file even if technically possible. For the purpose of answering the open Desirables with a substantiation, Annex </t>
    </r>
    <r>
      <rPr>
        <sz val="11"/>
        <rFont val="Calibri"/>
        <family val="2"/>
        <scheme val="minor"/>
      </rPr>
      <t>12 is provided with a numbering of the Desirables that require substantiations. Tenderer may use this annex to structure the substantiations. Tenderer may also use an own template or file to structure the su</t>
    </r>
    <r>
      <rPr>
        <sz val="11"/>
        <color theme="1"/>
        <rFont val="Calibri"/>
        <family val="2"/>
        <scheme val="minor"/>
      </rPr>
      <t xml:space="preserve">bstantiations. In all cases, the text in this Program of Requirements is leading for all Requirements. Note that specifically Mandatory #36 and Desirable #117 call for attachment of separate files to be fulfilled. These must be included with the tender and must be clearly marked in the file name to contain the required files. If multiple files are required, these may be bundled in a single zip file per Mandatory or Desirable, again clearly marked in the file name. 
The amount of space available for the substantiations is given in terms of A4 pages. This is done deliberately to allow for the inclusion of figures &amp; graphs which tenderer may use to support the substantiation. </t>
    </r>
    <r>
      <rPr>
        <b/>
        <sz val="11"/>
        <color theme="1"/>
        <rFont val="Calibri"/>
        <family val="2"/>
        <scheme val="minor"/>
      </rPr>
      <t>The text in these substantiations must be in "Calibri" font with font size 11pt or larger.</t>
    </r>
    <r>
      <rPr>
        <sz val="11"/>
        <color theme="1"/>
        <rFont val="Calibri"/>
        <family val="2"/>
        <scheme val="minor"/>
      </rPr>
      <t xml:space="preserve"> Any text within graphics must be of similar (or larger) size and readability. Any substantiation text or graphics which are outside the allowed size will be ignored during the assessment.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</si>
</sst>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rgb="FF172B4D"/>
      <name val="Segoe UI"/>
      <family val="2"/>
    </font>
    <font>
      <sz val="8"/>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
      <sz val="11"/>
      <name val="Segoe UI"/>
      <family val="2"/>
    </font>
    <font>
      <b/>
      <sz val="24"/>
      <color theme="3"/>
      <name val="Calibri"/>
      <family val="2"/>
      <scheme val="minor"/>
    </font>
    <font>
      <b/>
      <sz val="11"/>
      <name val="Segoe UI"/>
      <family val="2"/>
    </font>
    <font>
      <sz val="11"/>
      <name val="Calibri"/>
      <family val="2"/>
    </font>
    <font>
      <b/>
      <sz val="11"/>
      <color theme="3"/>
      <name val="Calibri"/>
      <family val="2"/>
      <scheme val="minor"/>
    </font>
    <font>
      <sz val="11"/>
      <color rgb="FFFF0000"/>
      <name val="Calibri"/>
      <family val="2"/>
      <scheme val="minor"/>
    </font>
    <font>
      <sz val="11"/>
      <name val="Calibri"/>
      <family val="2"/>
      <scheme val="minor"/>
    </font>
    <font>
      <sz val="14"/>
      <color rgb="FFFF0000"/>
      <name val="Calibri"/>
      <family val="2"/>
      <scheme val="minor"/>
    </font>
    <font>
      <u/>
      <sz val="11"/>
      <color theme="1"/>
      <name val="Calibri"/>
      <family val="2"/>
      <scheme val="minor"/>
    </font>
    <font>
      <u/>
      <sz val="11"/>
      <name val="Segoe UI"/>
      <family val="2"/>
    </font>
    <font>
      <b/>
      <sz val="13"/>
      <color rgb="FFFF0000"/>
      <name val="Calibri"/>
      <family val="2"/>
      <scheme val="minor"/>
    </font>
    <font>
      <i/>
      <sz val="11"/>
      <name val="Segoe UI"/>
      <family val="2"/>
    </font>
    <font>
      <sz val="11"/>
      <color theme="1"/>
      <name val="Calibri"/>
      <family val="2"/>
    </font>
    <font>
      <i/>
      <sz val="11"/>
      <color theme="1"/>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style="medium">
        <color theme="0" tint="-0.24994659260841701"/>
      </right>
      <top style="medium">
        <color theme="0" tint="-0.24994659260841701"/>
      </top>
      <bottom/>
      <diagonal/>
    </border>
    <border>
      <left style="medium">
        <color theme="0" tint="-0.24994659260841701"/>
      </left>
      <right style="medium">
        <color theme="0" tint="-0.24994659260841701"/>
      </right>
      <top/>
      <bottom/>
      <diagonal/>
    </border>
    <border>
      <left style="medium">
        <color theme="0" tint="-0.24994659260841701"/>
      </left>
      <right style="medium">
        <color theme="0" tint="-0.24994659260841701"/>
      </right>
      <top/>
      <bottom style="medium">
        <color theme="0" tint="-0.24994659260841701"/>
      </bottom>
      <diagonal/>
    </border>
    <border>
      <left style="medium">
        <color theme="0" tint="-0.24994659260841701"/>
      </left>
      <right style="medium">
        <color theme="0" tint="-0.24994659260841701"/>
      </right>
      <top style="thick">
        <color theme="4" tint="0.499984740745262"/>
      </top>
      <bottom/>
      <diagonal/>
    </border>
    <border>
      <left style="medium">
        <color theme="0" tint="-0.24994659260841701"/>
      </left>
      <right style="medium">
        <color theme="0" tint="-0.24994659260841701"/>
      </right>
      <top style="thick">
        <color theme="4"/>
      </top>
      <bottom/>
      <diagonal/>
    </border>
    <border>
      <left/>
      <right/>
      <top/>
      <bottom style="medium">
        <color theme="4" tint="0.39997558519241921"/>
      </bottom>
      <diagonal/>
    </border>
    <border>
      <left/>
      <right/>
      <top style="thick">
        <color theme="4" tint="0.499984740745262"/>
      </top>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top style="medium">
        <color theme="0" tint="-0.24994659260841701"/>
      </top>
      <bottom style="thick">
        <color theme="4"/>
      </bottom>
      <diagonal/>
    </border>
    <border>
      <left style="medium">
        <color theme="0" tint="-0.24994659260841701"/>
      </left>
      <right style="medium">
        <color theme="0" tint="-0.24994659260841701"/>
      </right>
      <top style="thick">
        <color theme="4" tint="0.499984740745262"/>
      </top>
      <bottom style="medium">
        <color theme="0" tint="-0.24994659260841701"/>
      </bottom>
      <diagonal/>
    </border>
    <border>
      <left/>
      <right/>
      <top style="thick">
        <color theme="4"/>
      </top>
      <bottom style="thick">
        <color theme="4" tint="0.499984740745262"/>
      </bottom>
      <diagonal/>
    </border>
    <border>
      <left/>
      <right/>
      <top style="medium">
        <color theme="0" tint="-0.24994659260841701"/>
      </top>
      <bottom style="thick">
        <color theme="4" tint="0.499984740745262"/>
      </bottom>
      <diagonal/>
    </border>
    <border>
      <left style="medium">
        <color theme="0" tint="-0.24994659260841701"/>
      </left>
      <right style="medium">
        <color theme="0" tint="-0.24994659260841701"/>
      </right>
      <top style="thick">
        <color theme="4"/>
      </top>
      <bottom style="medium">
        <color theme="0" tint="-0.24994659260841701"/>
      </bottom>
      <diagonal/>
    </border>
  </borders>
  <cellStyleXfs count="6">
    <xf numFmtId="0" fontId="0" fillId="0" borderId="0"/>
    <xf numFmtId="0" fontId="3" fillId="0" borderId="1" applyNumberFormat="0" applyFill="0" applyAlignment="0" applyProtection="0"/>
    <xf numFmtId="0" fontId="4" fillId="0" borderId="2" applyNumberFormat="0" applyFill="0" applyAlignment="0" applyProtection="0"/>
    <xf numFmtId="0" fontId="10" fillId="0" borderId="9" applyNumberFormat="0" applyFill="0" applyAlignment="0" applyProtection="0"/>
    <xf numFmtId="0" fontId="11" fillId="0" borderId="0" applyNumberFormat="0" applyFill="0" applyBorder="0" applyAlignment="0" applyProtection="0"/>
    <xf numFmtId="0" fontId="10" fillId="0" borderId="0" applyNumberFormat="0" applyFill="0" applyBorder="0" applyAlignment="0" applyProtection="0"/>
  </cellStyleXfs>
  <cellXfs count="132">
    <xf numFmtId="0" fontId="0" fillId="0" borderId="0" xfId="0"/>
    <xf numFmtId="0" fontId="0" fillId="0" borderId="0" xfId="0"/>
    <xf numFmtId="0" fontId="0" fillId="0" borderId="0" xfId="0" applyAlignment="1">
      <alignment horizontal="left" vertical="top"/>
    </xf>
    <xf numFmtId="0" fontId="5" fillId="0" borderId="0" xfId="0" applyFont="1" applyAlignment="1">
      <alignment horizontal="left" vertical="top"/>
    </xf>
    <xf numFmtId="0" fontId="6" fillId="0" borderId="3" xfId="0" applyFont="1" applyFill="1" applyBorder="1" applyAlignment="1">
      <alignment vertical="top" wrapText="1" shrinkToFit="1"/>
    </xf>
    <xf numFmtId="0" fontId="6" fillId="2" borderId="3" xfId="0" applyFont="1" applyFill="1" applyBorder="1" applyAlignment="1">
      <alignment horizontal="center" vertical="top" wrapText="1" shrinkToFit="1"/>
    </xf>
    <xf numFmtId="0" fontId="6" fillId="2" borderId="4" xfId="0" applyFont="1" applyFill="1" applyBorder="1" applyAlignment="1">
      <alignment vertical="top" wrapText="1" shrinkToFit="1"/>
    </xf>
    <xf numFmtId="0" fontId="6" fillId="0" borderId="4" xfId="0" applyFont="1" applyFill="1" applyBorder="1" applyAlignment="1">
      <alignment horizontal="left" vertical="top" wrapText="1" shrinkToFit="1"/>
    </xf>
    <xf numFmtId="0" fontId="4" fillId="0" borderId="2" xfId="2"/>
    <xf numFmtId="0" fontId="10" fillId="0" borderId="9" xfId="3"/>
    <xf numFmtId="0" fontId="0" fillId="0" borderId="0" xfId="0" applyAlignment="1">
      <alignment horizontal="left" vertical="top" wrapText="1"/>
    </xf>
    <xf numFmtId="0" fontId="1" fillId="0" borderId="3" xfId="0" applyFont="1" applyFill="1" applyBorder="1" applyAlignment="1">
      <alignment horizontal="left" vertical="top" wrapText="1" shrinkToFit="1"/>
    </xf>
    <xf numFmtId="0" fontId="6" fillId="2" borderId="3" xfId="0" applyFont="1" applyFill="1" applyBorder="1" applyAlignment="1">
      <alignment horizontal="left" vertical="top" wrapText="1" shrinkToFit="1"/>
    </xf>
    <xf numFmtId="0" fontId="6" fillId="2" borderId="3" xfId="0" applyFont="1" applyFill="1" applyBorder="1" applyAlignment="1">
      <alignment vertical="top" wrapText="1" shrinkToFit="1"/>
    </xf>
    <xf numFmtId="0" fontId="13" fillId="0" borderId="0" xfId="4" applyFont="1" applyAlignment="1"/>
    <xf numFmtId="0" fontId="0" fillId="0" borderId="0" xfId="0" applyFont="1" applyAlignment="1">
      <alignment horizontal="left" vertical="top"/>
    </xf>
    <xf numFmtId="0" fontId="8" fillId="3" borderId="3" xfId="0" applyFont="1" applyFill="1" applyBorder="1" applyAlignment="1">
      <alignment horizontal="center" vertical="top" wrapText="1" shrinkToFit="1"/>
    </xf>
    <xf numFmtId="0" fontId="0" fillId="0" borderId="0" xfId="0" applyAlignment="1">
      <alignment horizontal="center" vertical="top"/>
    </xf>
    <xf numFmtId="0" fontId="6" fillId="2" borderId="7" xfId="0" applyFont="1" applyFill="1" applyBorder="1" applyAlignment="1">
      <alignment vertical="top" wrapText="1" shrinkToFit="1"/>
    </xf>
    <xf numFmtId="0" fontId="6" fillId="0" borderId="7" xfId="0" applyFont="1" applyFill="1" applyBorder="1" applyAlignment="1">
      <alignment horizontal="left" vertical="top" wrapText="1" shrinkToFit="1"/>
    </xf>
    <xf numFmtId="0" fontId="12" fillId="0" borderId="3" xfId="0" applyFont="1" applyBorder="1" applyAlignment="1">
      <alignment horizontal="center" vertical="top"/>
    </xf>
    <xf numFmtId="0" fontId="6" fillId="0" borderId="14" xfId="0" applyFont="1" applyFill="1" applyBorder="1" applyAlignment="1">
      <alignment horizontal="left" vertical="top" wrapText="1" shrinkToFit="1"/>
    </xf>
    <xf numFmtId="0" fontId="6" fillId="2" borderId="14" xfId="0" applyFont="1" applyFill="1" applyBorder="1" applyAlignment="1">
      <alignment horizontal="left" vertical="top" wrapText="1" shrinkToFit="1"/>
    </xf>
    <xf numFmtId="0" fontId="6" fillId="2" borderId="3" xfId="0" applyFont="1" applyFill="1" applyBorder="1" applyAlignment="1">
      <alignment horizontal="left" vertical="top" wrapText="1" shrinkToFit="1"/>
    </xf>
    <xf numFmtId="0" fontId="6" fillId="2" borderId="3" xfId="0" applyFont="1" applyFill="1" applyBorder="1" applyAlignment="1">
      <alignment vertical="top" wrapText="1" shrinkToFit="1"/>
    </xf>
    <xf numFmtId="0" fontId="0" fillId="0" borderId="0" xfId="0" applyAlignment="1">
      <alignment horizontal="left"/>
    </xf>
    <xf numFmtId="0" fontId="6" fillId="0" borderId="3" xfId="0" applyFont="1" applyFill="1" applyBorder="1" applyAlignment="1">
      <alignment horizontal="left" vertical="top" wrapText="1" shrinkToFit="1"/>
    </xf>
    <xf numFmtId="0" fontId="6" fillId="2" borderId="7" xfId="0" applyFont="1" applyFill="1" applyBorder="1" applyAlignment="1">
      <alignment horizontal="left" vertical="top" wrapText="1" shrinkToFit="1"/>
    </xf>
    <xf numFmtId="0" fontId="6" fillId="2" borderId="14" xfId="0" quotePrefix="1" applyFont="1" applyFill="1" applyBorder="1" applyAlignment="1">
      <alignment horizontal="left" vertical="top" wrapText="1" shrinkToFit="1"/>
    </xf>
    <xf numFmtId="0" fontId="6" fillId="2" borderId="17" xfId="0" applyFont="1" applyFill="1" applyBorder="1" applyAlignment="1">
      <alignment horizontal="left" vertical="top" wrapText="1" shrinkToFit="1"/>
    </xf>
    <xf numFmtId="0" fontId="0" fillId="5" borderId="0" xfId="0" applyFont="1" applyFill="1" applyAlignment="1">
      <alignment horizontal="left" vertical="top"/>
    </xf>
    <xf numFmtId="0" fontId="0" fillId="4" borderId="0" xfId="0" applyFont="1" applyFill="1" applyAlignment="1">
      <alignment horizontal="left" vertical="top"/>
    </xf>
    <xf numFmtId="0" fontId="0" fillId="0" borderId="0" xfId="0"/>
    <xf numFmtId="0" fontId="5" fillId="0" borderId="0" xfId="0" applyFont="1"/>
    <xf numFmtId="0" fontId="6" fillId="2" borderId="3" xfId="0" applyFont="1" applyFill="1" applyBorder="1" applyAlignment="1">
      <alignment vertical="top" wrapText="1" shrinkToFit="1"/>
    </xf>
    <xf numFmtId="0" fontId="6" fillId="2" borderId="3" xfId="0" applyFont="1" applyFill="1" applyBorder="1" applyAlignment="1">
      <alignment horizontal="center" vertical="top" wrapText="1" shrinkToFit="1"/>
    </xf>
    <xf numFmtId="0" fontId="6" fillId="2" borderId="3" xfId="0" applyFont="1" applyFill="1" applyBorder="1" applyAlignment="1">
      <alignment horizontal="left" vertical="top" wrapText="1" shrinkToFit="1"/>
    </xf>
    <xf numFmtId="0" fontId="1" fillId="0" borderId="3" xfId="0" applyFont="1" applyFill="1" applyBorder="1" applyAlignment="1">
      <alignment horizontal="left" vertical="top" wrapText="1" shrinkToFit="1"/>
    </xf>
    <xf numFmtId="0" fontId="6" fillId="2" borderId="14" xfId="0" applyFont="1" applyFill="1" applyBorder="1" applyAlignment="1">
      <alignment horizontal="center" vertical="top" wrapText="1" shrinkToFit="1"/>
    </xf>
    <xf numFmtId="0" fontId="6" fillId="2" borderId="4" xfId="0" applyFont="1" applyFill="1" applyBorder="1" applyAlignment="1">
      <alignment horizontal="left" vertical="top" wrapText="1" shrinkToFit="1"/>
    </xf>
    <xf numFmtId="0" fontId="6" fillId="2" borderId="3" xfId="0" applyFont="1" applyFill="1" applyBorder="1" applyAlignment="1">
      <alignment horizontal="left" vertical="top" wrapText="1" shrinkToFit="1"/>
    </xf>
    <xf numFmtId="0" fontId="6" fillId="0" borderId="3" xfId="0" applyFont="1" applyFill="1" applyBorder="1" applyAlignment="1">
      <alignment horizontal="left" vertical="top" wrapText="1" shrinkToFit="1"/>
    </xf>
    <xf numFmtId="0" fontId="6" fillId="0" borderId="14" xfId="0" applyFont="1" applyFill="1" applyBorder="1" applyAlignment="1">
      <alignment vertical="top" wrapText="1" shrinkToFit="1"/>
    </xf>
    <xf numFmtId="0" fontId="6" fillId="0" borderId="17" xfId="0" applyFont="1" applyFill="1" applyBorder="1" applyAlignment="1">
      <alignment horizontal="left" vertical="top" wrapText="1" shrinkToFit="1"/>
    </xf>
    <xf numFmtId="0" fontId="6" fillId="2" borderId="3" xfId="0" applyFont="1" applyFill="1" applyBorder="1" applyAlignment="1">
      <alignment vertical="top" wrapText="1" shrinkToFit="1"/>
    </xf>
    <xf numFmtId="0" fontId="10" fillId="0" borderId="9" xfId="3" applyAlignment="1">
      <alignment horizontal="left" vertical="top"/>
    </xf>
    <xf numFmtId="0" fontId="10" fillId="0" borderId="9" xfId="3" applyAlignment="1">
      <alignment horizontal="left" vertical="top" wrapText="1"/>
    </xf>
    <xf numFmtId="0" fontId="6" fillId="6" borderId="7" xfId="0" applyFont="1" applyFill="1" applyBorder="1" applyAlignment="1">
      <alignment vertical="top" wrapText="1" shrinkToFit="1"/>
    </xf>
    <xf numFmtId="0" fontId="6" fillId="6" borderId="3" xfId="0" applyFont="1" applyFill="1" applyBorder="1" applyAlignment="1">
      <alignment vertical="top" wrapText="1" shrinkToFit="1"/>
    </xf>
    <xf numFmtId="0" fontId="6" fillId="6" borderId="3" xfId="0" applyFont="1" applyFill="1" applyBorder="1" applyAlignment="1" applyProtection="1">
      <alignment vertical="top" wrapText="1" shrinkToFit="1"/>
      <protection locked="0"/>
    </xf>
    <xf numFmtId="0" fontId="6" fillId="6" borderId="14" xfId="0" applyFont="1" applyFill="1" applyBorder="1" applyAlignment="1">
      <alignment vertical="top" wrapText="1" shrinkToFit="1"/>
    </xf>
    <xf numFmtId="0" fontId="6" fillId="6" borderId="17" xfId="0" applyFont="1" applyFill="1" applyBorder="1" applyAlignment="1">
      <alignment vertical="top" wrapText="1" shrinkToFit="1"/>
    </xf>
    <xf numFmtId="0" fontId="6" fillId="6" borderId="3" xfId="0" applyFont="1" applyFill="1" applyBorder="1" applyAlignment="1">
      <alignment horizontal="left" vertical="top" wrapText="1" shrinkToFit="1"/>
    </xf>
    <xf numFmtId="0" fontId="0" fillId="0" borderId="0" xfId="0" applyAlignment="1">
      <alignment vertical="center"/>
    </xf>
    <xf numFmtId="0" fontId="0" fillId="0" borderId="0" xfId="0" applyAlignment="1">
      <alignment horizontal="left" vertical="center"/>
    </xf>
    <xf numFmtId="164" fontId="8" fillId="3" borderId="3" xfId="0" applyNumberFormat="1" applyFont="1" applyFill="1" applyBorder="1" applyAlignment="1">
      <alignment horizontal="center" vertical="top" wrapText="1" shrinkToFit="1"/>
    </xf>
    <xf numFmtId="164" fontId="6" fillId="2" borderId="3" xfId="0" applyNumberFormat="1" applyFont="1" applyFill="1" applyBorder="1" applyAlignment="1">
      <alignment horizontal="center" vertical="top" wrapText="1" shrinkToFit="1"/>
    </xf>
    <xf numFmtId="164" fontId="8" fillId="3" borderId="11" xfId="0" applyNumberFormat="1" applyFont="1" applyFill="1" applyBorder="1" applyAlignment="1">
      <alignment horizontal="center" vertical="top" wrapText="1" shrinkToFit="1"/>
    </xf>
    <xf numFmtId="164" fontId="6" fillId="2" borderId="14" xfId="0" applyNumberFormat="1" applyFont="1" applyFill="1" applyBorder="1" applyAlignment="1">
      <alignment horizontal="center" vertical="top" wrapText="1" shrinkToFit="1"/>
    </xf>
    <xf numFmtId="164" fontId="12" fillId="0" borderId="3" xfId="0" applyNumberFormat="1" applyFont="1" applyBorder="1" applyAlignment="1">
      <alignment horizontal="center" vertical="top"/>
    </xf>
    <xf numFmtId="164" fontId="6" fillId="2" borderId="17" xfId="0" applyNumberFormat="1" applyFont="1" applyFill="1" applyBorder="1" applyAlignment="1">
      <alignment horizontal="center" vertical="top" wrapText="1" shrinkToFit="1"/>
    </xf>
    <xf numFmtId="164" fontId="0" fillId="0" borderId="0" xfId="0" applyNumberFormat="1" applyAlignment="1">
      <alignment horizontal="center" vertical="top"/>
    </xf>
    <xf numFmtId="164" fontId="6" fillId="2" borderId="7" xfId="0" applyNumberFormat="1" applyFont="1" applyFill="1" applyBorder="1" applyAlignment="1">
      <alignment horizontal="center" vertical="top" wrapText="1" shrinkToFit="1"/>
    </xf>
    <xf numFmtId="0" fontId="6" fillId="6" borderId="3" xfId="0" applyFont="1" applyFill="1" applyBorder="1" applyAlignment="1">
      <alignment vertical="top" wrapText="1" shrinkToFit="1"/>
    </xf>
    <xf numFmtId="0" fontId="6" fillId="6" borderId="3" xfId="0" applyFont="1" applyFill="1" applyBorder="1" applyAlignment="1">
      <alignment vertical="top" wrapText="1" shrinkToFit="1"/>
    </xf>
    <xf numFmtId="0" fontId="0" fillId="0" borderId="0" xfId="0" applyFont="1"/>
    <xf numFmtId="0" fontId="0" fillId="0" borderId="0" xfId="0"/>
    <xf numFmtId="0" fontId="6" fillId="6" borderId="3" xfId="0" applyFont="1" applyFill="1" applyBorder="1" applyAlignment="1">
      <alignment vertical="top" wrapText="1" shrinkToFit="1"/>
    </xf>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5" fillId="0" borderId="0" xfId="0" applyFont="1" applyAlignment="1">
      <alignment horizontal="center" vertical="center"/>
    </xf>
    <xf numFmtId="164" fontId="5" fillId="0" borderId="0" xfId="0" applyNumberFormat="1" applyFont="1" applyAlignment="1">
      <alignment horizontal="center" vertical="center"/>
    </xf>
    <xf numFmtId="0" fontId="5" fillId="0" borderId="0" xfId="0" applyFont="1" applyAlignment="1">
      <alignment horizontal="right"/>
    </xf>
    <xf numFmtId="0" fontId="6" fillId="6" borderId="3" xfId="0" applyFont="1" applyFill="1" applyBorder="1" applyAlignment="1">
      <alignment vertical="top" wrapText="1" shrinkToFit="1"/>
    </xf>
    <xf numFmtId="0" fontId="6" fillId="2" borderId="7" xfId="0" applyFont="1" applyFill="1" applyBorder="1" applyAlignment="1">
      <alignment horizontal="center" vertical="top" wrapText="1" shrinkToFit="1"/>
    </xf>
    <xf numFmtId="0" fontId="6" fillId="2" borderId="3" xfId="0" applyFont="1" applyFill="1" applyBorder="1" applyAlignment="1">
      <alignment horizontal="left" vertical="top" wrapText="1" shrinkToFit="1"/>
    </xf>
    <xf numFmtId="0" fontId="6" fillId="6" borderId="3" xfId="0" applyFont="1" applyFill="1" applyBorder="1" applyAlignment="1">
      <alignment vertical="top" wrapText="1" shrinkToFit="1"/>
    </xf>
    <xf numFmtId="164" fontId="6" fillId="2" borderId="3" xfId="0" applyNumberFormat="1" applyFont="1" applyFill="1" applyBorder="1" applyAlignment="1">
      <alignment horizontal="center" vertical="top" wrapText="1" shrinkToFit="1"/>
    </xf>
    <xf numFmtId="0" fontId="6" fillId="0" borderId="3" xfId="0" applyFont="1" applyFill="1" applyBorder="1" applyAlignment="1">
      <alignment horizontal="left" vertical="top" wrapText="1" shrinkToFit="1"/>
    </xf>
    <xf numFmtId="0" fontId="6" fillId="0" borderId="3" xfId="0" applyFont="1" applyFill="1" applyBorder="1" applyAlignment="1">
      <alignment horizontal="left" vertical="top" wrapText="1" shrinkToFit="1"/>
    </xf>
    <xf numFmtId="0" fontId="6" fillId="2" borderId="3" xfId="0" applyFont="1" applyFill="1" applyBorder="1" applyAlignment="1">
      <alignment horizontal="left" vertical="top" wrapText="1" shrinkToFit="1"/>
    </xf>
    <xf numFmtId="0" fontId="6" fillId="6" borderId="3" xfId="0" applyFont="1" applyFill="1" applyBorder="1" applyAlignment="1">
      <alignment vertical="top" wrapText="1" shrinkToFit="1"/>
    </xf>
    <xf numFmtId="164" fontId="6" fillId="2" borderId="3" xfId="0" applyNumberFormat="1" applyFont="1" applyFill="1" applyBorder="1" applyAlignment="1">
      <alignment horizontal="center" vertical="top" wrapText="1" shrinkToFit="1"/>
    </xf>
    <xf numFmtId="0" fontId="0" fillId="0" borderId="0" xfId="0" applyAlignment="1">
      <alignment wrapText="1"/>
    </xf>
    <xf numFmtId="0" fontId="6" fillId="0" borderId="3" xfId="0" applyFont="1" applyFill="1" applyBorder="1" applyAlignment="1">
      <alignment horizontal="left" vertical="top" wrapText="1" shrinkToFit="1"/>
    </xf>
    <xf numFmtId="0" fontId="0" fillId="0" borderId="0" xfId="0" applyAlignment="1">
      <alignment horizontal="right"/>
    </xf>
    <xf numFmtId="0" fontId="0" fillId="0" borderId="0" xfId="0" quotePrefix="1" applyAlignment="1">
      <alignment horizontal="center"/>
    </xf>
    <xf numFmtId="0" fontId="0" fillId="0" borderId="0" xfId="0" applyAlignment="1">
      <alignment vertical="center" wrapText="1"/>
    </xf>
    <xf numFmtId="0" fontId="4" fillId="0" borderId="2" xfId="2"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3" fillId="0" borderId="1" xfId="1" applyAlignment="1">
      <alignment horizontal="left"/>
    </xf>
    <xf numFmtId="0" fontId="4" fillId="0" borderId="2" xfId="2" applyAlignment="1">
      <alignment horizontal="left"/>
    </xf>
    <xf numFmtId="0" fontId="10" fillId="0" borderId="9" xfId="3" applyAlignment="1">
      <alignment horizontal="left"/>
    </xf>
    <xf numFmtId="0" fontId="4" fillId="0" borderId="16" xfId="2" applyFill="1" applyBorder="1" applyAlignment="1">
      <alignment horizontal="left" vertical="top" wrapText="1" shrinkToFit="1"/>
    </xf>
    <xf numFmtId="0" fontId="3" fillId="0" borderId="13" xfId="1" applyFill="1" applyBorder="1" applyAlignment="1">
      <alignment horizontal="left" vertical="top" wrapText="1" shrinkToFit="1"/>
    </xf>
    <xf numFmtId="0" fontId="4" fillId="0" borderId="15" xfId="2" applyFill="1" applyBorder="1" applyAlignment="1">
      <alignment horizontal="left" vertical="top" wrapText="1" shrinkToFit="1"/>
    </xf>
    <xf numFmtId="0" fontId="6" fillId="2" borderId="7" xfId="0" applyFont="1" applyFill="1" applyBorder="1" applyAlignment="1">
      <alignment horizontal="left" vertical="top" wrapText="1" shrinkToFit="1"/>
    </xf>
    <xf numFmtId="0" fontId="6" fillId="2" borderId="5" xfId="0" applyFont="1" applyFill="1" applyBorder="1" applyAlignment="1">
      <alignment horizontal="left" vertical="top" wrapText="1" shrinkToFit="1"/>
    </xf>
    <xf numFmtId="0" fontId="6" fillId="2" borderId="6" xfId="0" applyFont="1" applyFill="1" applyBorder="1" applyAlignment="1">
      <alignment horizontal="left" vertical="top" wrapText="1" shrinkToFit="1"/>
    </xf>
    <xf numFmtId="164" fontId="6" fillId="2" borderId="7" xfId="0" applyNumberFormat="1" applyFont="1" applyFill="1" applyBorder="1" applyAlignment="1">
      <alignment horizontal="center" vertical="top" wrapText="1" shrinkToFit="1"/>
    </xf>
    <xf numFmtId="164" fontId="6" fillId="2" borderId="5" xfId="0" applyNumberFormat="1" applyFont="1" applyFill="1" applyBorder="1" applyAlignment="1">
      <alignment horizontal="center" vertical="top" wrapText="1" shrinkToFit="1"/>
    </xf>
    <xf numFmtId="164" fontId="6" fillId="2" borderId="6" xfId="0" applyNumberFormat="1" applyFont="1" applyFill="1" applyBorder="1" applyAlignment="1">
      <alignment horizontal="center" vertical="top" wrapText="1" shrinkToFit="1"/>
    </xf>
    <xf numFmtId="0" fontId="6" fillId="2" borderId="7" xfId="0" applyFont="1" applyFill="1" applyBorder="1" applyAlignment="1">
      <alignment horizontal="center" vertical="top" wrapText="1" shrinkToFit="1"/>
    </xf>
    <xf numFmtId="0" fontId="6" fillId="2" borderId="5" xfId="0" applyFont="1" applyFill="1" applyBorder="1" applyAlignment="1">
      <alignment horizontal="center" vertical="top" wrapText="1" shrinkToFit="1"/>
    </xf>
    <xf numFmtId="0" fontId="6" fillId="2" borderId="6" xfId="0" applyFont="1" applyFill="1" applyBorder="1" applyAlignment="1">
      <alignment horizontal="center" vertical="top" wrapText="1" shrinkToFit="1"/>
    </xf>
    <xf numFmtId="0" fontId="6" fillId="0" borderId="17" xfId="0" applyFont="1" applyFill="1" applyBorder="1" applyAlignment="1">
      <alignment horizontal="left" vertical="top" wrapText="1" shrinkToFit="1"/>
    </xf>
    <xf numFmtId="0" fontId="6" fillId="0" borderId="3" xfId="0" applyFont="1" applyFill="1" applyBorder="1" applyAlignment="1">
      <alignment horizontal="left" vertical="top" wrapText="1" shrinkToFit="1"/>
    </xf>
    <xf numFmtId="0" fontId="4" fillId="0" borderId="2" xfId="2" applyFill="1" applyAlignment="1">
      <alignment horizontal="left" vertical="top" wrapText="1" shrinkToFit="1"/>
    </xf>
    <xf numFmtId="0" fontId="6" fillId="0" borderId="14" xfId="0" applyFont="1" applyFill="1" applyBorder="1" applyAlignment="1">
      <alignment horizontal="left" vertical="top" wrapText="1" shrinkToFit="1"/>
    </xf>
    <xf numFmtId="0" fontId="6" fillId="6" borderId="7" xfId="0" applyFont="1" applyFill="1" applyBorder="1" applyAlignment="1">
      <alignment horizontal="left" vertical="top" wrapText="1" shrinkToFit="1"/>
    </xf>
    <xf numFmtId="0" fontId="6" fillId="6" borderId="5" xfId="0" applyFont="1" applyFill="1" applyBorder="1" applyAlignment="1">
      <alignment horizontal="left" vertical="top" wrapText="1" shrinkToFit="1"/>
    </xf>
    <xf numFmtId="0" fontId="6" fillId="6" borderId="6" xfId="0" applyFont="1" applyFill="1" applyBorder="1" applyAlignment="1">
      <alignment horizontal="left" vertical="top" wrapText="1" shrinkToFit="1"/>
    </xf>
    <xf numFmtId="164" fontId="6" fillId="2" borderId="4" xfId="0" applyNumberFormat="1" applyFont="1" applyFill="1" applyBorder="1" applyAlignment="1">
      <alignment horizontal="center" vertical="top" wrapText="1" shrinkToFit="1"/>
    </xf>
    <xf numFmtId="0" fontId="6" fillId="0" borderId="4" xfId="0" applyFont="1" applyFill="1" applyBorder="1" applyAlignment="1">
      <alignment horizontal="left" vertical="top" wrapText="1" shrinkToFit="1"/>
    </xf>
    <xf numFmtId="0" fontId="6" fillId="0" borderId="6" xfId="0" applyFont="1" applyFill="1" applyBorder="1" applyAlignment="1">
      <alignment horizontal="left" vertical="top" wrapText="1" shrinkToFit="1"/>
    </xf>
    <xf numFmtId="0" fontId="6" fillId="2" borderId="17" xfId="0" applyFont="1" applyFill="1" applyBorder="1" applyAlignment="1">
      <alignment horizontal="left" vertical="top" wrapText="1" shrinkToFit="1"/>
    </xf>
    <xf numFmtId="0" fontId="6" fillId="2" borderId="3" xfId="0" applyFont="1" applyFill="1" applyBorder="1" applyAlignment="1">
      <alignment horizontal="left" vertical="top" wrapText="1" shrinkToFit="1"/>
    </xf>
    <xf numFmtId="0" fontId="6" fillId="6" borderId="17" xfId="0" applyFont="1" applyFill="1" applyBorder="1" applyAlignment="1">
      <alignment vertical="top" wrapText="1" shrinkToFit="1"/>
    </xf>
    <xf numFmtId="0" fontId="6" fillId="6" borderId="3" xfId="0" applyFont="1" applyFill="1" applyBorder="1" applyAlignment="1">
      <alignment vertical="top" wrapText="1" shrinkToFit="1"/>
    </xf>
    <xf numFmtId="0" fontId="6" fillId="2" borderId="8" xfId="0" applyFont="1" applyFill="1" applyBorder="1" applyAlignment="1">
      <alignment horizontal="center" vertical="top" wrapText="1" shrinkToFit="1"/>
    </xf>
    <xf numFmtId="164" fontId="6" fillId="2" borderId="8" xfId="0" applyNumberFormat="1" applyFont="1" applyFill="1" applyBorder="1" applyAlignment="1">
      <alignment horizontal="center" vertical="top" wrapText="1" shrinkToFit="1"/>
    </xf>
    <xf numFmtId="164" fontId="6" fillId="2" borderId="17" xfId="0" applyNumberFormat="1" applyFont="1" applyFill="1" applyBorder="1" applyAlignment="1">
      <alignment horizontal="center" vertical="top" wrapText="1" shrinkToFit="1"/>
    </xf>
    <xf numFmtId="164" fontId="6" fillId="2" borderId="3" xfId="0" applyNumberFormat="1" applyFont="1" applyFill="1" applyBorder="1" applyAlignment="1">
      <alignment horizontal="center" vertical="top" wrapText="1" shrinkToFit="1"/>
    </xf>
    <xf numFmtId="0" fontId="7" fillId="0" borderId="11" xfId="1" applyFont="1" applyFill="1" applyBorder="1" applyAlignment="1">
      <alignment horizontal="center" vertical="top" wrapText="1" shrinkToFit="1"/>
    </xf>
    <xf numFmtId="0" fontId="7" fillId="0" borderId="12" xfId="1" applyFont="1" applyFill="1" applyBorder="1" applyAlignment="1">
      <alignment horizontal="center" vertical="top" wrapText="1" shrinkToFit="1"/>
    </xf>
    <xf numFmtId="0" fontId="4" fillId="0" borderId="12" xfId="5" applyFont="1" applyFill="1" applyBorder="1" applyAlignment="1">
      <alignment horizontal="center" vertical="center" wrapText="1" shrinkToFit="1"/>
    </xf>
    <xf numFmtId="0" fontId="6" fillId="2" borderId="4" xfId="0" applyFont="1" applyFill="1" applyBorder="1" applyAlignment="1">
      <alignment horizontal="left" vertical="top" wrapText="1" shrinkToFit="1"/>
    </xf>
    <xf numFmtId="0" fontId="6" fillId="2" borderId="4" xfId="0" applyFont="1" applyFill="1" applyBorder="1" applyAlignment="1">
      <alignment horizontal="center" vertical="top" wrapText="1" shrinkToFit="1"/>
    </xf>
    <xf numFmtId="0" fontId="3" fillId="0" borderId="1" xfId="1" applyAlignment="1">
      <alignment horizontal="center"/>
    </xf>
  </cellXfs>
  <cellStyles count="6">
    <cellStyle name="Heading 1" xfId="1" builtinId="16"/>
    <cellStyle name="Heading 2" xfId="2" builtinId="17"/>
    <cellStyle name="Heading 3" xfId="3" builtinId="18"/>
    <cellStyle name="Heading 4" xfId="5" builtinId="19"/>
    <cellStyle name="Normal" xfId="0" builtinId="0"/>
    <cellStyle name="Warning Text" xfId="4" builtinId="11"/>
  </cellStyles>
  <dxfs count="245">
    <dxf>
      <font>
        <b/>
        <i val="0"/>
        <color auto="1"/>
      </font>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7D7D"/>
        </patternFill>
      </fill>
    </dxf>
    <dxf>
      <fill>
        <patternFill>
          <bgColor rgb="FF92D050"/>
        </patternFill>
      </fill>
    </dxf>
    <dxf>
      <fill>
        <patternFill patternType="solid">
          <fgColor rgb="FFFF7D7D"/>
          <bgColor rgb="FFFF0000"/>
        </patternFill>
      </fill>
    </dxf>
    <dxf>
      <fill>
        <patternFill>
          <bgColor rgb="FF92D050"/>
        </patternFill>
      </fill>
    </dxf>
    <dxf>
      <fill>
        <patternFill patternType="solid">
          <fgColor rgb="FFFF7D7D"/>
          <bgColor rgb="FFFF0000"/>
        </patternFill>
      </fill>
    </dxf>
    <dxf>
      <fill>
        <patternFill>
          <bgColor rgb="FF92D050"/>
        </patternFill>
      </fill>
    </dxf>
    <dxf>
      <fill>
        <patternFill patternType="solid">
          <fgColor rgb="FFFF7D7D"/>
          <bgColor rgb="FFFF0000"/>
        </patternFill>
      </fill>
    </dxf>
    <dxf>
      <fill>
        <patternFill>
          <bgColor rgb="FF92D050"/>
        </patternFill>
      </fill>
    </dxf>
    <dxf>
      <fill>
        <patternFill patternType="solid">
          <fgColor rgb="FFFF7D7D"/>
          <bgColor rgb="FFFF0000"/>
        </patternFill>
      </fill>
    </dxf>
    <dxf>
      <fill>
        <patternFill>
          <bgColor rgb="FF92D050"/>
        </patternFill>
      </fill>
    </dxf>
    <dxf>
      <fill>
        <patternFill patternType="solid">
          <fgColor rgb="FFFF7D7D"/>
          <bgColor rgb="FFFF000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patternType="solid">
          <fgColor rgb="FFFF7D7D"/>
          <bgColor rgb="FFFF0000"/>
        </patternFill>
      </fill>
    </dxf>
    <dxf>
      <fill>
        <patternFill>
          <bgColor rgb="FF92D050"/>
        </patternFill>
      </fill>
    </dxf>
    <dxf>
      <fill>
        <patternFill patternType="solid">
          <fgColor rgb="FFFF7D7D"/>
          <bgColor rgb="FFFF7D7D"/>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FF0000"/>
        </patternFill>
      </fill>
    </dxf>
    <dxf>
      <fill>
        <patternFill>
          <bgColor theme="9" tint="0.59996337778862885"/>
        </patternFill>
      </fill>
    </dxf>
    <dxf>
      <fill>
        <patternFill>
          <bgColor theme="9" tint="0.79998168889431442"/>
        </patternFill>
      </fill>
    </dxf>
  </dxfs>
  <tableStyles count="0" defaultTableStyle="TableStyleMedium2" defaultPivotStyle="PivotStyleLight16"/>
  <colors>
    <mruColors>
      <color rgb="FFFF7D7D"/>
      <color rgb="FFFF85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285750</xdr:colOff>
          <xdr:row>2</xdr:row>
          <xdr:rowOff>0</xdr:rowOff>
        </xdr:from>
        <xdr:to>
          <xdr:col>22</xdr:col>
          <xdr:colOff>371475</xdr:colOff>
          <xdr:row>31</xdr:row>
          <xdr:rowOff>142875</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32</xdr:row>
          <xdr:rowOff>57150</xdr:rowOff>
        </xdr:from>
        <xdr:to>
          <xdr:col>22</xdr:col>
          <xdr:colOff>371475</xdr:colOff>
          <xdr:row>62</xdr:row>
          <xdr:rowOff>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9</xdr:col>
          <xdr:colOff>180975</xdr:colOff>
          <xdr:row>44</xdr:row>
          <xdr:rowOff>19050</xdr:rowOff>
        </xdr:to>
        <xdr:sp macro="" textlink="">
          <xdr:nvSpPr>
            <xdr:cNvPr id="6148" name="Object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D966-224A-43B3-AD61-1F2C9CB56D49}">
  <dimension ref="A1:F35"/>
  <sheetViews>
    <sheetView tabSelected="1" zoomScaleNormal="100" workbookViewId="0">
      <selection sqref="A1:F1"/>
    </sheetView>
  </sheetViews>
  <sheetFormatPr defaultRowHeight="15" x14ac:dyDescent="0.25"/>
  <cols>
    <col min="1" max="1" width="25.42578125" customWidth="1"/>
    <col min="2" max="2" width="22.7109375" style="1" customWidth="1"/>
    <col min="3" max="3" width="12.28515625" style="1" customWidth="1"/>
    <col min="4" max="4" width="33.28515625" style="1" bestFit="1" customWidth="1"/>
    <col min="5" max="5" width="55.5703125" style="1" customWidth="1"/>
    <col min="6" max="6" width="50.7109375" style="1" customWidth="1"/>
  </cols>
  <sheetData>
    <row r="1" spans="1:6" ht="20.25" thickBot="1" x14ac:dyDescent="0.35">
      <c r="A1" s="93" t="s">
        <v>446</v>
      </c>
      <c r="B1" s="93"/>
      <c r="C1" s="93"/>
      <c r="D1" s="93"/>
      <c r="E1" s="93"/>
      <c r="F1" s="93"/>
    </row>
    <row r="2" spans="1:6" ht="15.75" thickTop="1" x14ac:dyDescent="0.25"/>
    <row r="3" spans="1:6" ht="18" thickBot="1" x14ac:dyDescent="0.3">
      <c r="A3" s="89" t="s">
        <v>214</v>
      </c>
      <c r="B3" s="89"/>
      <c r="C3" s="89"/>
      <c r="D3" s="89"/>
      <c r="E3" s="89"/>
      <c r="F3" s="89"/>
    </row>
    <row r="4" spans="1:6" ht="126" customHeight="1" thickTop="1" x14ac:dyDescent="0.25">
      <c r="A4" s="90" t="s">
        <v>421</v>
      </c>
      <c r="B4" s="90"/>
      <c r="C4" s="90"/>
      <c r="D4" s="90"/>
      <c r="E4" s="90"/>
      <c r="F4" s="90"/>
    </row>
    <row r="6" spans="1:6" ht="18" thickBot="1" x14ac:dyDescent="0.3">
      <c r="A6" s="89" t="s">
        <v>290</v>
      </c>
      <c r="B6" s="89"/>
      <c r="C6" s="89"/>
      <c r="D6" s="89"/>
      <c r="E6" s="89"/>
      <c r="F6" s="89"/>
    </row>
    <row r="7" spans="1:6" ht="158.25" customHeight="1" thickTop="1" x14ac:dyDescent="0.25">
      <c r="A7" s="91" t="s">
        <v>465</v>
      </c>
      <c r="B7" s="91"/>
      <c r="C7" s="91"/>
      <c r="D7" s="91"/>
      <c r="E7" s="91"/>
      <c r="F7" s="91"/>
    </row>
    <row r="9" spans="1:6" ht="18" thickBot="1" x14ac:dyDescent="0.3">
      <c r="A9" s="89" t="s">
        <v>256</v>
      </c>
      <c r="B9" s="89"/>
      <c r="C9" s="89"/>
      <c r="D9" s="89"/>
      <c r="E9" s="89"/>
      <c r="F9" s="89"/>
    </row>
    <row r="10" spans="1:6" s="1" customFormat="1" ht="15.75" thickTop="1" x14ac:dyDescent="0.25">
      <c r="A10" s="92" t="s">
        <v>414</v>
      </c>
      <c r="B10" s="92"/>
      <c r="C10" s="92"/>
      <c r="D10" s="92"/>
      <c r="E10" s="92"/>
      <c r="F10" s="92"/>
    </row>
    <row r="11" spans="1:6" ht="15.75" thickBot="1" x14ac:dyDescent="0.3">
      <c r="A11" s="45" t="s">
        <v>127</v>
      </c>
      <c r="B11" s="45" t="s">
        <v>258</v>
      </c>
      <c r="C11" s="45" t="s">
        <v>257</v>
      </c>
      <c r="D11" s="45" t="s">
        <v>128</v>
      </c>
      <c r="E11" s="46" t="s">
        <v>129</v>
      </c>
      <c r="F11" s="46" t="s">
        <v>133</v>
      </c>
    </row>
    <row r="12" spans="1:6" ht="30" x14ac:dyDescent="0.25">
      <c r="A12" s="2" t="s">
        <v>124</v>
      </c>
      <c r="B12" s="2" t="s">
        <v>285</v>
      </c>
      <c r="C12" s="30" t="s">
        <v>153</v>
      </c>
      <c r="D12" s="2" t="s">
        <v>126</v>
      </c>
      <c r="E12" s="10" t="s">
        <v>130</v>
      </c>
      <c r="F12" s="10" t="s">
        <v>134</v>
      </c>
    </row>
    <row r="13" spans="1:6" ht="45" x14ac:dyDescent="0.25">
      <c r="A13" s="2" t="s">
        <v>124</v>
      </c>
      <c r="B13" s="2" t="s">
        <v>139</v>
      </c>
      <c r="C13" s="30" t="s">
        <v>155</v>
      </c>
      <c r="D13" s="2" t="s">
        <v>131</v>
      </c>
      <c r="E13" s="10" t="s">
        <v>132</v>
      </c>
      <c r="F13" s="10" t="s">
        <v>135</v>
      </c>
    </row>
    <row r="14" spans="1:6" ht="30" x14ac:dyDescent="0.25">
      <c r="A14" s="2" t="s">
        <v>125</v>
      </c>
      <c r="B14" s="2" t="s">
        <v>285</v>
      </c>
      <c r="C14" s="31" t="s">
        <v>154</v>
      </c>
      <c r="D14" s="2" t="s">
        <v>126</v>
      </c>
      <c r="E14" s="10" t="s">
        <v>130</v>
      </c>
      <c r="F14" s="10" t="s">
        <v>447</v>
      </c>
    </row>
    <row r="15" spans="1:6" ht="30" x14ac:dyDescent="0.25">
      <c r="A15" s="2" t="s">
        <v>125</v>
      </c>
      <c r="B15" s="2" t="s">
        <v>286</v>
      </c>
      <c r="C15" s="31" t="s">
        <v>152</v>
      </c>
      <c r="D15" s="2" t="s">
        <v>139</v>
      </c>
      <c r="E15" s="10" t="s">
        <v>418</v>
      </c>
      <c r="F15" s="10" t="s">
        <v>293</v>
      </c>
    </row>
    <row r="16" spans="1:6" ht="30" x14ac:dyDescent="0.25">
      <c r="A16" s="2" t="s">
        <v>125</v>
      </c>
      <c r="B16" s="2" t="s">
        <v>287</v>
      </c>
      <c r="C16" s="31" t="s">
        <v>156</v>
      </c>
      <c r="D16" s="2" t="s">
        <v>136</v>
      </c>
      <c r="E16" s="10" t="s">
        <v>419</v>
      </c>
      <c r="F16" s="10" t="s">
        <v>377</v>
      </c>
    </row>
    <row r="17" spans="1:6" ht="60" x14ac:dyDescent="0.25">
      <c r="A17" s="2" t="s">
        <v>125</v>
      </c>
      <c r="B17" s="2" t="s">
        <v>288</v>
      </c>
      <c r="C17" s="31" t="s">
        <v>157</v>
      </c>
      <c r="D17" s="2" t="s">
        <v>137</v>
      </c>
      <c r="E17" s="10" t="s">
        <v>420</v>
      </c>
      <c r="F17" s="10" t="s">
        <v>377</v>
      </c>
    </row>
    <row r="19" spans="1:6" ht="18" thickBot="1" x14ac:dyDescent="0.35">
      <c r="A19" s="8" t="s">
        <v>216</v>
      </c>
      <c r="B19" s="8"/>
      <c r="C19" s="8"/>
      <c r="D19" s="8"/>
      <c r="E19" s="8"/>
      <c r="F19" s="8"/>
    </row>
    <row r="20" spans="1:6" ht="16.5" thickTop="1" thickBot="1" x14ac:dyDescent="0.3">
      <c r="A20" s="9" t="s">
        <v>278</v>
      </c>
      <c r="B20" s="95" t="s">
        <v>162</v>
      </c>
      <c r="C20" s="95"/>
      <c r="D20" s="95"/>
      <c r="E20" s="95"/>
      <c r="F20" s="46" t="s">
        <v>279</v>
      </c>
    </row>
    <row r="21" spans="1:6" ht="29.1" customHeight="1" x14ac:dyDescent="0.25">
      <c r="A21" s="53" t="s">
        <v>147</v>
      </c>
      <c r="B21" s="88" t="s">
        <v>416</v>
      </c>
      <c r="C21" s="88"/>
      <c r="D21" s="88"/>
      <c r="E21" s="88"/>
      <c r="F21" s="54">
        <v>5</v>
      </c>
    </row>
    <row r="22" spans="1:6" ht="29.1" customHeight="1" x14ac:dyDescent="0.25">
      <c r="A22" s="53" t="s">
        <v>148</v>
      </c>
      <c r="B22" s="88" t="s">
        <v>275</v>
      </c>
      <c r="C22" s="88"/>
      <c r="D22" s="88"/>
      <c r="E22" s="88"/>
      <c r="F22" s="54">
        <v>4</v>
      </c>
    </row>
    <row r="23" spans="1:6" ht="29.1" customHeight="1" x14ac:dyDescent="0.25">
      <c r="A23" s="53" t="s">
        <v>158</v>
      </c>
      <c r="B23" s="88" t="s">
        <v>417</v>
      </c>
      <c r="C23" s="88"/>
      <c r="D23" s="88"/>
      <c r="E23" s="88"/>
      <c r="F23" s="54">
        <v>3</v>
      </c>
    </row>
    <row r="24" spans="1:6" ht="29.1" customHeight="1" x14ac:dyDescent="0.25">
      <c r="A24" s="53" t="s">
        <v>149</v>
      </c>
      <c r="B24" s="88" t="s">
        <v>276</v>
      </c>
      <c r="C24" s="88"/>
      <c r="D24" s="88"/>
      <c r="E24" s="88"/>
      <c r="F24" s="54">
        <v>2</v>
      </c>
    </row>
    <row r="25" spans="1:6" ht="29.1" customHeight="1" x14ac:dyDescent="0.25">
      <c r="A25" s="53" t="s">
        <v>150</v>
      </c>
      <c r="B25" s="88" t="s">
        <v>373</v>
      </c>
      <c r="C25" s="88"/>
      <c r="D25" s="88"/>
      <c r="E25" s="88"/>
      <c r="F25" s="54">
        <v>1</v>
      </c>
    </row>
    <row r="26" spans="1:6" ht="29.1" customHeight="1" x14ac:dyDescent="0.25">
      <c r="A26" s="53" t="s">
        <v>119</v>
      </c>
      <c r="B26" s="88" t="s">
        <v>277</v>
      </c>
      <c r="C26" s="88"/>
      <c r="D26" s="88"/>
      <c r="E26" s="88"/>
      <c r="F26" s="54">
        <v>0</v>
      </c>
    </row>
    <row r="28" spans="1:6" ht="18" thickBot="1" x14ac:dyDescent="0.35">
      <c r="A28" s="94" t="s">
        <v>215</v>
      </c>
      <c r="B28" s="94"/>
      <c r="C28" s="94"/>
      <c r="D28" s="94"/>
      <c r="E28" s="94"/>
      <c r="F28" s="94"/>
    </row>
    <row r="29" spans="1:6" ht="16.5" thickTop="1" thickBot="1" x14ac:dyDescent="0.3">
      <c r="A29" s="9" t="s">
        <v>164</v>
      </c>
      <c r="B29" s="95" t="s">
        <v>165</v>
      </c>
      <c r="C29" s="95"/>
      <c r="D29" s="95"/>
      <c r="E29" s="95"/>
      <c r="F29" s="95"/>
    </row>
    <row r="30" spans="1:6" x14ac:dyDescent="0.25">
      <c r="A30" s="1" t="s">
        <v>159</v>
      </c>
      <c r="B30" s="92" t="s">
        <v>160</v>
      </c>
      <c r="C30" s="92"/>
      <c r="D30" s="92"/>
      <c r="E30" s="92"/>
      <c r="F30" s="92"/>
    </row>
    <row r="31" spans="1:6" x14ac:dyDescent="0.25">
      <c r="A31" s="1" t="s">
        <v>166</v>
      </c>
      <c r="B31" s="92" t="s">
        <v>167</v>
      </c>
      <c r="C31" s="92"/>
      <c r="D31" s="92"/>
      <c r="E31" s="92"/>
      <c r="F31" s="92"/>
    </row>
    <row r="32" spans="1:6" x14ac:dyDescent="0.25">
      <c r="A32" s="1" t="s">
        <v>174</v>
      </c>
      <c r="B32" s="92" t="s">
        <v>173</v>
      </c>
      <c r="C32" s="92"/>
      <c r="D32" s="92"/>
      <c r="E32" s="92"/>
      <c r="F32" s="92"/>
    </row>
    <row r="33" spans="1:6" x14ac:dyDescent="0.25">
      <c r="A33" s="1" t="s">
        <v>176</v>
      </c>
      <c r="B33" s="92" t="s">
        <v>415</v>
      </c>
      <c r="C33" s="92"/>
      <c r="D33" s="92"/>
      <c r="E33" s="92"/>
      <c r="F33" s="92"/>
    </row>
    <row r="34" spans="1:6" x14ac:dyDescent="0.25">
      <c r="A34" s="1" t="s">
        <v>177</v>
      </c>
      <c r="B34" s="92" t="s">
        <v>186</v>
      </c>
      <c r="C34" s="92"/>
      <c r="D34" s="92"/>
      <c r="E34" s="92"/>
      <c r="F34" s="92"/>
    </row>
    <row r="35" spans="1:6" x14ac:dyDescent="0.25">
      <c r="A35" s="1" t="s">
        <v>178</v>
      </c>
      <c r="B35" s="92" t="s">
        <v>187</v>
      </c>
      <c r="C35" s="92"/>
      <c r="D35" s="92"/>
      <c r="E35" s="92"/>
      <c r="F35" s="92"/>
    </row>
  </sheetData>
  <sheetProtection algorithmName="SHA-512" hashValue="76HmdWyrTPQJfVQIsI9bug1itVKnh6xRKMlISAt9kJ/nGodnGzbBIyKIa89+mjfpucgPsRxQjethyn8lSqBLHw==" saltValue="wPeLs7mZF3JNTNETNe0XIg==" spinCount="100000" sheet="1" objects="1" scenarios="1" formatRows="0"/>
  <mergeCells count="22">
    <mergeCell ref="A1:F1"/>
    <mergeCell ref="A28:F28"/>
    <mergeCell ref="B33:F33"/>
    <mergeCell ref="B34:F34"/>
    <mergeCell ref="B35:F35"/>
    <mergeCell ref="B30:F30"/>
    <mergeCell ref="B31:F31"/>
    <mergeCell ref="B29:F29"/>
    <mergeCell ref="B32:F32"/>
    <mergeCell ref="B20:E20"/>
    <mergeCell ref="B21:E21"/>
    <mergeCell ref="B22:E22"/>
    <mergeCell ref="B23:E23"/>
    <mergeCell ref="B24:E24"/>
    <mergeCell ref="B25:E25"/>
    <mergeCell ref="B26:E26"/>
    <mergeCell ref="A3:F3"/>
    <mergeCell ref="A9:F9"/>
    <mergeCell ref="A4:F4"/>
    <mergeCell ref="A7:F7"/>
    <mergeCell ref="A10:F10"/>
    <mergeCell ref="A6:F6"/>
  </mergeCells>
  <pageMargins left="0.7" right="0.7" top="0.75" bottom="0.75" header="0.3" footer="0.3"/>
  <pageSetup orientation="portrait" horizontalDpi="1200" verticalDpi="1200"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7D5C4-8DE3-4E5D-86E7-75C6638D21EB}">
  <sheetPr>
    <pageSetUpPr fitToPage="1"/>
  </sheetPr>
  <dimension ref="A1:L168"/>
  <sheetViews>
    <sheetView zoomScaleNormal="100" workbookViewId="0">
      <pane ySplit="2" topLeftCell="A3" activePane="bottomLeft" state="frozen"/>
      <selection activeCell="J1" sqref="J1"/>
      <selection pane="bottomLeft" sqref="A1:G1"/>
    </sheetView>
  </sheetViews>
  <sheetFormatPr defaultRowHeight="15" x14ac:dyDescent="0.25"/>
  <cols>
    <col min="1" max="1" width="5" style="1" customWidth="1"/>
    <col min="2" max="2" width="7.5703125" style="25" customWidth="1"/>
    <col min="3" max="3" width="57.7109375" style="1" customWidth="1"/>
    <col min="4" max="4" width="14.5703125" style="1" customWidth="1"/>
    <col min="5" max="5" width="10.28515625" style="61" customWidth="1"/>
    <col min="6" max="6" width="69" style="1" customWidth="1"/>
    <col min="7" max="7" width="22" style="1" customWidth="1"/>
    <col min="8" max="8" width="22.28515625" style="17" bestFit="1" customWidth="1"/>
    <col min="9" max="9" width="9.42578125" style="61" bestFit="1" customWidth="1"/>
  </cols>
  <sheetData>
    <row r="1" spans="1:12" ht="39" customHeight="1" thickBot="1" x14ac:dyDescent="0.3">
      <c r="A1" s="126" t="s">
        <v>434</v>
      </c>
      <c r="B1" s="127"/>
      <c r="C1" s="127"/>
      <c r="D1" s="127"/>
      <c r="E1" s="127"/>
      <c r="F1" s="127"/>
      <c r="G1" s="127"/>
      <c r="H1" s="128" t="str">
        <f>IF(COUNTIF(B5:B168,"*M*")-COUNTIF(H5:H168,"Ok")=0,"All mandatories are completed.",IF(ISNA(MATCH("Warning! Knock-out!",H5:H168,0)),"Notice: Not all mandatories are completed.","Warning! Knock-out!"))</f>
        <v>Notice: Not all mandatories are completed.</v>
      </c>
      <c r="I1" s="128"/>
    </row>
    <row r="2" spans="1:12" ht="19.5" customHeight="1" thickBot="1" x14ac:dyDescent="0.3">
      <c r="A2" s="16" t="s">
        <v>239</v>
      </c>
      <c r="B2" s="16" t="s">
        <v>161</v>
      </c>
      <c r="C2" s="16" t="s">
        <v>162</v>
      </c>
      <c r="D2" s="16" t="s">
        <v>122</v>
      </c>
      <c r="E2" s="55" t="s">
        <v>0</v>
      </c>
      <c r="F2" s="16" t="s">
        <v>123</v>
      </c>
      <c r="G2" s="16" t="s">
        <v>163</v>
      </c>
      <c r="H2" s="16" t="s">
        <v>229</v>
      </c>
      <c r="I2" s="57" t="s">
        <v>237</v>
      </c>
    </row>
    <row r="3" spans="1:12" ht="20.65" customHeight="1" thickBot="1" x14ac:dyDescent="0.3">
      <c r="A3" s="97" t="s">
        <v>328</v>
      </c>
      <c r="B3" s="97"/>
      <c r="C3" s="97"/>
      <c r="D3" s="97"/>
      <c r="E3" s="97"/>
      <c r="F3" s="97"/>
      <c r="G3" s="97"/>
      <c r="H3" s="97"/>
      <c r="I3" s="97"/>
    </row>
    <row r="4" spans="1:12" ht="18.600000000000001" customHeight="1" thickTop="1" thickBot="1" x14ac:dyDescent="0.3">
      <c r="A4" s="98" t="s">
        <v>199</v>
      </c>
      <c r="B4" s="98"/>
      <c r="C4" s="98"/>
      <c r="D4" s="98"/>
      <c r="E4" s="98"/>
      <c r="F4" s="98"/>
      <c r="G4" s="98"/>
      <c r="H4" s="98"/>
      <c r="I4" s="98"/>
    </row>
    <row r="5" spans="1:12" ht="84" thickTop="1" thickBot="1" x14ac:dyDescent="0.3">
      <c r="A5" s="19" t="s">
        <v>1</v>
      </c>
      <c r="B5" s="19" t="s">
        <v>2</v>
      </c>
      <c r="C5" s="26" t="s">
        <v>188</v>
      </c>
      <c r="D5" s="27" t="s">
        <v>153</v>
      </c>
      <c r="E5" s="62" t="s">
        <v>134</v>
      </c>
      <c r="F5" s="18" t="s">
        <v>329</v>
      </c>
      <c r="G5" s="47" t="s">
        <v>297</v>
      </c>
      <c r="H5" s="38" t="str">
        <f>IF(AND(EXACT(B5,"&lt;M&gt;"),EXACT(G5,"Yes")),"Ok",IF(AND(EXACT(B5,"&lt;M&gt;"),EXACT(G5,"No")),"Warning! Knock-out!","No answer selected."))</f>
        <v>No answer selected.</v>
      </c>
      <c r="I5" s="58" t="s">
        <v>134</v>
      </c>
    </row>
    <row r="6" spans="1:12" ht="178.5" customHeight="1" thickBot="1" x14ac:dyDescent="0.3">
      <c r="A6" s="26" t="s">
        <v>3</v>
      </c>
      <c r="B6" s="26" t="s">
        <v>4</v>
      </c>
      <c r="C6" s="26" t="s">
        <v>241</v>
      </c>
      <c r="D6" s="36" t="s">
        <v>156</v>
      </c>
      <c r="E6" s="56">
        <f>'Technical Area'!A$58*50</f>
        <v>8.0213903743315509</v>
      </c>
      <c r="F6" s="36" t="s">
        <v>381</v>
      </c>
      <c r="G6" s="52" t="s">
        <v>296</v>
      </c>
      <c r="H6" s="35" t="str">
        <f>IF(NOT(EXACT(LEFT(G6,2),"No")),"The score will be assigned by the KNMI assessment team.",0)</f>
        <v>The score will be assigned by the KNMI assessment team.</v>
      </c>
      <c r="I6" s="56" t="e">
        <f>H6*E6</f>
        <v>#VALUE!</v>
      </c>
      <c r="L6" s="68"/>
    </row>
    <row r="7" spans="1:12" ht="18" customHeight="1" thickBot="1" x14ac:dyDescent="0.3">
      <c r="A7" s="96" t="s">
        <v>330</v>
      </c>
      <c r="B7" s="96"/>
      <c r="C7" s="96"/>
      <c r="D7" s="96"/>
      <c r="E7" s="96"/>
      <c r="F7" s="96"/>
      <c r="G7" s="96"/>
      <c r="H7" s="96"/>
      <c r="I7" s="96"/>
    </row>
    <row r="8" spans="1:12" ht="231.6" customHeight="1" thickTop="1" thickBot="1" x14ac:dyDescent="0.3">
      <c r="A8" s="4" t="s">
        <v>5</v>
      </c>
      <c r="B8" s="26" t="s">
        <v>2</v>
      </c>
      <c r="C8" s="26" t="s">
        <v>422</v>
      </c>
      <c r="D8" s="36" t="s">
        <v>153</v>
      </c>
      <c r="E8" s="56" t="s">
        <v>134</v>
      </c>
      <c r="F8" s="18" t="s">
        <v>329</v>
      </c>
      <c r="G8" s="47" t="s">
        <v>297</v>
      </c>
      <c r="H8" s="75" t="str">
        <f>IF(AND(EXACT(B8,"&lt;M&gt;"),EXACT(G8,"Yes")),"Ok",IF(AND(EXACT(B8,"&lt;M&gt;"),EXACT(G8,"No")),"Warning! Knock-out!","No answer selected."))</f>
        <v>No answer selected.</v>
      </c>
      <c r="I8" s="58" t="s">
        <v>134</v>
      </c>
    </row>
    <row r="9" spans="1:12" ht="72.75" customHeight="1" thickBot="1" x14ac:dyDescent="0.3">
      <c r="A9" s="4" t="s">
        <v>6</v>
      </c>
      <c r="B9" s="26" t="s">
        <v>2</v>
      </c>
      <c r="C9" s="26" t="s">
        <v>259</v>
      </c>
      <c r="D9" s="36" t="s">
        <v>153</v>
      </c>
      <c r="E9" s="56" t="s">
        <v>134</v>
      </c>
      <c r="F9" s="44" t="s">
        <v>329</v>
      </c>
      <c r="G9" s="74" t="s">
        <v>297</v>
      </c>
      <c r="H9" s="35" t="str">
        <f>IF(AND(EXACT(B9,"&lt;M&gt;"),EXACT(G9,"Yes")),"Ok",IF(AND(EXACT(B9,"&lt;M&gt;"),EXACT(G9,"No")),"Warning! Knock-out!","No answer selected."))</f>
        <v>No answer selected.</v>
      </c>
      <c r="I9" s="56" t="s">
        <v>134</v>
      </c>
    </row>
    <row r="10" spans="1:12" ht="276.75" customHeight="1" thickBot="1" x14ac:dyDescent="0.3">
      <c r="A10" s="26" t="s">
        <v>7</v>
      </c>
      <c r="B10" s="26" t="s">
        <v>4</v>
      </c>
      <c r="C10" s="26" t="s">
        <v>360</v>
      </c>
      <c r="D10" s="36" t="s">
        <v>157</v>
      </c>
      <c r="E10" s="56">
        <f>'Technical Area'!A$58*90</f>
        <v>14.438502673796792</v>
      </c>
      <c r="F10" s="36" t="s">
        <v>382</v>
      </c>
      <c r="G10" s="52" t="s">
        <v>296</v>
      </c>
      <c r="H10" s="35" t="str">
        <f>IF(NOT(EXACT(LEFT(G10,2),"No")),"The score will be assigned by the KNMI assessment team.","Warning! Knock-out!")</f>
        <v>The score will be assigned by the KNMI assessment team.</v>
      </c>
      <c r="I10" s="56" t="e">
        <f>H10*E10</f>
        <v>#VALUE!</v>
      </c>
    </row>
    <row r="11" spans="1:12" ht="122.25" customHeight="1" thickBot="1" x14ac:dyDescent="0.3">
      <c r="A11" s="4" t="s">
        <v>8</v>
      </c>
      <c r="B11" s="26" t="s">
        <v>4</v>
      </c>
      <c r="C11" s="26" t="s">
        <v>194</v>
      </c>
      <c r="D11" s="36" t="s">
        <v>152</v>
      </c>
      <c r="E11" s="56">
        <f>'Technical Area'!A$58*10</f>
        <v>1.6042780748663101</v>
      </c>
      <c r="F11" s="34" t="s">
        <v>448</v>
      </c>
      <c r="G11" s="49" t="s">
        <v>303</v>
      </c>
      <c r="H11" s="20" t="str">
        <f>CHOOSE(MATCH(G11,'Technical Area'!A8:A14,0),"Score",0,1,2,3,4,5)</f>
        <v>Score</v>
      </c>
      <c r="I11" s="59" t="e">
        <f>H11*E11</f>
        <v>#VALUE!</v>
      </c>
    </row>
    <row r="12" spans="1:12" ht="18" customHeight="1" thickBot="1" x14ac:dyDescent="0.3">
      <c r="A12" s="96" t="s">
        <v>331</v>
      </c>
      <c r="B12" s="96"/>
      <c r="C12" s="96"/>
      <c r="D12" s="96"/>
      <c r="E12" s="96"/>
      <c r="F12" s="96"/>
      <c r="G12" s="96"/>
      <c r="H12" s="96"/>
      <c r="I12" s="96"/>
    </row>
    <row r="13" spans="1:12" ht="33.75" customHeight="1" thickTop="1" thickBot="1" x14ac:dyDescent="0.3">
      <c r="A13" s="4" t="s">
        <v>9</v>
      </c>
      <c r="B13" s="26" t="s">
        <v>2</v>
      </c>
      <c r="C13" s="26" t="s">
        <v>140</v>
      </c>
      <c r="D13" s="36" t="s">
        <v>153</v>
      </c>
      <c r="E13" s="56" t="s">
        <v>134</v>
      </c>
      <c r="F13" s="18" t="s">
        <v>329</v>
      </c>
      <c r="G13" s="47" t="s">
        <v>297</v>
      </c>
      <c r="H13" s="35" t="str">
        <f>IF(AND(EXACT(B13,"&lt;M&gt;"),EXACT(G13,"Yes")),"Ok",IF(AND(EXACT(B13,"&lt;M&gt;"),EXACT(G13,"No")),"Warning! Knock-out!","No answer selected."))</f>
        <v>No answer selected.</v>
      </c>
      <c r="I13" s="58" t="s">
        <v>134</v>
      </c>
    </row>
    <row r="14" spans="1:12" ht="67.5" customHeight="1" thickBot="1" x14ac:dyDescent="0.3">
      <c r="A14" s="4" t="s">
        <v>10</v>
      </c>
      <c r="B14" s="26" t="s">
        <v>2</v>
      </c>
      <c r="C14" s="26" t="s">
        <v>260</v>
      </c>
      <c r="D14" s="36" t="s">
        <v>153</v>
      </c>
      <c r="E14" s="56" t="s">
        <v>134</v>
      </c>
      <c r="F14" s="44" t="s">
        <v>329</v>
      </c>
      <c r="G14" s="48" t="s">
        <v>297</v>
      </c>
      <c r="H14" s="35" t="str">
        <f>IF(AND(EXACT(B14,"&lt;M&gt;"),EXACT(G14,"Yes")),"Ok",IF(AND(EXACT(B14,"&lt;M&gt;"),EXACT(G14,"No")),"Warning! Knock-out!","No answer selected."))</f>
        <v>No answer selected.</v>
      </c>
      <c r="I14" s="56" t="s">
        <v>134</v>
      </c>
    </row>
    <row r="15" spans="1:12" ht="228" customHeight="1" thickBot="1" x14ac:dyDescent="0.3">
      <c r="A15" s="26" t="s">
        <v>11</v>
      </c>
      <c r="B15" s="26" t="s">
        <v>4</v>
      </c>
      <c r="C15" s="26" t="s">
        <v>361</v>
      </c>
      <c r="D15" s="36" t="s">
        <v>157</v>
      </c>
      <c r="E15" s="56">
        <f>'Technical Area'!A$58*30</f>
        <v>4.8128342245989302</v>
      </c>
      <c r="F15" s="36" t="s">
        <v>383</v>
      </c>
      <c r="G15" s="52" t="s">
        <v>296</v>
      </c>
      <c r="H15" s="35" t="str">
        <f>IF(NOT(EXACT(LEFT(G15,2),"No")),"The score will be assigned by the KNMI assessment team.","Warning! Knock-out!")</f>
        <v>The score will be assigned by the KNMI assessment team.</v>
      </c>
      <c r="I15" s="56" t="e">
        <f>H15*E15</f>
        <v>#VALUE!</v>
      </c>
    </row>
    <row r="16" spans="1:12" ht="18" customHeight="1" thickBot="1" x14ac:dyDescent="0.3">
      <c r="A16" s="96" t="s">
        <v>332</v>
      </c>
      <c r="B16" s="96"/>
      <c r="C16" s="96"/>
      <c r="D16" s="96"/>
      <c r="E16" s="96"/>
      <c r="F16" s="96"/>
      <c r="G16" s="96"/>
      <c r="H16" s="96"/>
      <c r="I16" s="96"/>
    </row>
    <row r="17" spans="1:9" ht="107.25" customHeight="1" thickTop="1" thickBot="1" x14ac:dyDescent="0.3">
      <c r="A17" s="4" t="s">
        <v>12</v>
      </c>
      <c r="B17" s="26" t="s">
        <v>2</v>
      </c>
      <c r="C17" s="26" t="s">
        <v>378</v>
      </c>
      <c r="D17" s="36" t="s">
        <v>153</v>
      </c>
      <c r="E17" s="56" t="s">
        <v>134</v>
      </c>
      <c r="F17" s="18" t="s">
        <v>329</v>
      </c>
      <c r="G17" s="47" t="s">
        <v>297</v>
      </c>
      <c r="H17" s="35" t="str">
        <f>IF(AND(EXACT(B17,"&lt;M&gt;"),EXACT(G17,"Yes")),"Ok",IF(AND(EXACT(B17,"&lt;M&gt;"),EXACT(G17,"No")),"Warning! Knock-out!","No answer selected."))</f>
        <v>No answer selected.</v>
      </c>
      <c r="I17" s="58" t="s">
        <v>134</v>
      </c>
    </row>
    <row r="18" spans="1:9" ht="220.35" customHeight="1" thickBot="1" x14ac:dyDescent="0.3">
      <c r="A18" s="4" t="s">
        <v>13</v>
      </c>
      <c r="B18" s="26" t="s">
        <v>4</v>
      </c>
      <c r="C18" s="26" t="s">
        <v>362</v>
      </c>
      <c r="D18" s="36" t="s">
        <v>157</v>
      </c>
      <c r="E18" s="56">
        <f>'Technical Area'!A$58*90</f>
        <v>14.438502673796792</v>
      </c>
      <c r="F18" s="6" t="s">
        <v>384</v>
      </c>
      <c r="G18" s="52" t="s">
        <v>296</v>
      </c>
      <c r="H18" s="35" t="str">
        <f>IF(NOT(EXACT(LEFT(G18,2),"No")),"The score will be assigned by the KNMI assessment team.","Warning! Knock-out!")</f>
        <v>The score will be assigned by the KNMI assessment team.</v>
      </c>
      <c r="I18" s="56" t="e">
        <f>H18*E18</f>
        <v>#VALUE!</v>
      </c>
    </row>
    <row r="19" spans="1:9" ht="50.25" thickBot="1" x14ac:dyDescent="0.3">
      <c r="A19" s="26" t="s">
        <v>14</v>
      </c>
      <c r="B19" s="26" t="s">
        <v>2</v>
      </c>
      <c r="C19" s="26" t="s">
        <v>379</v>
      </c>
      <c r="D19" s="36" t="s">
        <v>153</v>
      </c>
      <c r="E19" s="56" t="s">
        <v>134</v>
      </c>
      <c r="F19" s="44" t="s">
        <v>329</v>
      </c>
      <c r="G19" s="48" t="s">
        <v>297</v>
      </c>
      <c r="H19" s="35" t="str">
        <f>IF(AND(EXACT(B19,"&lt;M&gt;"),EXACT(G19,"Yes")),"Ok",IF(AND(EXACT(B19,"&lt;M&gt;"),EXACT(G19,"No")),"Warning! Knock-out!","No answer selected."))</f>
        <v>No answer selected.</v>
      </c>
      <c r="I19" s="56" t="s">
        <v>134</v>
      </c>
    </row>
    <row r="20" spans="1:9" ht="214.15" customHeight="1" thickBot="1" x14ac:dyDescent="0.3">
      <c r="A20" s="7" t="s">
        <v>15</v>
      </c>
      <c r="B20" s="7" t="s">
        <v>4</v>
      </c>
      <c r="C20" s="26" t="s">
        <v>380</v>
      </c>
      <c r="D20" s="39" t="s">
        <v>156</v>
      </c>
      <c r="E20" s="56">
        <f>'Technical Area'!A$58*40</f>
        <v>6.4171122994652405</v>
      </c>
      <c r="F20" s="6" t="s">
        <v>462</v>
      </c>
      <c r="G20" s="52" t="s">
        <v>296</v>
      </c>
      <c r="H20" s="35" t="str">
        <f>IF(NOT(EXACT(LEFT(G20,2),"No")),"The score will be assigned by the KNMI assessment team.",0)</f>
        <v>The score will be assigned by the KNMI assessment team.</v>
      </c>
      <c r="I20" s="56" t="e">
        <f>H20*E20</f>
        <v>#VALUE!</v>
      </c>
    </row>
    <row r="21" spans="1:9" ht="143.65" customHeight="1" thickBot="1" x14ac:dyDescent="0.3">
      <c r="A21" s="26" t="s">
        <v>16</v>
      </c>
      <c r="B21" s="26" t="s">
        <v>4</v>
      </c>
      <c r="C21" s="26" t="s">
        <v>261</v>
      </c>
      <c r="D21" s="36" t="s">
        <v>156</v>
      </c>
      <c r="E21" s="56">
        <f>'Technical Area'!A$58*30</f>
        <v>4.8128342245989302</v>
      </c>
      <c r="F21" s="34" t="s">
        <v>385</v>
      </c>
      <c r="G21" s="52" t="s">
        <v>296</v>
      </c>
      <c r="H21" s="35" t="str">
        <f>IF(NOT(EXACT(LEFT(G21,2),"No")),"The score will be assigned by the KNMI assessment team.",0)</f>
        <v>The score will be assigned by the KNMI assessment team.</v>
      </c>
      <c r="I21" s="56" t="e">
        <f>H21*E21</f>
        <v>#VALUE!</v>
      </c>
    </row>
    <row r="22" spans="1:9" ht="18" customHeight="1" thickBot="1" x14ac:dyDescent="0.3">
      <c r="A22" s="96" t="s">
        <v>333</v>
      </c>
      <c r="B22" s="96"/>
      <c r="C22" s="96"/>
      <c r="D22" s="96"/>
      <c r="E22" s="96"/>
      <c r="F22" s="96"/>
      <c r="G22" s="96"/>
      <c r="H22" s="96"/>
      <c r="I22" s="96"/>
    </row>
    <row r="23" spans="1:9" ht="111" customHeight="1" thickTop="1" thickBot="1" x14ac:dyDescent="0.3">
      <c r="A23" s="4" t="s">
        <v>17</v>
      </c>
      <c r="B23" s="26" t="s">
        <v>2</v>
      </c>
      <c r="C23" s="26" t="s">
        <v>201</v>
      </c>
      <c r="D23" s="36" t="s">
        <v>153</v>
      </c>
      <c r="E23" s="56" t="s">
        <v>134</v>
      </c>
      <c r="F23" s="34" t="s">
        <v>329</v>
      </c>
      <c r="G23" s="47" t="s">
        <v>297</v>
      </c>
      <c r="H23" s="35" t="str">
        <f>IF(AND(EXACT(B23,"&lt;M&gt;"),EXACT(G23,"Yes")),"Ok",IF(AND(EXACT(B23,"&lt;M&gt;"),EXACT(G23,"No")),"Warning! Knock-out!","No answer selected."))</f>
        <v>No answer selected.</v>
      </c>
      <c r="I23" s="58" t="s">
        <v>134</v>
      </c>
    </row>
    <row r="24" spans="1:9" ht="205.35" customHeight="1" thickBot="1" x14ac:dyDescent="0.3">
      <c r="A24" s="26" t="s">
        <v>18</v>
      </c>
      <c r="B24" s="26" t="s">
        <v>4</v>
      </c>
      <c r="C24" s="26" t="s">
        <v>363</v>
      </c>
      <c r="D24" s="36" t="s">
        <v>157</v>
      </c>
      <c r="E24" s="56">
        <f>'Technical Area'!A$58*50</f>
        <v>8.0213903743315509</v>
      </c>
      <c r="F24" s="36" t="s">
        <v>386</v>
      </c>
      <c r="G24" s="52" t="s">
        <v>296</v>
      </c>
      <c r="H24" s="35" t="str">
        <f>IF(NOT(EXACT(LEFT(G24,2),"No")),"The score will be assigned by the KNMI assessment team.","Warning! Knock-out!")</f>
        <v>The score will be assigned by the KNMI assessment team.</v>
      </c>
      <c r="I24" s="56" t="e">
        <f>H24*E24</f>
        <v>#VALUE!</v>
      </c>
    </row>
    <row r="25" spans="1:9" ht="291" customHeight="1" thickBot="1" x14ac:dyDescent="0.3">
      <c r="A25" s="26" t="s">
        <v>19</v>
      </c>
      <c r="B25" s="26" t="s">
        <v>4</v>
      </c>
      <c r="C25" s="26" t="s">
        <v>262</v>
      </c>
      <c r="D25" s="36" t="s">
        <v>156</v>
      </c>
      <c r="E25" s="56">
        <f>'Technical Area'!A$58*40</f>
        <v>6.4171122994652405</v>
      </c>
      <c r="F25" s="34" t="s">
        <v>387</v>
      </c>
      <c r="G25" s="52" t="s">
        <v>296</v>
      </c>
      <c r="H25" s="35" t="str">
        <f>IF(NOT(EXACT(LEFT(G25,2),"No")),"The score will be assigned by the KNMI assessment team.",0)</f>
        <v>The score will be assigned by the KNMI assessment team.</v>
      </c>
      <c r="I25" s="56" t="e">
        <f>H25*E25</f>
        <v>#VALUE!</v>
      </c>
    </row>
    <row r="26" spans="1:9" ht="18" customHeight="1" thickBot="1" x14ac:dyDescent="0.3">
      <c r="A26" s="96" t="s">
        <v>372</v>
      </c>
      <c r="B26" s="96"/>
      <c r="C26" s="96"/>
      <c r="D26" s="96"/>
      <c r="E26" s="96"/>
      <c r="F26" s="96"/>
      <c r="G26" s="96"/>
      <c r="H26" s="96"/>
      <c r="I26" s="96"/>
    </row>
    <row r="27" spans="1:9" ht="155.65" customHeight="1" thickTop="1" thickBot="1" x14ac:dyDescent="0.3">
      <c r="A27" s="26" t="s">
        <v>20</v>
      </c>
      <c r="B27" s="26" t="s">
        <v>2</v>
      </c>
      <c r="C27" s="26" t="s">
        <v>423</v>
      </c>
      <c r="D27" s="36" t="s">
        <v>155</v>
      </c>
      <c r="E27" s="56" t="s">
        <v>134</v>
      </c>
      <c r="F27" s="18" t="s">
        <v>329</v>
      </c>
      <c r="G27" s="48" t="s">
        <v>297</v>
      </c>
      <c r="H27" s="35" t="str">
        <f>IF(       AND(EXACT(B27,"&lt;M&gt;"),EXACT(LEFT(G27,3),"Yes")),"Ok",IF(AND(EXACT(B27,"&lt;M&gt;"),EXACT(G27,"No")),"Warning! Knock-out!","No answer selected."))</f>
        <v>No answer selected.</v>
      </c>
      <c r="I27" s="58" t="s">
        <v>134</v>
      </c>
    </row>
    <row r="28" spans="1:9" ht="177.6" customHeight="1" thickBot="1" x14ac:dyDescent="0.3">
      <c r="A28" s="26" t="s">
        <v>21</v>
      </c>
      <c r="B28" s="26" t="s">
        <v>2</v>
      </c>
      <c r="C28" s="26" t="s">
        <v>424</v>
      </c>
      <c r="D28" s="36" t="s">
        <v>155</v>
      </c>
      <c r="E28" s="56" t="s">
        <v>134</v>
      </c>
      <c r="F28" s="44" t="s">
        <v>329</v>
      </c>
      <c r="G28" s="63" t="s">
        <v>297</v>
      </c>
      <c r="H28" s="35" t="str">
        <f>IF(       AND(EXACT(B28,"&lt;M&gt;"),EXACT(LEFT(G28,3),"Yes")),"Ok",IF(AND(EXACT(B28,"&lt;M&gt;"),EXACT(G28,"No")),"Warning! Knock-out!","No answer selected."))</f>
        <v>No answer selected.</v>
      </c>
      <c r="I28" s="56" t="s">
        <v>134</v>
      </c>
    </row>
    <row r="29" spans="1:9" ht="18" customHeight="1" thickBot="1" x14ac:dyDescent="0.3">
      <c r="A29" s="96" t="s">
        <v>334</v>
      </c>
      <c r="B29" s="96"/>
      <c r="C29" s="96"/>
      <c r="D29" s="96"/>
      <c r="E29" s="96"/>
      <c r="F29" s="96"/>
      <c r="G29" s="96"/>
      <c r="H29" s="96"/>
      <c r="I29" s="96"/>
    </row>
    <row r="30" spans="1:9" ht="106.5" customHeight="1" thickTop="1" thickBot="1" x14ac:dyDescent="0.3">
      <c r="A30" s="26" t="s">
        <v>22</v>
      </c>
      <c r="B30" s="26" t="s">
        <v>2</v>
      </c>
      <c r="C30" s="26" t="s">
        <v>168</v>
      </c>
      <c r="D30" s="36" t="s">
        <v>153</v>
      </c>
      <c r="E30" s="56" t="s">
        <v>134</v>
      </c>
      <c r="F30" s="18" t="s">
        <v>329</v>
      </c>
      <c r="G30" s="47" t="s">
        <v>297</v>
      </c>
      <c r="H30" s="35" t="str">
        <f>IF(AND(EXACT(B30,"&lt;M&gt;"),EXACT(G30,"Yes")),"Ok",IF(AND(EXACT(B30,"&lt;M&gt;"),EXACT(G30,"No")),"Warning! Knock-out!","No answer selected."))</f>
        <v>No answer selected.</v>
      </c>
      <c r="I30" s="58" t="s">
        <v>134</v>
      </c>
    </row>
    <row r="31" spans="1:9" ht="196.5" customHeight="1" thickBot="1" x14ac:dyDescent="0.3">
      <c r="A31" s="26" t="s">
        <v>151</v>
      </c>
      <c r="B31" s="26" t="s">
        <v>4</v>
      </c>
      <c r="C31" s="26" t="s">
        <v>217</v>
      </c>
      <c r="D31" s="36" t="s">
        <v>157</v>
      </c>
      <c r="E31" s="56">
        <f>'Technical Area'!A$58*100</f>
        <v>16.042780748663102</v>
      </c>
      <c r="F31" s="34" t="s">
        <v>388</v>
      </c>
      <c r="G31" s="52" t="s">
        <v>296</v>
      </c>
      <c r="H31" s="35" t="str">
        <f>IF(NOT(EXACT(LEFT(G31,2),"No")),"The score will be assigned by the KNMI assessment team.","Warning! Knock-out!")</f>
        <v>The score will be assigned by the KNMI assessment team.</v>
      </c>
      <c r="I31" s="56" t="e">
        <f>H31*E31</f>
        <v>#VALUE!</v>
      </c>
    </row>
    <row r="32" spans="1:9" ht="198.75" thickBot="1" x14ac:dyDescent="0.3">
      <c r="A32" s="26" t="s">
        <v>23</v>
      </c>
      <c r="B32" s="26" t="s">
        <v>4</v>
      </c>
      <c r="C32" s="26" t="s">
        <v>399</v>
      </c>
      <c r="D32" s="36" t="s">
        <v>157</v>
      </c>
      <c r="E32" s="56">
        <f>'Technical Area'!A$58*90</f>
        <v>14.438502673796792</v>
      </c>
      <c r="F32" s="34" t="s">
        <v>389</v>
      </c>
      <c r="G32" s="52" t="s">
        <v>296</v>
      </c>
      <c r="H32" s="35" t="str">
        <f>IF(NOT(EXACT(LEFT(G32,2),"No")),"The score will be assigned by the KNMI assessment team.","Warning! Knock-out!")</f>
        <v>The score will be assigned by the KNMI assessment team.</v>
      </c>
      <c r="I32" s="56" t="e">
        <f>H32*E32</f>
        <v>#VALUE!</v>
      </c>
    </row>
    <row r="33" spans="1:9" ht="182.25" thickBot="1" x14ac:dyDescent="0.3">
      <c r="A33" s="26" t="s">
        <v>24</v>
      </c>
      <c r="B33" s="26" t="s">
        <v>4</v>
      </c>
      <c r="C33" s="26" t="s">
        <v>364</v>
      </c>
      <c r="D33" s="36" t="s">
        <v>156</v>
      </c>
      <c r="E33" s="56">
        <f>'Technical Area'!A$58*10</f>
        <v>1.6042780748663101</v>
      </c>
      <c r="F33" s="34" t="s">
        <v>390</v>
      </c>
      <c r="G33" s="52" t="s">
        <v>296</v>
      </c>
      <c r="H33" s="35" t="str">
        <f>IF(NOT(EXACT(LEFT(G33,2),"No")),"The score will be assigned by the KNMI assessment team.",0)</f>
        <v>The score will be assigned by the KNMI assessment team.</v>
      </c>
      <c r="I33" s="56" t="e">
        <f>H33*E33</f>
        <v>#VALUE!</v>
      </c>
    </row>
    <row r="34" spans="1:9" s="68" customFormat="1" ht="50.25" thickBot="1" x14ac:dyDescent="0.3">
      <c r="A34" s="80" t="s">
        <v>25</v>
      </c>
      <c r="B34" s="80" t="s">
        <v>2</v>
      </c>
      <c r="C34" s="80" t="s">
        <v>433</v>
      </c>
      <c r="D34" s="81" t="s">
        <v>153</v>
      </c>
      <c r="E34" s="83" t="s">
        <v>134</v>
      </c>
      <c r="F34" s="44" t="s">
        <v>329</v>
      </c>
      <c r="G34" s="82" t="s">
        <v>297</v>
      </c>
      <c r="H34" s="35" t="str">
        <f>IF(AND(EXACT(B34,"&lt;M&gt;"),EXACT(G34,"Yes")),"Ok",IF(AND(EXACT(B34,"&lt;M&gt;"),EXACT(G34,"No")),"Warning! Knock-out!","No answer selected."))</f>
        <v>No answer selected.</v>
      </c>
      <c r="I34" s="83" t="s">
        <v>134</v>
      </c>
    </row>
    <row r="35" spans="1:9" ht="83.25" thickBot="1" x14ac:dyDescent="0.3">
      <c r="A35" s="26" t="s">
        <v>26</v>
      </c>
      <c r="B35" s="26" t="s">
        <v>2</v>
      </c>
      <c r="C35" s="26" t="s">
        <v>401</v>
      </c>
      <c r="D35" s="36" t="s">
        <v>153</v>
      </c>
      <c r="E35" s="56" t="s">
        <v>134</v>
      </c>
      <c r="F35" s="34" t="s">
        <v>329</v>
      </c>
      <c r="G35" s="48" t="s">
        <v>297</v>
      </c>
      <c r="H35" s="35" t="str">
        <f>IF(AND(EXACT(B35,"&lt;M&gt;"),EXACT(G35,"Yes")),"Ok",IF(AND(EXACT(B35,"&lt;M&gt;"),EXACT(G35,"No")),"Warning! Knock-out!","No answer selected."))</f>
        <v>No answer selected.</v>
      </c>
      <c r="I35" s="56" t="s">
        <v>134</v>
      </c>
    </row>
    <row r="36" spans="1:9" ht="66.75" thickBot="1" x14ac:dyDescent="0.3">
      <c r="A36" s="26" t="s">
        <v>27</v>
      </c>
      <c r="B36" s="26" t="s">
        <v>2</v>
      </c>
      <c r="C36" s="26" t="s">
        <v>202</v>
      </c>
      <c r="D36" s="36" t="s">
        <v>153</v>
      </c>
      <c r="E36" s="56" t="s">
        <v>134</v>
      </c>
      <c r="F36" s="34" t="s">
        <v>329</v>
      </c>
      <c r="G36" s="48" t="s">
        <v>297</v>
      </c>
      <c r="H36" s="35" t="str">
        <f>IF(AND(EXACT(B36,"&lt;M&gt;"),EXACT(G36,"Yes")),"Ok",IF(AND(EXACT(B36,"&lt;M&gt;"),EXACT(G36,"No")),"Warning! Knock-out!","No answer selected."))</f>
        <v>No answer selected.</v>
      </c>
      <c r="I36" s="56" t="s">
        <v>134</v>
      </c>
    </row>
    <row r="37" spans="1:9" ht="137.1" customHeight="1" thickBot="1" x14ac:dyDescent="0.3">
      <c r="A37" s="26" t="s">
        <v>28</v>
      </c>
      <c r="B37" s="26" t="s">
        <v>2</v>
      </c>
      <c r="C37" s="26" t="s">
        <v>402</v>
      </c>
      <c r="D37" s="36" t="s">
        <v>153</v>
      </c>
      <c r="E37" s="56" t="s">
        <v>134</v>
      </c>
      <c r="F37" s="34" t="s">
        <v>329</v>
      </c>
      <c r="G37" s="48" t="s">
        <v>297</v>
      </c>
      <c r="H37" s="35" t="str">
        <f>IF(AND(EXACT(B37,"&lt;M&gt;"),EXACT(G37,"Yes")),"Ok",IF(AND(EXACT(B37,"&lt;M&gt;"),EXACT(G37,"No")),"Warning! Knock-out!","No answer selected."))</f>
        <v>No answer selected.</v>
      </c>
      <c r="I37" s="56" t="s">
        <v>134</v>
      </c>
    </row>
    <row r="38" spans="1:9" ht="17.25" thickBot="1" x14ac:dyDescent="0.3">
      <c r="A38" s="11"/>
      <c r="B38" s="37"/>
      <c r="C38" s="11"/>
      <c r="D38" s="12"/>
      <c r="E38" s="56"/>
      <c r="F38" s="13"/>
      <c r="G38" s="13"/>
      <c r="H38" s="5"/>
      <c r="I38" s="56"/>
    </row>
    <row r="39" spans="1:9" ht="20.65" customHeight="1" thickBot="1" x14ac:dyDescent="0.3">
      <c r="A39" s="97" t="s">
        <v>335</v>
      </c>
      <c r="B39" s="97"/>
      <c r="C39" s="97"/>
      <c r="D39" s="97"/>
      <c r="E39" s="97"/>
      <c r="F39" s="97"/>
      <c r="G39" s="97"/>
      <c r="H39" s="97"/>
      <c r="I39" s="97"/>
    </row>
    <row r="40" spans="1:9" ht="18.600000000000001" customHeight="1" thickTop="1" thickBot="1" x14ac:dyDescent="0.3">
      <c r="A40" s="110" t="s">
        <v>336</v>
      </c>
      <c r="B40" s="110"/>
      <c r="C40" s="110"/>
      <c r="D40" s="110"/>
      <c r="E40" s="110"/>
      <c r="F40" s="110"/>
      <c r="G40" s="110"/>
      <c r="H40" s="110"/>
      <c r="I40" s="110"/>
    </row>
    <row r="41" spans="1:9" ht="67.5" thickTop="1" thickBot="1" x14ac:dyDescent="0.3">
      <c r="A41" s="26" t="s">
        <v>29</v>
      </c>
      <c r="B41" s="26" t="s">
        <v>2</v>
      </c>
      <c r="C41" s="26" t="s">
        <v>211</v>
      </c>
      <c r="D41" s="36" t="s">
        <v>153</v>
      </c>
      <c r="E41" s="56" t="s">
        <v>134</v>
      </c>
      <c r="F41" s="18" t="s">
        <v>329</v>
      </c>
      <c r="G41" s="48" t="s">
        <v>297</v>
      </c>
      <c r="H41" s="35" t="str">
        <f>IF(AND(EXACT(B41,"&lt;M&gt;"),EXACT(G41,"Yes")),"Ok",IF(AND(EXACT(B41,"&lt;M&gt;"),EXACT(G41,"No")),"Warning! Knock-out!","No answer selected."))</f>
        <v>No answer selected.</v>
      </c>
      <c r="I41" s="56" t="s">
        <v>134</v>
      </c>
    </row>
    <row r="42" spans="1:9" ht="33.75" thickBot="1" x14ac:dyDescent="0.3">
      <c r="A42" s="26" t="s">
        <v>30</v>
      </c>
      <c r="B42" s="26" t="s">
        <v>2</v>
      </c>
      <c r="C42" s="26" t="s">
        <v>169</v>
      </c>
      <c r="D42" s="36" t="s">
        <v>153</v>
      </c>
      <c r="E42" s="56" t="s">
        <v>134</v>
      </c>
      <c r="F42" s="44" t="s">
        <v>329</v>
      </c>
      <c r="G42" s="48" t="s">
        <v>297</v>
      </c>
      <c r="H42" s="35" t="str">
        <f>IF(AND(EXACT(B42,"&lt;M&gt;"),EXACT(G42,"Yes")),"Ok",IF(AND(EXACT(B42,"&lt;M&gt;"),EXACT(G42,"No")),"Warning! Knock-out!","No answer selected."))</f>
        <v>No answer selected.</v>
      </c>
      <c r="I42" s="56" t="s">
        <v>134</v>
      </c>
    </row>
    <row r="43" spans="1:9" ht="177" customHeight="1" thickBot="1" x14ac:dyDescent="0.3">
      <c r="A43" s="26" t="s">
        <v>31</v>
      </c>
      <c r="B43" s="26" t="s">
        <v>4</v>
      </c>
      <c r="C43" s="26" t="s">
        <v>218</v>
      </c>
      <c r="D43" s="36" t="s">
        <v>156</v>
      </c>
      <c r="E43" s="56">
        <f>'Technical Area'!A$58*50</f>
        <v>8.0213903743315509</v>
      </c>
      <c r="F43" s="34" t="s">
        <v>403</v>
      </c>
      <c r="G43" s="52" t="s">
        <v>296</v>
      </c>
      <c r="H43" s="35" t="str">
        <f>IF(NOT(EXACT(LEFT(G43,2),"No")),"The score will be assigned by the KNMI assessment team.",0)</f>
        <v>The score will be assigned by the KNMI assessment team.</v>
      </c>
      <c r="I43" s="56" t="e">
        <f>H43*E43</f>
        <v>#VALUE!</v>
      </c>
    </row>
    <row r="44" spans="1:9" ht="18" customHeight="1" thickBot="1" x14ac:dyDescent="0.3">
      <c r="A44" s="110" t="s">
        <v>337</v>
      </c>
      <c r="B44" s="110"/>
      <c r="C44" s="110"/>
      <c r="D44" s="110"/>
      <c r="E44" s="110"/>
      <c r="F44" s="110"/>
      <c r="G44" s="110"/>
      <c r="H44" s="110"/>
      <c r="I44" s="110"/>
    </row>
    <row r="45" spans="1:9" ht="67.5" thickTop="1" thickBot="1" x14ac:dyDescent="0.3">
      <c r="A45" s="26" t="s">
        <v>32</v>
      </c>
      <c r="B45" s="26" t="s">
        <v>2</v>
      </c>
      <c r="C45" s="26" t="s">
        <v>225</v>
      </c>
      <c r="D45" s="36" t="s">
        <v>153</v>
      </c>
      <c r="E45" s="56" t="s">
        <v>134</v>
      </c>
      <c r="F45" s="18" t="s">
        <v>329</v>
      </c>
      <c r="G45" s="48" t="s">
        <v>297</v>
      </c>
      <c r="H45" s="35" t="str">
        <f>IF(AND(EXACT(B45,"&lt;M&gt;"),EXACT(G45,"Yes")),"Ok",IF(AND(EXACT(B45,"&lt;M&gt;"),EXACT(G45,"No")),"Warning! Knock-out!","No answer selected."))</f>
        <v>No answer selected.</v>
      </c>
      <c r="I45" s="56" t="s">
        <v>134</v>
      </c>
    </row>
    <row r="46" spans="1:9" ht="33.75" thickBot="1" x14ac:dyDescent="0.3">
      <c r="A46" s="26" t="s">
        <v>33</v>
      </c>
      <c r="B46" s="26" t="s">
        <v>2</v>
      </c>
      <c r="C46" s="26" t="s">
        <v>138</v>
      </c>
      <c r="D46" s="36" t="s">
        <v>153</v>
      </c>
      <c r="E46" s="56" t="s">
        <v>134</v>
      </c>
      <c r="F46" s="44" t="s">
        <v>329</v>
      </c>
      <c r="G46" s="48" t="s">
        <v>297</v>
      </c>
      <c r="H46" s="35" t="str">
        <f>IF(AND(EXACT(B46,"&lt;M&gt;"),EXACT(G46,"Yes")),"Ok",IF(AND(EXACT(B46,"&lt;M&gt;"),EXACT(G46,"No")),"Warning! Knock-out!","No answer selected."))</f>
        <v>No answer selected.</v>
      </c>
      <c r="I46" s="56" t="s">
        <v>134</v>
      </c>
    </row>
    <row r="47" spans="1:9" ht="187.5" customHeight="1" thickBot="1" x14ac:dyDescent="0.3">
      <c r="A47" s="26" t="s">
        <v>34</v>
      </c>
      <c r="B47" s="26" t="s">
        <v>4</v>
      </c>
      <c r="C47" s="26" t="s">
        <v>219</v>
      </c>
      <c r="D47" s="36" t="s">
        <v>156</v>
      </c>
      <c r="E47" s="56">
        <f>'Technical Area'!A$58*20</f>
        <v>3.2085561497326203</v>
      </c>
      <c r="F47" s="34" t="s">
        <v>391</v>
      </c>
      <c r="G47" s="52" t="s">
        <v>296</v>
      </c>
      <c r="H47" s="35" t="str">
        <f>IF(NOT(EXACT(LEFT(G47,2),"No")),"The score will be assigned by the KNMI assessment team.",0)</f>
        <v>The score will be assigned by the KNMI assessment team.</v>
      </c>
      <c r="I47" s="56" t="e">
        <f>H47*E47</f>
        <v>#VALUE!</v>
      </c>
    </row>
    <row r="48" spans="1:9" ht="16.5" customHeight="1" thickBot="1" x14ac:dyDescent="0.3">
      <c r="A48" s="96" t="s">
        <v>338</v>
      </c>
      <c r="B48" s="96"/>
      <c r="C48" s="96"/>
      <c r="D48" s="96"/>
      <c r="E48" s="96"/>
      <c r="F48" s="96"/>
      <c r="G48" s="96"/>
      <c r="H48" s="96"/>
      <c r="I48" s="96"/>
    </row>
    <row r="49" spans="1:9" ht="189.6" customHeight="1" thickTop="1" thickBot="1" x14ac:dyDescent="0.3">
      <c r="A49" s="26" t="s">
        <v>35</v>
      </c>
      <c r="B49" s="26" t="s">
        <v>4</v>
      </c>
      <c r="C49" s="26" t="s">
        <v>226</v>
      </c>
      <c r="D49" s="36" t="s">
        <v>156</v>
      </c>
      <c r="E49" s="56">
        <f>'Technical Area'!A$58*40</f>
        <v>6.4171122994652405</v>
      </c>
      <c r="F49" s="34" t="s">
        <v>392</v>
      </c>
      <c r="G49" s="52" t="s">
        <v>296</v>
      </c>
      <c r="H49" s="35" t="str">
        <f>IF(NOT(EXACT(LEFT(G49,2),"No")),"The score will be assigned by the KNMI assessment team.",0)</f>
        <v>The score will be assigned by the KNMI assessment team.</v>
      </c>
      <c r="I49" s="56" t="e">
        <f>H49*E49</f>
        <v>#VALUE!</v>
      </c>
    </row>
    <row r="50" spans="1:9" ht="18" customHeight="1" thickBot="1" x14ac:dyDescent="0.3">
      <c r="A50" s="96" t="s">
        <v>339</v>
      </c>
      <c r="B50" s="96"/>
      <c r="C50" s="96"/>
      <c r="D50" s="96"/>
      <c r="E50" s="96"/>
      <c r="F50" s="96"/>
      <c r="G50" s="96"/>
      <c r="H50" s="96"/>
      <c r="I50" s="96"/>
    </row>
    <row r="51" spans="1:9" ht="199.9" customHeight="1" thickTop="1" thickBot="1" x14ac:dyDescent="0.3">
      <c r="A51" s="26" t="s">
        <v>36</v>
      </c>
      <c r="B51" s="26" t="s">
        <v>4</v>
      </c>
      <c r="C51" s="26" t="s">
        <v>263</v>
      </c>
      <c r="D51" s="36" t="s">
        <v>156</v>
      </c>
      <c r="E51" s="56">
        <f>'Technical Area'!A$58*10</f>
        <v>1.6042780748663101</v>
      </c>
      <c r="F51" s="34" t="s">
        <v>392</v>
      </c>
      <c r="G51" s="52" t="s">
        <v>296</v>
      </c>
      <c r="H51" s="35" t="str">
        <f>IF(NOT(EXACT(LEFT(G51,2),"No")),"The score will be assigned by the KNMI assessment team.",0)</f>
        <v>The score will be assigned by the KNMI assessment team.</v>
      </c>
      <c r="I51" s="56" t="e">
        <f>H51*E51</f>
        <v>#VALUE!</v>
      </c>
    </row>
    <row r="52" spans="1:9" ht="18" customHeight="1" thickBot="1" x14ac:dyDescent="0.3">
      <c r="A52" s="96" t="s">
        <v>200</v>
      </c>
      <c r="B52" s="96"/>
      <c r="C52" s="96"/>
      <c r="D52" s="96"/>
      <c r="E52" s="96"/>
      <c r="F52" s="96"/>
      <c r="G52" s="96"/>
      <c r="H52" s="96"/>
      <c r="I52" s="96"/>
    </row>
    <row r="53" spans="1:9" ht="117" thickTop="1" thickBot="1" x14ac:dyDescent="0.3">
      <c r="A53" s="26" t="s">
        <v>37</v>
      </c>
      <c r="B53" s="26" t="s">
        <v>2</v>
      </c>
      <c r="C53" s="26" t="s">
        <v>366</v>
      </c>
      <c r="D53" s="36" t="s">
        <v>155</v>
      </c>
      <c r="E53" s="56" t="s">
        <v>134</v>
      </c>
      <c r="F53" s="34" t="s">
        <v>404</v>
      </c>
      <c r="G53" s="48" t="s">
        <v>297</v>
      </c>
      <c r="H53" s="35" t="str">
        <f>IF(AND(EXACT(B53,"&lt;M&gt;"),EXACT(LEFT(G53,3),"Yes")),"Ok",IF(AND(EXACT(B53,"&lt;M&gt;"),EXACT(LEFT(G53,2),"No")),"Warning! Knock-out!","No answer selected."))</f>
        <v>No answer selected.</v>
      </c>
      <c r="I53" s="58" t="s">
        <v>134</v>
      </c>
    </row>
    <row r="54" spans="1:9" ht="17.25" customHeight="1" thickBot="1" x14ac:dyDescent="0.3">
      <c r="A54" s="11"/>
      <c r="B54" s="37"/>
      <c r="C54" s="11"/>
      <c r="D54" s="12"/>
      <c r="E54" s="56"/>
      <c r="F54" s="13"/>
      <c r="G54" s="13"/>
      <c r="H54" s="5"/>
      <c r="I54" s="56"/>
    </row>
    <row r="55" spans="1:9" ht="20.65" customHeight="1" thickBot="1" x14ac:dyDescent="0.3">
      <c r="A55" s="97" t="s">
        <v>340</v>
      </c>
      <c r="B55" s="97"/>
      <c r="C55" s="97"/>
      <c r="D55" s="97"/>
      <c r="E55" s="97"/>
      <c r="F55" s="97"/>
      <c r="G55" s="97"/>
      <c r="H55" s="97"/>
      <c r="I55" s="97"/>
    </row>
    <row r="56" spans="1:9" ht="18.600000000000001" customHeight="1" thickTop="1" thickBot="1" x14ac:dyDescent="0.3">
      <c r="A56" s="98" t="s">
        <v>341</v>
      </c>
      <c r="B56" s="98"/>
      <c r="C56" s="98"/>
      <c r="D56" s="98"/>
      <c r="E56" s="98"/>
      <c r="F56" s="98"/>
      <c r="G56" s="98"/>
      <c r="H56" s="98"/>
      <c r="I56" s="98"/>
    </row>
    <row r="57" spans="1:9" ht="51" thickTop="1" thickBot="1" x14ac:dyDescent="0.3">
      <c r="A57" s="26" t="s">
        <v>38</v>
      </c>
      <c r="B57" s="26" t="s">
        <v>2</v>
      </c>
      <c r="C57" s="26" t="s">
        <v>284</v>
      </c>
      <c r="D57" s="36" t="s">
        <v>153</v>
      </c>
      <c r="E57" s="56" t="s">
        <v>134</v>
      </c>
      <c r="F57" s="34" t="s">
        <v>329</v>
      </c>
      <c r="G57" s="50" t="s">
        <v>297</v>
      </c>
      <c r="H57" s="35" t="str">
        <f>IF(AND(EXACT(B57,"&lt;M&gt;"),EXACT(G57,"Yes")),"Ok",IF(AND(EXACT(B57,"&lt;M&gt;"),EXACT(G57,"No")),"Warning! Knock-out!","No answer selected."))</f>
        <v>No answer selected.</v>
      </c>
      <c r="I57" s="58" t="s">
        <v>134</v>
      </c>
    </row>
    <row r="58" spans="1:9" ht="50.25" thickBot="1" x14ac:dyDescent="0.3">
      <c r="A58" s="26" t="s">
        <v>39</v>
      </c>
      <c r="B58" s="26" t="s">
        <v>2</v>
      </c>
      <c r="C58" s="26" t="s">
        <v>43</v>
      </c>
      <c r="D58" s="36" t="s">
        <v>153</v>
      </c>
      <c r="E58" s="56" t="s">
        <v>134</v>
      </c>
      <c r="F58" s="44" t="s">
        <v>329</v>
      </c>
      <c r="G58" s="48" t="s">
        <v>297</v>
      </c>
      <c r="H58" s="35" t="str">
        <f>IF(AND(EXACT(B58,"&lt;M&gt;"),EXACT(G58,"Yes")),"Ok",IF(AND(EXACT(B58,"&lt;M&gt;"),EXACT(G58,"No")),"Warning! Knock-out!","No answer selected."))</f>
        <v>No answer selected.</v>
      </c>
      <c r="I58" s="56" t="s">
        <v>134</v>
      </c>
    </row>
    <row r="59" spans="1:9" ht="50.25" thickBot="1" x14ac:dyDescent="0.3">
      <c r="A59" s="26" t="s">
        <v>40</v>
      </c>
      <c r="B59" s="26" t="s">
        <v>2</v>
      </c>
      <c r="C59" s="26" t="s">
        <v>141</v>
      </c>
      <c r="D59" s="36" t="s">
        <v>153</v>
      </c>
      <c r="E59" s="56" t="s">
        <v>134</v>
      </c>
      <c r="F59" s="44" t="s">
        <v>329</v>
      </c>
      <c r="G59" s="48" t="s">
        <v>297</v>
      </c>
      <c r="H59" s="35" t="str">
        <f>IF(AND(EXACT(B59,"&lt;M&gt;"),EXACT(G59,"Yes")),"Ok",IF(AND(EXACT(B59,"&lt;M&gt;"),EXACT(G59,"No")),"Warning! Knock-out!","No answer selected."))</f>
        <v>No answer selected.</v>
      </c>
      <c r="I59" s="56" t="s">
        <v>134</v>
      </c>
    </row>
    <row r="60" spans="1:9" ht="50.25" thickBot="1" x14ac:dyDescent="0.3">
      <c r="A60" s="26" t="s">
        <v>41</v>
      </c>
      <c r="B60" s="26" t="s">
        <v>2</v>
      </c>
      <c r="C60" s="26" t="s">
        <v>203</v>
      </c>
      <c r="D60" s="36" t="s">
        <v>153</v>
      </c>
      <c r="E60" s="56" t="s">
        <v>134</v>
      </c>
      <c r="F60" s="44" t="s">
        <v>329</v>
      </c>
      <c r="G60" s="48" t="s">
        <v>297</v>
      </c>
      <c r="H60" s="35" t="str">
        <f>IF(AND(EXACT(B60,"&lt;M&gt;"),EXACT(G60,"Yes")),"Ok",IF(AND(EXACT(B60,"&lt;M&gt;"),EXACT(G60,"No")),"Warning! Knock-out!","No answer selected."))</f>
        <v>No answer selected.</v>
      </c>
      <c r="I60" s="56" t="s">
        <v>134</v>
      </c>
    </row>
    <row r="61" spans="1:9" ht="50.25" thickBot="1" x14ac:dyDescent="0.3">
      <c r="A61" s="26" t="s">
        <v>42</v>
      </c>
      <c r="B61" s="26" t="s">
        <v>2</v>
      </c>
      <c r="C61" s="26" t="s">
        <v>142</v>
      </c>
      <c r="D61" s="36" t="s">
        <v>153</v>
      </c>
      <c r="E61" s="56" t="s">
        <v>134</v>
      </c>
      <c r="F61" s="44" t="s">
        <v>329</v>
      </c>
      <c r="G61" s="48" t="s">
        <v>297</v>
      </c>
      <c r="H61" s="35" t="str">
        <f>IF(AND(EXACT(B61,"&lt;M&gt;"),EXACT(G61,"Yes")),"Ok",IF(AND(EXACT(B61,"&lt;M&gt;"),EXACT(G61,"No")),"Warning! Knock-out!","No answer selected."))</f>
        <v>No answer selected.</v>
      </c>
      <c r="I61" s="56" t="s">
        <v>134</v>
      </c>
    </row>
    <row r="62" spans="1:9" ht="66.75" thickBot="1" x14ac:dyDescent="0.3">
      <c r="A62" s="26" t="s">
        <v>44</v>
      </c>
      <c r="B62" s="26" t="s">
        <v>4</v>
      </c>
      <c r="C62" s="26" t="s">
        <v>220</v>
      </c>
      <c r="D62" s="36" t="s">
        <v>154</v>
      </c>
      <c r="E62" s="56">
        <f>'Technical Area'!A$58*10</f>
        <v>1.6042780748663101</v>
      </c>
      <c r="F62" s="34" t="s">
        <v>449</v>
      </c>
      <c r="G62" s="48" t="s">
        <v>297</v>
      </c>
      <c r="H62" s="35" t="str">
        <f>IF(AND(EXACT(B62,"&lt;D&gt;"),EXACT(G62,"Yes")),5,IF(AND(EXACT(B62,"&lt;D&gt;"),EXACT(G62,"No")),0,"No answer selected."))</f>
        <v>No answer selected.</v>
      </c>
      <c r="I62" s="56" t="e">
        <f>H62*E62</f>
        <v>#VALUE!</v>
      </c>
    </row>
    <row r="63" spans="1:9" ht="66.75" thickBot="1" x14ac:dyDescent="0.3">
      <c r="A63" s="26" t="s">
        <v>45</v>
      </c>
      <c r="B63" s="26" t="s">
        <v>2</v>
      </c>
      <c r="C63" s="26" t="s">
        <v>441</v>
      </c>
      <c r="D63" s="36" t="s">
        <v>153</v>
      </c>
      <c r="E63" s="56" t="s">
        <v>134</v>
      </c>
      <c r="F63" s="44" t="s">
        <v>329</v>
      </c>
      <c r="G63" s="48" t="s">
        <v>297</v>
      </c>
      <c r="H63" s="35" t="str">
        <f>IF(AND(EXACT(B63,"&lt;M&gt;"),EXACT(G63,"Yes")),"Ok",IF(AND(EXACT(B63,"&lt;M&gt;"),EXACT(G63,"No")),"Warning! Knock-out!","No answer selected."))</f>
        <v>No answer selected.</v>
      </c>
      <c r="I63" s="56" t="s">
        <v>134</v>
      </c>
    </row>
    <row r="64" spans="1:9" ht="18" customHeight="1" thickBot="1" x14ac:dyDescent="0.3">
      <c r="A64" s="96" t="s">
        <v>342</v>
      </c>
      <c r="B64" s="96"/>
      <c r="C64" s="96"/>
      <c r="D64" s="96"/>
      <c r="E64" s="96"/>
      <c r="F64" s="96"/>
      <c r="G64" s="96"/>
      <c r="H64" s="96"/>
      <c r="I64" s="96"/>
    </row>
    <row r="65" spans="1:9" ht="104.1" customHeight="1" thickTop="1" thickBot="1" x14ac:dyDescent="0.3">
      <c r="A65" s="26" t="s">
        <v>170</v>
      </c>
      <c r="B65" s="26" t="s">
        <v>2</v>
      </c>
      <c r="C65" s="26" t="s">
        <v>405</v>
      </c>
      <c r="D65" s="36" t="s">
        <v>155</v>
      </c>
      <c r="E65" s="56" t="s">
        <v>134</v>
      </c>
      <c r="F65" s="44" t="s">
        <v>329</v>
      </c>
      <c r="G65" s="50" t="s">
        <v>297</v>
      </c>
      <c r="H65" s="35" t="str">
        <f>IF(AND(EXACT(B65,"&lt;M&gt;"),EXACT(LEFT(G65,3),"Yes")),"Ok",IF(AND(EXACT(B65,"&lt;M&gt;"),EXACT(G65,"No")),"Warning! Knock-out!","No answer selected."))</f>
        <v>No answer selected.</v>
      </c>
      <c r="I65" s="58" t="s">
        <v>134</v>
      </c>
    </row>
    <row r="66" spans="1:9" ht="18" customHeight="1" thickBot="1" x14ac:dyDescent="0.3">
      <c r="A66" s="116" t="s">
        <v>46</v>
      </c>
      <c r="B66" s="116" t="s">
        <v>4</v>
      </c>
      <c r="C66" s="116" t="s">
        <v>204</v>
      </c>
      <c r="D66" s="129" t="s">
        <v>156</v>
      </c>
      <c r="E66" s="115">
        <f>'Technical Area'!A$58*15</f>
        <v>2.4064171122994651</v>
      </c>
      <c r="F66" s="129" t="s">
        <v>450</v>
      </c>
      <c r="G66" s="48" t="s">
        <v>297</v>
      </c>
      <c r="H66" s="130" t="str">
        <f>IF(NOT(EXACT(LEFT(G66,2),"No")),"The score will be assigned by the KNMI assessment team.",0)</f>
        <v>The score will be assigned by the KNMI assessment team.</v>
      </c>
      <c r="I66" s="115" t="e">
        <f>H66*E66</f>
        <v>#VALUE!</v>
      </c>
    </row>
    <row r="67" spans="1:9" s="32" customFormat="1" ht="83.25" thickBot="1" x14ac:dyDescent="0.3">
      <c r="A67" s="117"/>
      <c r="B67" s="117"/>
      <c r="C67" s="117"/>
      <c r="D67" s="101"/>
      <c r="E67" s="104"/>
      <c r="F67" s="101"/>
      <c r="G67" s="48" t="s">
        <v>289</v>
      </c>
      <c r="H67" s="107"/>
      <c r="I67" s="104"/>
    </row>
    <row r="68" spans="1:9" ht="33.75" thickBot="1" x14ac:dyDescent="0.3">
      <c r="A68" s="26" t="s">
        <v>47</v>
      </c>
      <c r="B68" s="26" t="s">
        <v>2</v>
      </c>
      <c r="C68" s="26" t="s">
        <v>283</v>
      </c>
      <c r="D68" s="36" t="s">
        <v>153</v>
      </c>
      <c r="E68" s="56" t="s">
        <v>134</v>
      </c>
      <c r="F68" s="44" t="s">
        <v>329</v>
      </c>
      <c r="G68" s="48" t="s">
        <v>297</v>
      </c>
      <c r="H68" s="35" t="str">
        <f>IF(AND(EXACT(B68,"&lt;M&gt;"),EXACT(G68,"Yes")),"Ok",IF(AND(EXACT(B68,"&lt;M&gt;"),EXACT(G68,"No")),"Warning! Knock-out!","No answer selected."))</f>
        <v>No answer selected.</v>
      </c>
      <c r="I68" s="56" t="s">
        <v>134</v>
      </c>
    </row>
    <row r="69" spans="1:9" ht="107.25" customHeight="1" thickBot="1" x14ac:dyDescent="0.3">
      <c r="A69" s="26" t="s">
        <v>48</v>
      </c>
      <c r="B69" s="26" t="s">
        <v>2</v>
      </c>
      <c r="C69" s="26" t="s">
        <v>189</v>
      </c>
      <c r="D69" s="36" t="s">
        <v>153</v>
      </c>
      <c r="E69" s="56" t="s">
        <v>134</v>
      </c>
      <c r="F69" s="44" t="s">
        <v>329</v>
      </c>
      <c r="G69" s="48" t="s">
        <v>297</v>
      </c>
      <c r="H69" s="35" t="str">
        <f>IF(AND(EXACT(B69,"&lt;M&gt;"),EXACT(G69,"Yes")),"Ok",IF(AND(EXACT(B69,"&lt;M&gt;"),EXACT(G69,"No")),"Warning! Knock-out!","No answer selected."))</f>
        <v>No answer selected.</v>
      </c>
      <c r="I69" s="56" t="s">
        <v>134</v>
      </c>
    </row>
    <row r="70" spans="1:9" ht="33.75" thickBot="1" x14ac:dyDescent="0.3">
      <c r="A70" s="26" t="s">
        <v>49</v>
      </c>
      <c r="B70" s="26" t="s">
        <v>2</v>
      </c>
      <c r="C70" s="26" t="s">
        <v>55</v>
      </c>
      <c r="D70" s="36" t="s">
        <v>153</v>
      </c>
      <c r="E70" s="56" t="s">
        <v>134</v>
      </c>
      <c r="F70" s="44" t="s">
        <v>329</v>
      </c>
      <c r="G70" s="48" t="s">
        <v>297</v>
      </c>
      <c r="H70" s="35" t="str">
        <f>IF(AND(EXACT(B70,"&lt;M&gt;"),EXACT(G70,"Yes")),"Ok",IF(AND(EXACT(B70,"&lt;M&gt;"),EXACT(G70,"No")),"Warning! Knock-out!","No answer selected."))</f>
        <v>No answer selected.</v>
      </c>
      <c r="I70" s="56" t="s">
        <v>134</v>
      </c>
    </row>
    <row r="71" spans="1:9" ht="66.75" thickBot="1" x14ac:dyDescent="0.3">
      <c r="A71" s="26" t="s">
        <v>50</v>
      </c>
      <c r="B71" s="26" t="s">
        <v>2</v>
      </c>
      <c r="C71" s="26" t="s">
        <v>406</v>
      </c>
      <c r="D71" s="36" t="s">
        <v>153</v>
      </c>
      <c r="E71" s="56" t="s">
        <v>134</v>
      </c>
      <c r="F71" s="44" t="s">
        <v>329</v>
      </c>
      <c r="G71" s="48" t="s">
        <v>297</v>
      </c>
      <c r="H71" s="35" t="str">
        <f>IF(AND(EXACT(B71,"&lt;M&gt;"),EXACT(G71,"Yes")),"Ok",IF(AND(EXACT(B71,"&lt;M&gt;"),EXACT(G71,"No")),"Warning! Knock-out!","No answer selected."))</f>
        <v>No answer selected.</v>
      </c>
      <c r="I71" s="56" t="s">
        <v>134</v>
      </c>
    </row>
    <row r="72" spans="1:9" ht="83.25" thickBot="1" x14ac:dyDescent="0.3">
      <c r="A72" s="4" t="s">
        <v>51</v>
      </c>
      <c r="B72" s="26" t="s">
        <v>2</v>
      </c>
      <c r="C72" s="26" t="s">
        <v>143</v>
      </c>
      <c r="D72" s="36" t="s">
        <v>153</v>
      </c>
      <c r="E72" s="56" t="s">
        <v>134</v>
      </c>
      <c r="F72" s="44" t="s">
        <v>329</v>
      </c>
      <c r="G72" s="48" t="s">
        <v>297</v>
      </c>
      <c r="H72" s="35" t="str">
        <f>IF(AND(EXACT(B72,"&lt;M&gt;"),EXACT(G72,"Yes")),"Ok",IF(AND(EXACT(B72,"&lt;M&gt;"),EXACT(G72,"No")),"Warning! Knock-out!","No answer selected."))</f>
        <v>No answer selected.</v>
      </c>
      <c r="I72" s="56" t="s">
        <v>134</v>
      </c>
    </row>
    <row r="73" spans="1:9" ht="18" customHeight="1" thickBot="1" x14ac:dyDescent="0.3">
      <c r="A73" s="96" t="s">
        <v>343</v>
      </c>
      <c r="B73" s="96"/>
      <c r="C73" s="96"/>
      <c r="D73" s="96"/>
      <c r="E73" s="96"/>
      <c r="F73" s="96"/>
      <c r="G73" s="96"/>
      <c r="H73" s="96"/>
      <c r="I73" s="96"/>
    </row>
    <row r="74" spans="1:9" ht="51" thickTop="1" thickBot="1" x14ac:dyDescent="0.3">
      <c r="A74" s="21" t="s">
        <v>52</v>
      </c>
      <c r="B74" s="21" t="s">
        <v>2</v>
      </c>
      <c r="C74" s="21" t="s">
        <v>59</v>
      </c>
      <c r="D74" s="22" t="s">
        <v>153</v>
      </c>
      <c r="E74" s="58" t="s">
        <v>134</v>
      </c>
      <c r="F74" s="44" t="s">
        <v>329</v>
      </c>
      <c r="G74" s="50" t="s">
        <v>297</v>
      </c>
      <c r="H74" s="35" t="str">
        <f>IF(AND(EXACT(B74,"&lt;M&gt;"),EXACT(G74,"Yes")),"Ok",IF(AND(EXACT(B74,"&lt;M&gt;"),EXACT(G74,"No")),"Warning! Knock-out!","No answer selected."))</f>
        <v>No answer selected.</v>
      </c>
      <c r="I74" s="58" t="s">
        <v>134</v>
      </c>
    </row>
    <row r="75" spans="1:9" ht="33.75" thickBot="1" x14ac:dyDescent="0.3">
      <c r="A75" s="26" t="s">
        <v>53</v>
      </c>
      <c r="B75" s="26" t="s">
        <v>2</v>
      </c>
      <c r="C75" s="26" t="s">
        <v>205</v>
      </c>
      <c r="D75" s="36" t="s">
        <v>153</v>
      </c>
      <c r="E75" s="56" t="s">
        <v>134</v>
      </c>
      <c r="F75" s="44" t="s">
        <v>329</v>
      </c>
      <c r="G75" s="48" t="s">
        <v>297</v>
      </c>
      <c r="H75" s="35" t="str">
        <f>IF(AND(EXACT(B75,"&lt;M&gt;"),EXACT(G75,"Yes")),"Ok",IF(AND(EXACT(B75,"&lt;M&gt;"),EXACT(G75,"No")),"Warning! Knock-out!","No answer selected."))</f>
        <v>No answer selected.</v>
      </c>
      <c r="I75" s="56" t="s">
        <v>134</v>
      </c>
    </row>
    <row r="76" spans="1:9" ht="50.25" thickBot="1" x14ac:dyDescent="0.3">
      <c r="A76" s="26" t="s">
        <v>54</v>
      </c>
      <c r="B76" s="26" t="s">
        <v>2</v>
      </c>
      <c r="C76" s="26" t="s">
        <v>206</v>
      </c>
      <c r="D76" s="36" t="s">
        <v>153</v>
      </c>
      <c r="E76" s="56" t="s">
        <v>134</v>
      </c>
      <c r="F76" s="44" t="s">
        <v>329</v>
      </c>
      <c r="G76" s="48" t="s">
        <v>297</v>
      </c>
      <c r="H76" s="35" t="str">
        <f>IF(AND(EXACT(B76,"&lt;M&gt;"),EXACT(G76,"Yes")),"Ok",IF(AND(EXACT(B76,"&lt;M&gt;"),EXACT(G76,"No")),"Warning! Knock-out!","No answer selected."))</f>
        <v>No answer selected.</v>
      </c>
      <c r="I76" s="56" t="s">
        <v>134</v>
      </c>
    </row>
    <row r="77" spans="1:9" ht="99.75" thickBot="1" x14ac:dyDescent="0.3">
      <c r="A77" s="26" t="s">
        <v>56</v>
      </c>
      <c r="B77" s="26" t="s">
        <v>2</v>
      </c>
      <c r="C77" s="26" t="s">
        <v>407</v>
      </c>
      <c r="D77" s="36" t="s">
        <v>153</v>
      </c>
      <c r="E77" s="56" t="s">
        <v>134</v>
      </c>
      <c r="F77" s="44" t="s">
        <v>329</v>
      </c>
      <c r="G77" s="48" t="s">
        <v>297</v>
      </c>
      <c r="H77" s="35" t="str">
        <f>IF(AND(EXACT(B77,"&lt;M&gt;"),EXACT(G77,"Yes")),"Ok",IF(AND(EXACT(B77,"&lt;M&gt;"),EXACT(G77,"No")),"Warning! Knock-out!","No answer selected."))</f>
        <v>No answer selected.</v>
      </c>
      <c r="I77" s="56" t="s">
        <v>134</v>
      </c>
    </row>
    <row r="78" spans="1:9" ht="33.75" thickBot="1" x14ac:dyDescent="0.3">
      <c r="A78" s="26" t="s">
        <v>57</v>
      </c>
      <c r="B78" s="26" t="s">
        <v>2</v>
      </c>
      <c r="C78" s="26" t="s">
        <v>242</v>
      </c>
      <c r="D78" s="36" t="s">
        <v>153</v>
      </c>
      <c r="E78" s="56" t="s">
        <v>134</v>
      </c>
      <c r="F78" s="44" t="s">
        <v>329</v>
      </c>
      <c r="G78" s="48" t="s">
        <v>297</v>
      </c>
      <c r="H78" s="35" t="str">
        <f>IF(AND(EXACT(B78,"&lt;M&gt;"),EXACT(G78,"Yes")),"Ok",IF(AND(EXACT(B78,"&lt;M&gt;"),EXACT(G78,"No")),"Warning! Knock-out!","No answer selected."))</f>
        <v>No answer selected.</v>
      </c>
      <c r="I78" s="56" t="s">
        <v>134</v>
      </c>
    </row>
    <row r="79" spans="1:9" ht="50.25" thickBot="1" x14ac:dyDescent="0.3">
      <c r="A79" s="26" t="s">
        <v>58</v>
      </c>
      <c r="B79" s="26" t="s">
        <v>4</v>
      </c>
      <c r="C79" s="26" t="s">
        <v>144</v>
      </c>
      <c r="D79" s="36" t="s">
        <v>154</v>
      </c>
      <c r="E79" s="56">
        <f>'Technical Area'!A$58*5</f>
        <v>0.80213903743315507</v>
      </c>
      <c r="F79" s="34" t="s">
        <v>451</v>
      </c>
      <c r="G79" s="48" t="s">
        <v>297</v>
      </c>
      <c r="H79" s="35" t="str">
        <f>IF(AND(EXACT(B79,"&lt;D&gt;"),EXACT(G79,"Yes")),5,IF(AND(EXACT(B79,"&lt;D&gt;"),EXACT(G79,"No")),0,"No answer selected."))</f>
        <v>No answer selected.</v>
      </c>
      <c r="I79" s="56" t="e">
        <f>H79*E79</f>
        <v>#VALUE!</v>
      </c>
    </row>
    <row r="80" spans="1:9" ht="18" customHeight="1" thickBot="1" x14ac:dyDescent="0.3">
      <c r="A80" s="96" t="s">
        <v>344</v>
      </c>
      <c r="B80" s="96"/>
      <c r="C80" s="96"/>
      <c r="D80" s="96"/>
      <c r="E80" s="96"/>
      <c r="F80" s="96"/>
      <c r="G80" s="96"/>
      <c r="H80" s="96"/>
      <c r="I80" s="96"/>
    </row>
    <row r="81" spans="1:9" ht="67.5" thickTop="1" thickBot="1" x14ac:dyDescent="0.3">
      <c r="A81" s="21" t="s">
        <v>60</v>
      </c>
      <c r="B81" s="21" t="s">
        <v>2</v>
      </c>
      <c r="C81" s="21" t="s">
        <v>65</v>
      </c>
      <c r="D81" s="22" t="s">
        <v>153</v>
      </c>
      <c r="E81" s="58" t="s">
        <v>134</v>
      </c>
      <c r="F81" s="44" t="s">
        <v>329</v>
      </c>
      <c r="G81" s="50" t="s">
        <v>297</v>
      </c>
      <c r="H81" s="35" t="str">
        <f>IF(AND(EXACT(B81,"&lt;M&gt;"),EXACT(G81,"Yes")),"Ok",IF(AND(EXACT(B81,"&lt;M&gt;"),EXACT(G81,"No")),"Warning! Knock-out!","No answer selected."))</f>
        <v>No answer selected.</v>
      </c>
      <c r="I81" s="58" t="s">
        <v>134</v>
      </c>
    </row>
    <row r="82" spans="1:9" ht="50.25" thickBot="1" x14ac:dyDescent="0.3">
      <c r="A82" s="26" t="s">
        <v>61</v>
      </c>
      <c r="B82" s="26" t="s">
        <v>2</v>
      </c>
      <c r="C82" s="26" t="s">
        <v>408</v>
      </c>
      <c r="D82" s="36" t="s">
        <v>153</v>
      </c>
      <c r="E82" s="56" t="s">
        <v>134</v>
      </c>
      <c r="F82" s="44" t="s">
        <v>329</v>
      </c>
      <c r="G82" s="48" t="s">
        <v>297</v>
      </c>
      <c r="H82" s="35" t="str">
        <f>IF(AND(EXACT(B82,"&lt;M&gt;"),EXACT(G82,"Yes")),"Ok",IF(AND(EXACT(B82,"&lt;M&gt;"),EXACT(G82,"No")),"Warning! Knock-out!","No answer selected."))</f>
        <v>No answer selected.</v>
      </c>
      <c r="I82" s="56" t="s">
        <v>134</v>
      </c>
    </row>
    <row r="83" spans="1:9" ht="258.75" customHeight="1" thickBot="1" x14ac:dyDescent="0.3">
      <c r="A83" s="26" t="s">
        <v>62</v>
      </c>
      <c r="B83" s="26" t="s">
        <v>2</v>
      </c>
      <c r="C83" s="26" t="s">
        <v>425</v>
      </c>
      <c r="D83" s="36" t="s">
        <v>153</v>
      </c>
      <c r="E83" s="56" t="s">
        <v>134</v>
      </c>
      <c r="F83" s="44" t="s">
        <v>329</v>
      </c>
      <c r="G83" s="48" t="s">
        <v>297</v>
      </c>
      <c r="H83" s="35" t="str">
        <f>IF(AND(EXACT(B83,"&lt;M&gt;"),EXACT(G83,"Yes")),"Ok",IF(AND(EXACT(B83,"&lt;M&gt;"),EXACT(G83,"No")),"Warning! Knock-out!","No answer selected."))</f>
        <v>No answer selected.</v>
      </c>
      <c r="I83" s="56" t="s">
        <v>134</v>
      </c>
    </row>
    <row r="84" spans="1:9" ht="17.25" customHeight="1" thickBot="1" x14ac:dyDescent="0.3">
      <c r="A84" s="11"/>
      <c r="B84" s="37"/>
      <c r="C84" s="11"/>
      <c r="D84" s="23"/>
      <c r="E84" s="56"/>
      <c r="F84" s="24"/>
      <c r="G84" s="24"/>
      <c r="H84" s="5"/>
      <c r="I84" s="56"/>
    </row>
    <row r="85" spans="1:9" ht="20.65" customHeight="1" thickBot="1" x14ac:dyDescent="0.3">
      <c r="A85" s="97" t="s">
        <v>345</v>
      </c>
      <c r="B85" s="97"/>
      <c r="C85" s="97"/>
      <c r="D85" s="97"/>
      <c r="E85" s="97"/>
      <c r="F85" s="97"/>
      <c r="G85" s="97"/>
      <c r="H85" s="97"/>
      <c r="I85" s="97"/>
    </row>
    <row r="86" spans="1:9" ht="18.600000000000001" customHeight="1" thickTop="1" thickBot="1" x14ac:dyDescent="0.3">
      <c r="A86" s="98" t="s">
        <v>346</v>
      </c>
      <c r="B86" s="98"/>
      <c r="C86" s="98"/>
      <c r="D86" s="98"/>
      <c r="E86" s="98"/>
      <c r="F86" s="98"/>
      <c r="G86" s="98"/>
      <c r="H86" s="98"/>
      <c r="I86" s="98"/>
    </row>
    <row r="87" spans="1:9" ht="72.599999999999994" customHeight="1" thickTop="1" thickBot="1" x14ac:dyDescent="0.3">
      <c r="A87" s="21" t="s">
        <v>63</v>
      </c>
      <c r="B87" s="21" t="s">
        <v>2</v>
      </c>
      <c r="C87" s="21" t="s">
        <v>294</v>
      </c>
      <c r="D87" s="22" t="s">
        <v>153</v>
      </c>
      <c r="E87" s="58" t="s">
        <v>134</v>
      </c>
      <c r="F87" s="44" t="s">
        <v>329</v>
      </c>
      <c r="G87" s="50" t="s">
        <v>297</v>
      </c>
      <c r="H87" s="35" t="str">
        <f>IF(AND(EXACT(B87,"&lt;M&gt;"),EXACT(G87,"Yes")),"Ok",IF(AND(EXACT(B87,"&lt;M&gt;"),EXACT(G87,"No")),"Warning! Knock-out!","No answer selected."))</f>
        <v>No answer selected.</v>
      </c>
      <c r="I87" s="58" t="s">
        <v>134</v>
      </c>
    </row>
    <row r="88" spans="1:9" ht="71.25" customHeight="1" thickBot="1" x14ac:dyDescent="0.3">
      <c r="A88" s="26" t="s">
        <v>171</v>
      </c>
      <c r="B88" s="26" t="s">
        <v>2</v>
      </c>
      <c r="C88" s="26" t="s">
        <v>74</v>
      </c>
      <c r="D88" s="36" t="s">
        <v>153</v>
      </c>
      <c r="E88" s="56" t="s">
        <v>134</v>
      </c>
      <c r="F88" s="44" t="s">
        <v>329</v>
      </c>
      <c r="G88" s="48" t="s">
        <v>297</v>
      </c>
      <c r="H88" s="35" t="str">
        <f>IF(AND(EXACT(B88,"&lt;M&gt;"),EXACT(G88,"Yes")),"Ok",IF(AND(EXACT(B88,"&lt;M&gt;"),EXACT(G88,"No")),"Warning! Knock-out!","No answer selected."))</f>
        <v>No answer selected.</v>
      </c>
      <c r="I88" s="56" t="s">
        <v>134</v>
      </c>
    </row>
    <row r="89" spans="1:9" ht="185.25" customHeight="1" thickBot="1" x14ac:dyDescent="0.3">
      <c r="A89" s="26" t="s">
        <v>64</v>
      </c>
      <c r="B89" s="26" t="s">
        <v>4</v>
      </c>
      <c r="C89" s="26" t="s">
        <v>264</v>
      </c>
      <c r="D89" s="36" t="s">
        <v>156</v>
      </c>
      <c r="E89" s="56">
        <f>'Technical Area'!A$58*20</f>
        <v>3.2085561497326203</v>
      </c>
      <c r="F89" s="34" t="s">
        <v>452</v>
      </c>
      <c r="G89" s="52" t="s">
        <v>296</v>
      </c>
      <c r="H89" s="35" t="str">
        <f>IF(NOT(EXACT(LEFT(G89,2),"No")),"The score will be assigned by the KNMI assessment team.",0)</f>
        <v>The score will be assigned by the KNMI assessment team.</v>
      </c>
      <c r="I89" s="56" t="e">
        <f>H89*E89</f>
        <v>#VALUE!</v>
      </c>
    </row>
    <row r="90" spans="1:9" ht="16.5" customHeight="1" thickBot="1" x14ac:dyDescent="0.3">
      <c r="A90" s="96" t="s">
        <v>347</v>
      </c>
      <c r="B90" s="96"/>
      <c r="C90" s="96"/>
      <c r="D90" s="96"/>
      <c r="E90" s="96"/>
      <c r="F90" s="96"/>
      <c r="G90" s="96"/>
      <c r="H90" s="96"/>
      <c r="I90" s="96"/>
    </row>
    <row r="91" spans="1:9" ht="87.6" customHeight="1" thickTop="1" thickBot="1" x14ac:dyDescent="0.3">
      <c r="A91" s="21" t="s">
        <v>66</v>
      </c>
      <c r="B91" s="21" t="s">
        <v>2</v>
      </c>
      <c r="C91" s="21" t="s">
        <v>145</v>
      </c>
      <c r="D91" s="22" t="s">
        <v>153</v>
      </c>
      <c r="E91" s="58" t="s">
        <v>134</v>
      </c>
      <c r="F91" s="44" t="s">
        <v>329</v>
      </c>
      <c r="G91" s="50" t="s">
        <v>297</v>
      </c>
      <c r="H91" s="35" t="str">
        <f>IF(AND(EXACT(B91,"&lt;M&gt;"),EXACT(G91,"Yes")),"Ok",IF(AND(EXACT(B91,"&lt;M&gt;"),EXACT(G91,"No")),"Warning! Knock-out!","No answer selected."))</f>
        <v>No answer selected.</v>
      </c>
      <c r="I91" s="58" t="s">
        <v>134</v>
      </c>
    </row>
    <row r="92" spans="1:9" ht="135.75" customHeight="1" thickBot="1" x14ac:dyDescent="0.3">
      <c r="A92" s="26" t="s">
        <v>67</v>
      </c>
      <c r="B92" s="26" t="s">
        <v>2</v>
      </c>
      <c r="C92" s="26" t="s">
        <v>207</v>
      </c>
      <c r="D92" s="36" t="s">
        <v>153</v>
      </c>
      <c r="E92" s="56" t="s">
        <v>134</v>
      </c>
      <c r="F92" s="44" t="s">
        <v>329</v>
      </c>
      <c r="G92" s="48" t="s">
        <v>297</v>
      </c>
      <c r="H92" s="35" t="str">
        <f>IF(AND(EXACT(B92,"&lt;M&gt;"),EXACT(G92,"Yes")),"Ok",IF(AND(EXACT(B92,"&lt;M&gt;"),EXACT(G92,"No")),"Warning! Knock-out!","No answer selected."))</f>
        <v>No answer selected.</v>
      </c>
      <c r="I92" s="56" t="s">
        <v>134</v>
      </c>
    </row>
    <row r="93" spans="1:9" ht="50.25" thickBot="1" x14ac:dyDescent="0.3">
      <c r="A93" s="26" t="s">
        <v>68</v>
      </c>
      <c r="B93" s="26" t="s">
        <v>2</v>
      </c>
      <c r="C93" s="26" t="s">
        <v>172</v>
      </c>
      <c r="D93" s="36" t="s">
        <v>153</v>
      </c>
      <c r="E93" s="56" t="s">
        <v>134</v>
      </c>
      <c r="F93" s="44" t="s">
        <v>329</v>
      </c>
      <c r="G93" s="48" t="s">
        <v>297</v>
      </c>
      <c r="H93" s="35" t="str">
        <f>IF(AND(EXACT(B93,"&lt;M&gt;"),EXACT(G93,"Yes")),"Ok",IF(AND(EXACT(B93,"&lt;M&gt;"),EXACT(G93,"No")),"Warning! Knock-out!","No answer selected."))</f>
        <v>No answer selected.</v>
      </c>
      <c r="I93" s="56" t="s">
        <v>134</v>
      </c>
    </row>
    <row r="94" spans="1:9" ht="118.5" customHeight="1" thickBot="1" x14ac:dyDescent="0.3">
      <c r="A94" s="4" t="s">
        <v>69</v>
      </c>
      <c r="B94" s="26" t="s">
        <v>2</v>
      </c>
      <c r="C94" s="26" t="s">
        <v>243</v>
      </c>
      <c r="D94" s="36" t="s">
        <v>155</v>
      </c>
      <c r="E94" s="56" t="s">
        <v>134</v>
      </c>
      <c r="F94" s="44" t="s">
        <v>329</v>
      </c>
      <c r="G94" s="48" t="s">
        <v>297</v>
      </c>
      <c r="H94" s="35" t="str">
        <f>IF(       AND(EXACT(B94,"&lt;M&gt;"), EXACT(LEFT(G94,3),"Yes")            ),"Ok",IF(AND(EXACT(B94,"&lt;M&gt;"),EXACT(G94,"No")),"Warning! Knock-out!","No answer selected."))</f>
        <v>No answer selected.</v>
      </c>
      <c r="I94" s="56" t="s">
        <v>134</v>
      </c>
    </row>
    <row r="95" spans="1:9" ht="184.9" customHeight="1" thickBot="1" x14ac:dyDescent="0.3">
      <c r="A95" s="26" t="s">
        <v>70</v>
      </c>
      <c r="B95" s="26" t="s">
        <v>4</v>
      </c>
      <c r="C95" s="26" t="s">
        <v>190</v>
      </c>
      <c r="D95" s="36" t="s">
        <v>152</v>
      </c>
      <c r="E95" s="56">
        <f>'Technical Area'!A$58*10</f>
        <v>1.6042780748663101</v>
      </c>
      <c r="F95" s="34" t="s">
        <v>453</v>
      </c>
      <c r="G95" s="48" t="s">
        <v>308</v>
      </c>
      <c r="H95" s="35" t="str">
        <f>CHOOSE(MATCH(G95,'Technical Area'!A30:A37,0),"Score",0,1,2,3,4,5,0)</f>
        <v>Score</v>
      </c>
      <c r="I95" s="56" t="e">
        <f>H95*E95</f>
        <v>#VALUE!</v>
      </c>
    </row>
    <row r="96" spans="1:9" ht="120" customHeight="1" thickBot="1" x14ac:dyDescent="0.3">
      <c r="A96" s="26" t="s">
        <v>71</v>
      </c>
      <c r="B96" s="26" t="s">
        <v>4</v>
      </c>
      <c r="C96" s="26" t="s">
        <v>195</v>
      </c>
      <c r="D96" s="36" t="s">
        <v>152</v>
      </c>
      <c r="E96" s="56">
        <f>'Technical Area'!A$58*5</f>
        <v>0.80213903743315507</v>
      </c>
      <c r="F96" s="34" t="s">
        <v>454</v>
      </c>
      <c r="G96" s="48" t="s">
        <v>309</v>
      </c>
      <c r="H96" s="35" t="str">
        <f>CHOOSE(MATCH(G96,'Technical Area'!A40:A46,0),"Score",0,1,2,3,4,5)</f>
        <v>Score</v>
      </c>
      <c r="I96" s="56" t="e">
        <f>H96*E96</f>
        <v>#VALUE!</v>
      </c>
    </row>
    <row r="97" spans="1:9" ht="18" customHeight="1" thickBot="1" x14ac:dyDescent="0.3">
      <c r="A97" s="96" t="s">
        <v>348</v>
      </c>
      <c r="B97" s="96"/>
      <c r="C97" s="96"/>
      <c r="D97" s="96"/>
      <c r="E97" s="96"/>
      <c r="F97" s="96"/>
      <c r="G97" s="96"/>
      <c r="H97" s="96"/>
      <c r="I97" s="96"/>
    </row>
    <row r="98" spans="1:9" ht="34.5" thickTop="1" thickBot="1" x14ac:dyDescent="0.3">
      <c r="A98" s="21" t="s">
        <v>72</v>
      </c>
      <c r="B98" s="21" t="s">
        <v>2</v>
      </c>
      <c r="C98" s="21" t="s">
        <v>146</v>
      </c>
      <c r="D98" s="22" t="s">
        <v>153</v>
      </c>
      <c r="E98" s="58" t="s">
        <v>134</v>
      </c>
      <c r="F98" s="44" t="s">
        <v>329</v>
      </c>
      <c r="G98" s="50" t="s">
        <v>297</v>
      </c>
      <c r="H98" s="35" t="str">
        <f>IF(AND(EXACT(B98,"&lt;M&gt;"),EXACT(G98,"Yes")),"Ok",IF(AND(EXACT(B98,"&lt;M&gt;"),EXACT(G98,"No")),"Warning! Knock-out!","No answer selected."))</f>
        <v>No answer selected.</v>
      </c>
      <c r="I98" s="58" t="s">
        <v>134</v>
      </c>
    </row>
    <row r="99" spans="1:9" ht="50.25" thickBot="1" x14ac:dyDescent="0.3">
      <c r="A99" s="26" t="s">
        <v>73</v>
      </c>
      <c r="B99" s="26" t="s">
        <v>2</v>
      </c>
      <c r="C99" s="26" t="s">
        <v>196</v>
      </c>
      <c r="D99" s="36" t="s">
        <v>153</v>
      </c>
      <c r="E99" s="56" t="s">
        <v>134</v>
      </c>
      <c r="F99" s="44" t="s">
        <v>329</v>
      </c>
      <c r="G99" s="48" t="s">
        <v>297</v>
      </c>
      <c r="H99" s="35" t="str">
        <f>IF(AND(EXACT(B99,"&lt;M&gt;"),EXACT(G99,"Yes")),"Ok",IF(AND(EXACT(B99,"&lt;M&gt;"),EXACT(G99,"No")),"Warning! Knock-out!","No answer selected."))</f>
        <v>No answer selected.</v>
      </c>
      <c r="I99" s="56" t="s">
        <v>134</v>
      </c>
    </row>
    <row r="100" spans="1:9" ht="33.75" thickBot="1" x14ac:dyDescent="0.3">
      <c r="A100" s="26" t="s">
        <v>75</v>
      </c>
      <c r="B100" s="26" t="s">
        <v>4</v>
      </c>
      <c r="C100" s="26" t="s">
        <v>281</v>
      </c>
      <c r="D100" s="36" t="s">
        <v>154</v>
      </c>
      <c r="E100" s="56">
        <f>'Technical Area'!A$58*5</f>
        <v>0.80213903743315507</v>
      </c>
      <c r="F100" s="34" t="s">
        <v>455</v>
      </c>
      <c r="G100" s="48" t="s">
        <v>297</v>
      </c>
      <c r="H100" s="35" t="str">
        <f>IF(AND(EXACT(B100,"&lt;D&gt;"),EXACT(G100,"Yes")),5,IF(AND(EXACT(B100,"&lt;D&gt;"),EXACT(G100,"No")),0,"No answer selected."))</f>
        <v>No answer selected.</v>
      </c>
      <c r="I100" s="56" t="e">
        <f>H100*E100</f>
        <v>#VALUE!</v>
      </c>
    </row>
    <row r="101" spans="1:9" ht="103.5" customHeight="1" thickBot="1" x14ac:dyDescent="0.3">
      <c r="A101" s="26" t="s">
        <v>76</v>
      </c>
      <c r="B101" s="26" t="s">
        <v>2</v>
      </c>
      <c r="C101" s="26" t="s">
        <v>208</v>
      </c>
      <c r="D101" s="36" t="s">
        <v>153</v>
      </c>
      <c r="E101" s="56" t="s">
        <v>134</v>
      </c>
      <c r="F101" s="44" t="s">
        <v>329</v>
      </c>
      <c r="G101" s="48" t="s">
        <v>297</v>
      </c>
      <c r="H101" s="35" t="str">
        <f>IF(AND(EXACT(B101,"&lt;M&gt;"),EXACT(G101,"Yes")),"Ok",IF(AND(EXACT(B101,"&lt;M&gt;"),EXACT(G101,"No")),"Warning! Knock-out!","No answer selected."))</f>
        <v>No answer selected.</v>
      </c>
      <c r="I101" s="56" t="s">
        <v>134</v>
      </c>
    </row>
    <row r="102" spans="1:9" ht="33.75" thickBot="1" x14ac:dyDescent="0.3">
      <c r="A102" s="4" t="s">
        <v>77</v>
      </c>
      <c r="B102" s="26" t="s">
        <v>2</v>
      </c>
      <c r="C102" s="26" t="s">
        <v>88</v>
      </c>
      <c r="D102" s="36" t="s">
        <v>153</v>
      </c>
      <c r="E102" s="56" t="s">
        <v>134</v>
      </c>
      <c r="F102" s="44" t="s">
        <v>329</v>
      </c>
      <c r="G102" s="48" t="s">
        <v>297</v>
      </c>
      <c r="H102" s="35" t="str">
        <f>IF(AND(EXACT(B102,"&lt;M&gt;"),EXACT(G102,"Yes")),"Ok",IF(AND(EXACT(B102,"&lt;M&gt;"),EXACT(G102,"No")),"Warning! Knock-out!","No answer selected."))</f>
        <v>No answer selected.</v>
      </c>
      <c r="I102" s="56" t="s">
        <v>134</v>
      </c>
    </row>
    <row r="103" spans="1:9" ht="50.25" thickBot="1" x14ac:dyDescent="0.3">
      <c r="A103" s="26" t="s">
        <v>78</v>
      </c>
      <c r="B103" s="26" t="s">
        <v>4</v>
      </c>
      <c r="C103" s="26" t="s">
        <v>175</v>
      </c>
      <c r="D103" s="36" t="s">
        <v>154</v>
      </c>
      <c r="E103" s="56">
        <f>'Technical Area'!A$58*5</f>
        <v>0.80213903743315507</v>
      </c>
      <c r="F103" s="34" t="s">
        <v>455</v>
      </c>
      <c r="G103" s="48" t="s">
        <v>297</v>
      </c>
      <c r="H103" s="35" t="str">
        <f>IF(AND(EXACT(B103,"&lt;D&gt;"),EXACT(G103,"Yes")),5,IF(AND(EXACT(B103,"&lt;D&gt;"),EXACT(G103,"No")),0,"No answer selected."))</f>
        <v>No answer selected.</v>
      </c>
      <c r="I103" s="56" t="e">
        <f>H103*E103</f>
        <v>#VALUE!</v>
      </c>
    </row>
    <row r="104" spans="1:9" ht="16.5" customHeight="1" thickBot="1" x14ac:dyDescent="0.3">
      <c r="A104" s="96" t="s">
        <v>349</v>
      </c>
      <c r="B104" s="96"/>
      <c r="C104" s="96"/>
      <c r="D104" s="96"/>
      <c r="E104" s="96"/>
      <c r="F104" s="96"/>
      <c r="G104" s="96"/>
      <c r="H104" s="96"/>
      <c r="I104" s="96"/>
    </row>
    <row r="105" spans="1:9" ht="100.5" customHeight="1" thickTop="1" thickBot="1" x14ac:dyDescent="0.3">
      <c r="A105" s="111" t="s">
        <v>79</v>
      </c>
      <c r="B105" s="111" t="s">
        <v>2</v>
      </c>
      <c r="C105" s="21" t="s">
        <v>191</v>
      </c>
      <c r="D105" s="99" t="s">
        <v>155</v>
      </c>
      <c r="E105" s="102" t="s">
        <v>134</v>
      </c>
      <c r="F105" s="99" t="s">
        <v>329</v>
      </c>
      <c r="G105" s="112" t="s">
        <v>297</v>
      </c>
      <c r="H105" s="105" t="str">
        <f>IF(       AND(EXACT(B105,"&lt;M&gt;"),EXACT(LEFT(G105,3),"Yes")),"Ok",IF(AND(EXACT(B105,"&lt;M&gt;"),EXACT(G105,"No")),"Warning! Knock-out!","No answer selected."))</f>
        <v>No answer selected.</v>
      </c>
      <c r="I105" s="102" t="s">
        <v>134</v>
      </c>
    </row>
    <row r="106" spans="1:9" ht="231.75" thickBot="1" x14ac:dyDescent="0.3">
      <c r="A106" s="109"/>
      <c r="B106" s="109"/>
      <c r="C106" s="26" t="s">
        <v>435</v>
      </c>
      <c r="D106" s="100"/>
      <c r="E106" s="103"/>
      <c r="F106" s="100"/>
      <c r="G106" s="113"/>
      <c r="H106" s="106"/>
      <c r="I106" s="103"/>
    </row>
    <row r="107" spans="1:9" ht="119.25" customHeight="1" thickBot="1" x14ac:dyDescent="0.3">
      <c r="A107" s="109"/>
      <c r="B107" s="109"/>
      <c r="C107" s="26" t="s">
        <v>436</v>
      </c>
      <c r="D107" s="101"/>
      <c r="E107" s="104"/>
      <c r="F107" s="101"/>
      <c r="G107" s="114"/>
      <c r="H107" s="107"/>
      <c r="I107" s="104"/>
    </row>
    <row r="108" spans="1:9" ht="83.25" thickBot="1" x14ac:dyDescent="0.3">
      <c r="A108" s="4" t="s">
        <v>80</v>
      </c>
      <c r="B108" s="26" t="s">
        <v>2</v>
      </c>
      <c r="C108" s="26" t="s">
        <v>209</v>
      </c>
      <c r="D108" s="36" t="s">
        <v>153</v>
      </c>
      <c r="E108" s="56" t="s">
        <v>134</v>
      </c>
      <c r="F108" s="44" t="s">
        <v>329</v>
      </c>
      <c r="G108" s="48" t="s">
        <v>297</v>
      </c>
      <c r="H108" s="35" t="str">
        <f>IF(AND(EXACT(B108,"&lt;M&gt;"),EXACT(G108,"Yes")),"Ok",IF(AND(EXACT(B108,"&lt;M&gt;"),EXACT(G108,"No")),"Warning! Knock-out!","No answer selected."))</f>
        <v>No answer selected.</v>
      </c>
      <c r="I108" s="56" t="s">
        <v>134</v>
      </c>
    </row>
    <row r="109" spans="1:9" ht="88.35" customHeight="1" thickBot="1" x14ac:dyDescent="0.3">
      <c r="A109" s="4" t="s">
        <v>81</v>
      </c>
      <c r="B109" s="26" t="s">
        <v>2</v>
      </c>
      <c r="C109" s="26" t="s">
        <v>266</v>
      </c>
      <c r="D109" s="36" t="s">
        <v>153</v>
      </c>
      <c r="E109" s="56" t="s">
        <v>134</v>
      </c>
      <c r="F109" s="44" t="s">
        <v>329</v>
      </c>
      <c r="G109" s="48" t="s">
        <v>297</v>
      </c>
      <c r="H109" s="35" t="str">
        <f>IF(AND(EXACT(B109,"&lt;M&gt;"),EXACT(G109,"Yes")),"Ok",IF(AND(EXACT(B109,"&lt;M&gt;"),EXACT(G109,"No")),"Warning! Knock-out!","No answer selected."))</f>
        <v>No answer selected.</v>
      </c>
      <c r="I109" s="56" t="s">
        <v>134</v>
      </c>
    </row>
    <row r="110" spans="1:9" ht="182.25" thickBot="1" x14ac:dyDescent="0.3">
      <c r="A110" s="26" t="s">
        <v>82</v>
      </c>
      <c r="B110" s="26" t="s">
        <v>4</v>
      </c>
      <c r="C110" s="26" t="s">
        <v>367</v>
      </c>
      <c r="D110" s="36" t="s">
        <v>156</v>
      </c>
      <c r="E110" s="56">
        <f>'Technical Area'!A$58*20</f>
        <v>3.2085561497326203</v>
      </c>
      <c r="F110" s="34" t="s">
        <v>393</v>
      </c>
      <c r="G110" s="52" t="s">
        <v>296</v>
      </c>
      <c r="H110" s="35" t="str">
        <f>IF(NOT(EXACT(LEFT(G110,2),"No")),"The score will be assigned by the KNMI assessment team.",0)</f>
        <v>The score will be assigned by the KNMI assessment team.</v>
      </c>
      <c r="I110" s="56" t="e">
        <f>H110*E110</f>
        <v>#VALUE!</v>
      </c>
    </row>
    <row r="111" spans="1:9" ht="18" customHeight="1" thickBot="1" x14ac:dyDescent="0.3">
      <c r="A111" s="96" t="s">
        <v>350</v>
      </c>
      <c r="B111" s="96"/>
      <c r="C111" s="96"/>
      <c r="D111" s="96"/>
      <c r="E111" s="96"/>
      <c r="F111" s="96"/>
      <c r="G111" s="96"/>
      <c r="H111" s="96"/>
      <c r="I111" s="96"/>
    </row>
    <row r="112" spans="1:9" ht="67.5" thickTop="1" thickBot="1" x14ac:dyDescent="0.3">
      <c r="A112" s="42" t="s">
        <v>83</v>
      </c>
      <c r="B112" s="21" t="s">
        <v>2</v>
      </c>
      <c r="C112" s="21" t="s">
        <v>193</v>
      </c>
      <c r="D112" s="22" t="s">
        <v>153</v>
      </c>
      <c r="E112" s="58" t="s">
        <v>134</v>
      </c>
      <c r="F112" s="44" t="s">
        <v>329</v>
      </c>
      <c r="G112" s="50" t="s">
        <v>297</v>
      </c>
      <c r="H112" s="35" t="str">
        <f>IF(AND(EXACT(B112,"&lt;M&gt;"),EXACT(G112,"Yes")),"Ok",IF(AND(EXACT(B112,"&lt;M&gt;"),EXACT(G112,"No")),"Warning! Knock-out!","No answer selected."))</f>
        <v>No answer selected.</v>
      </c>
      <c r="I112" s="58" t="s">
        <v>134</v>
      </c>
    </row>
    <row r="113" spans="1:9" ht="116.25" thickBot="1" x14ac:dyDescent="0.3">
      <c r="A113" s="26" t="s">
        <v>84</v>
      </c>
      <c r="B113" s="26" t="s">
        <v>2</v>
      </c>
      <c r="C113" s="26" t="s">
        <v>192</v>
      </c>
      <c r="D113" s="36" t="s">
        <v>153</v>
      </c>
      <c r="E113" s="56" t="s">
        <v>134</v>
      </c>
      <c r="F113" s="44" t="s">
        <v>329</v>
      </c>
      <c r="G113" s="48" t="s">
        <v>297</v>
      </c>
      <c r="H113" s="35" t="str">
        <f>IF(AND(EXACT(B113,"&lt;M&gt;"),EXACT(G113,"Yes")),"Ok",IF(AND(EXACT(B113,"&lt;M&gt;"),EXACT(G113,"No")),"Warning! Knock-out!","No answer selected."))</f>
        <v>No answer selected.</v>
      </c>
      <c r="I113" s="56" t="s">
        <v>134</v>
      </c>
    </row>
    <row r="114" spans="1:9" ht="18" customHeight="1" thickBot="1" x14ac:dyDescent="0.3">
      <c r="A114" s="110" t="s">
        <v>351</v>
      </c>
      <c r="B114" s="110"/>
      <c r="C114" s="110"/>
      <c r="D114" s="110"/>
      <c r="E114" s="110"/>
      <c r="F114" s="110"/>
      <c r="G114" s="110"/>
      <c r="H114" s="110"/>
      <c r="I114" s="110"/>
    </row>
    <row r="115" spans="1:9" ht="117" thickTop="1" thickBot="1" x14ac:dyDescent="0.3">
      <c r="A115" s="21" t="s">
        <v>85</v>
      </c>
      <c r="B115" s="21" t="s">
        <v>2</v>
      </c>
      <c r="C115" s="21" t="s">
        <v>365</v>
      </c>
      <c r="D115" s="22" t="s">
        <v>153</v>
      </c>
      <c r="E115" s="58" t="s">
        <v>134</v>
      </c>
      <c r="F115" s="44" t="s">
        <v>329</v>
      </c>
      <c r="G115" s="50" t="s">
        <v>297</v>
      </c>
      <c r="H115" s="35" t="str">
        <f>IF(AND(EXACT(B115,"&lt;M&gt;"),EXACT(G115,"Yes")),"Ok",IF(AND(EXACT(B115,"&lt;M&gt;"),EXACT(G115,"No")),"Warning! Knock-out!","No answer selected."))</f>
        <v>No answer selected.</v>
      </c>
      <c r="I115" s="58" t="s">
        <v>134</v>
      </c>
    </row>
    <row r="116" spans="1:9" ht="83.25" thickBot="1" x14ac:dyDescent="0.3">
      <c r="A116" s="4" t="s">
        <v>86</v>
      </c>
      <c r="B116" s="26" t="s">
        <v>2</v>
      </c>
      <c r="C116" s="26" t="s">
        <v>409</v>
      </c>
      <c r="D116" s="36" t="s">
        <v>153</v>
      </c>
      <c r="E116" s="56" t="s">
        <v>134</v>
      </c>
      <c r="F116" s="44" t="s">
        <v>329</v>
      </c>
      <c r="G116" s="48" t="s">
        <v>297</v>
      </c>
      <c r="H116" s="35" t="str">
        <f>IF(AND(EXACT(B116,"&lt;M&gt;"),EXACT(G116,"Yes")),"Ok",IF(AND(EXACT(B116,"&lt;M&gt;"),EXACT(G116,"No")),"Warning! Knock-out!","No answer selected."))</f>
        <v>No answer selected.</v>
      </c>
      <c r="I116" s="56" t="s">
        <v>134</v>
      </c>
    </row>
    <row r="117" spans="1:9" ht="17.25" customHeight="1" thickBot="1" x14ac:dyDescent="0.3">
      <c r="A117" s="11"/>
      <c r="B117" s="37"/>
      <c r="C117" s="11"/>
      <c r="D117" s="12"/>
      <c r="E117" s="56"/>
      <c r="F117" s="13"/>
      <c r="G117" s="13"/>
      <c r="H117" s="5"/>
      <c r="I117" s="56"/>
    </row>
    <row r="118" spans="1:9" ht="20.65" customHeight="1" thickBot="1" x14ac:dyDescent="0.3">
      <c r="A118" s="97" t="s">
        <v>352</v>
      </c>
      <c r="B118" s="97"/>
      <c r="C118" s="97"/>
      <c r="D118" s="97"/>
      <c r="E118" s="97"/>
      <c r="F118" s="97"/>
      <c r="G118" s="97"/>
      <c r="H118" s="97"/>
      <c r="I118" s="97"/>
    </row>
    <row r="119" spans="1:9" ht="117" thickTop="1" thickBot="1" x14ac:dyDescent="0.3">
      <c r="A119" s="43" t="s">
        <v>87</v>
      </c>
      <c r="B119" s="43" t="s">
        <v>2</v>
      </c>
      <c r="C119" s="43" t="s">
        <v>326</v>
      </c>
      <c r="D119" s="29" t="s">
        <v>153</v>
      </c>
      <c r="E119" s="60" t="s">
        <v>134</v>
      </c>
      <c r="F119" s="44" t="s">
        <v>329</v>
      </c>
      <c r="G119" s="51" t="s">
        <v>297</v>
      </c>
      <c r="H119" s="35" t="str">
        <f>IF(AND(EXACT(B119,"&lt;M&gt;"),EXACT(G119,"Yes")),"Ok",IF(AND(EXACT(B119,"&lt;M&gt;"),EXACT(G119,"No")),"Warning! Knock-out!","No answer selected."))</f>
        <v>No answer selected.</v>
      </c>
      <c r="I119" s="60" t="s">
        <v>134</v>
      </c>
    </row>
    <row r="120" spans="1:9" s="68" customFormat="1" ht="99.75" thickBot="1" x14ac:dyDescent="0.3">
      <c r="A120" s="79" t="s">
        <v>89</v>
      </c>
      <c r="B120" s="79" t="s">
        <v>2</v>
      </c>
      <c r="C120" s="79" t="s">
        <v>430</v>
      </c>
      <c r="D120" s="76" t="s">
        <v>153</v>
      </c>
      <c r="E120" s="78" t="s">
        <v>134</v>
      </c>
      <c r="F120" s="44" t="s">
        <v>329</v>
      </c>
      <c r="G120" s="77" t="s">
        <v>297</v>
      </c>
      <c r="H120" s="35" t="str">
        <f>IF(AND(EXACT(B120,"&lt;M&gt;"),EXACT(G120,"Yes")),"Ok",IF(AND(EXACT(B120,"&lt;M&gt;"),EXACT(G120,"No")),"Warning! Knock-out!","No answer selected."))</f>
        <v>No answer selected.</v>
      </c>
      <c r="I120" s="78" t="s">
        <v>134</v>
      </c>
    </row>
    <row r="121" spans="1:9" ht="99.75" thickBot="1" x14ac:dyDescent="0.3">
      <c r="A121" s="26" t="s">
        <v>90</v>
      </c>
      <c r="B121" s="26" t="s">
        <v>2</v>
      </c>
      <c r="C121" s="26" t="s">
        <v>179</v>
      </c>
      <c r="D121" s="36" t="s">
        <v>153</v>
      </c>
      <c r="E121" s="56" t="s">
        <v>134</v>
      </c>
      <c r="F121" s="44" t="s">
        <v>329</v>
      </c>
      <c r="G121" s="48" t="s">
        <v>297</v>
      </c>
      <c r="H121" s="35" t="str">
        <f>IF(AND(EXACT(B121,"&lt;M&gt;"),EXACT(G121,"Yes")),"Ok",IF(AND(EXACT(B121,"&lt;M&gt;"),EXACT(G121,"No")),"Warning! Knock-out!","No answer selected."))</f>
        <v>No answer selected.</v>
      </c>
      <c r="I121" s="56" t="s">
        <v>134</v>
      </c>
    </row>
    <row r="122" spans="1:9" ht="50.25" thickBot="1" x14ac:dyDescent="0.3">
      <c r="A122" s="4" t="s">
        <v>91</v>
      </c>
      <c r="B122" s="26" t="s">
        <v>2</v>
      </c>
      <c r="C122" s="26" t="s">
        <v>212</v>
      </c>
      <c r="D122" s="36" t="s">
        <v>153</v>
      </c>
      <c r="E122" s="56" t="s">
        <v>134</v>
      </c>
      <c r="F122" s="44" t="s">
        <v>329</v>
      </c>
      <c r="G122" s="48" t="s">
        <v>297</v>
      </c>
      <c r="H122" s="35" t="str">
        <f>IF(AND(EXACT(B122,"&lt;M&gt;"),EXACT(G122,"Yes")),"Ok",IF(AND(EXACT(B122,"&lt;M&gt;"),EXACT(G122,"No")),"Warning! Knock-out!","No answer selected."))</f>
        <v>No answer selected.</v>
      </c>
      <c r="I122" s="56" t="s">
        <v>134</v>
      </c>
    </row>
    <row r="123" spans="1:9" ht="138.75" customHeight="1" thickBot="1" x14ac:dyDescent="0.3">
      <c r="A123" s="4" t="s">
        <v>92</v>
      </c>
      <c r="B123" s="26" t="s">
        <v>4</v>
      </c>
      <c r="C123" s="26" t="s">
        <v>210</v>
      </c>
      <c r="D123" s="36" t="s">
        <v>154</v>
      </c>
      <c r="E123" s="56">
        <f>'Technical Area'!A$58*5</f>
        <v>0.80213903743315507</v>
      </c>
      <c r="F123" s="34" t="s">
        <v>456</v>
      </c>
      <c r="G123" s="48" t="s">
        <v>297</v>
      </c>
      <c r="H123" s="35" t="str">
        <f>IF(AND(EXACT(B123,"&lt;D&gt;"),EXACT(G123,"Yes")),5,IF(AND(EXACT(B123,"&lt;D&gt;"),EXACT(G123,"No")),0,"No answer selected."))</f>
        <v>No answer selected.</v>
      </c>
      <c r="I123" s="56" t="e">
        <f>H123*E123</f>
        <v>#VALUE!</v>
      </c>
    </row>
    <row r="124" spans="1:9" ht="198.75" thickBot="1" x14ac:dyDescent="0.3">
      <c r="A124" s="26" t="s">
        <v>93</v>
      </c>
      <c r="B124" s="26" t="s">
        <v>4</v>
      </c>
      <c r="C124" s="26" t="s">
        <v>369</v>
      </c>
      <c r="D124" s="36" t="s">
        <v>156</v>
      </c>
      <c r="E124" s="56">
        <f>'Technical Area'!A$58*5</f>
        <v>0.80213903743315507</v>
      </c>
      <c r="F124" s="36" t="s">
        <v>394</v>
      </c>
      <c r="G124" s="52" t="s">
        <v>296</v>
      </c>
      <c r="H124" s="35" t="str">
        <f>IF(NOT(EXACT(LEFT(G124,2),"No")),"The score will be assigned by the KNMI assessment team.",0)</f>
        <v>The score will be assigned by the KNMI assessment team.</v>
      </c>
      <c r="I124" s="56" t="e">
        <f>H124*E124</f>
        <v>#VALUE!</v>
      </c>
    </row>
    <row r="125" spans="1:9" ht="156.75" customHeight="1" thickBot="1" x14ac:dyDescent="0.3">
      <c r="A125" s="26" t="s">
        <v>94</v>
      </c>
      <c r="B125" s="26" t="s">
        <v>4</v>
      </c>
      <c r="C125" s="26" t="s">
        <v>370</v>
      </c>
      <c r="D125" s="36" t="s">
        <v>156</v>
      </c>
      <c r="E125" s="56">
        <f>'Technical Area'!A$58*10</f>
        <v>1.6042780748663101</v>
      </c>
      <c r="F125" s="36" t="s">
        <v>410</v>
      </c>
      <c r="G125" s="52" t="s">
        <v>296</v>
      </c>
      <c r="H125" s="35" t="str">
        <f>IF(NOT(EXACT(LEFT(G125,2),"No")),"The score will be assigned by the KNMI assessment team.",0)</f>
        <v>The score will be assigned by the KNMI assessment team.</v>
      </c>
      <c r="I125" s="56" t="e">
        <f>H125*E125</f>
        <v>#VALUE!</v>
      </c>
    </row>
    <row r="126" spans="1:9" ht="158.65" customHeight="1" thickBot="1" x14ac:dyDescent="0.3">
      <c r="A126" s="26" t="s">
        <v>95</v>
      </c>
      <c r="B126" s="26" t="s">
        <v>4</v>
      </c>
      <c r="C126" s="26" t="s">
        <v>371</v>
      </c>
      <c r="D126" s="36" t="s">
        <v>156</v>
      </c>
      <c r="E126" s="56">
        <f>'Technical Area'!A$58*10</f>
        <v>1.6042780748663101</v>
      </c>
      <c r="F126" s="36" t="s">
        <v>395</v>
      </c>
      <c r="G126" s="52" t="s">
        <v>296</v>
      </c>
      <c r="H126" s="35" t="str">
        <f>IF(NOT(EXACT(LEFT(G126,2),"No")),"The score will be assigned by the KNMI assessment team.",0)</f>
        <v>The score will be assigned by the KNMI assessment team.</v>
      </c>
      <c r="I126" s="56" t="e">
        <f>H126*E126</f>
        <v>#VALUE!</v>
      </c>
    </row>
    <row r="127" spans="1:9" ht="156.75" customHeight="1" thickBot="1" x14ac:dyDescent="0.3">
      <c r="A127" s="26" t="s">
        <v>96</v>
      </c>
      <c r="B127" s="26" t="s">
        <v>4</v>
      </c>
      <c r="C127" s="26" t="s">
        <v>221</v>
      </c>
      <c r="D127" s="36" t="s">
        <v>156</v>
      </c>
      <c r="E127" s="56">
        <f>'Technical Area'!A$58*5</f>
        <v>0.80213903743315507</v>
      </c>
      <c r="F127" s="36" t="s">
        <v>396</v>
      </c>
      <c r="G127" s="52" t="s">
        <v>296</v>
      </c>
      <c r="H127" s="35" t="str">
        <f>IF(NOT(EXACT(LEFT(G127,2),"No")),"The score will be assigned by the KNMI assessment team.",0)</f>
        <v>The score will be assigned by the KNMI assessment team.</v>
      </c>
      <c r="I127" s="56" t="e">
        <f>H127*E127</f>
        <v>#VALUE!</v>
      </c>
    </row>
    <row r="128" spans="1:9" ht="17.25" thickBot="1" x14ac:dyDescent="0.3">
      <c r="A128" s="11"/>
      <c r="B128" s="37"/>
      <c r="C128" s="11"/>
      <c r="D128" s="12"/>
      <c r="E128" s="56"/>
      <c r="F128" s="13"/>
      <c r="G128" s="13"/>
      <c r="H128" s="5"/>
      <c r="I128" s="56"/>
    </row>
    <row r="129" spans="1:9" ht="20.65" customHeight="1" thickBot="1" x14ac:dyDescent="0.3">
      <c r="A129" s="97" t="s">
        <v>353</v>
      </c>
      <c r="B129" s="97"/>
      <c r="C129" s="97"/>
      <c r="D129" s="97"/>
      <c r="E129" s="97"/>
      <c r="F129" s="97"/>
      <c r="G129" s="97"/>
      <c r="H129" s="97"/>
      <c r="I129" s="97"/>
    </row>
    <row r="130" spans="1:9" ht="67.5" thickTop="1" thickBot="1" x14ac:dyDescent="0.3">
      <c r="A130" s="43" t="s">
        <v>97</v>
      </c>
      <c r="B130" s="43" t="s">
        <v>2</v>
      </c>
      <c r="C130" s="43" t="s">
        <v>437</v>
      </c>
      <c r="D130" s="29" t="s">
        <v>153</v>
      </c>
      <c r="E130" s="60" t="s">
        <v>134</v>
      </c>
      <c r="F130" s="44" t="s">
        <v>329</v>
      </c>
      <c r="G130" s="51" t="s">
        <v>297</v>
      </c>
      <c r="H130" s="35" t="str">
        <f>IF(AND(EXACT(B130,"&lt;M&gt;"),EXACT(G130,"Yes")),"Ok",IF(AND(EXACT(B130,"&lt;M&gt;"),EXACT(G130,"No")),"Warning! Knock-out!","No answer selected."))</f>
        <v>No answer selected.</v>
      </c>
      <c r="I130" s="60" t="s">
        <v>134</v>
      </c>
    </row>
    <row r="131" spans="1:9" ht="33.75" thickBot="1" x14ac:dyDescent="0.3">
      <c r="A131" s="4" t="s">
        <v>98</v>
      </c>
      <c r="B131" s="26" t="s">
        <v>2</v>
      </c>
      <c r="C131" s="26" t="s">
        <v>213</v>
      </c>
      <c r="D131" s="36" t="s">
        <v>153</v>
      </c>
      <c r="E131" s="56" t="s">
        <v>134</v>
      </c>
      <c r="F131" s="44" t="s">
        <v>329</v>
      </c>
      <c r="G131" s="48" t="s">
        <v>297</v>
      </c>
      <c r="H131" s="35" t="str">
        <f>IF(AND(EXACT(B131,"&lt;M&gt;"),EXACT(G131,"Yes")),"Ok",IF(AND(EXACT(B131,"&lt;M&gt;"),EXACT(G131,"No")),"Warning! Knock-out!","No answer selected."))</f>
        <v>No answer selected.</v>
      </c>
      <c r="I131" s="56" t="s">
        <v>134</v>
      </c>
    </row>
    <row r="132" spans="1:9" ht="33.75" thickBot="1" x14ac:dyDescent="0.3">
      <c r="A132" s="26" t="s">
        <v>99</v>
      </c>
      <c r="B132" s="26" t="s">
        <v>2</v>
      </c>
      <c r="C132" s="26" t="s">
        <v>110</v>
      </c>
      <c r="D132" s="36" t="s">
        <v>153</v>
      </c>
      <c r="E132" s="56" t="s">
        <v>134</v>
      </c>
      <c r="F132" s="44" t="s">
        <v>329</v>
      </c>
      <c r="G132" s="48" t="s">
        <v>297</v>
      </c>
      <c r="H132" s="35" t="str">
        <f>IF(AND(EXACT(B132,"&lt;M&gt;"),EXACT(G132,"Yes")),"Ok",IF(AND(EXACT(B132,"&lt;M&gt;"),EXACT(G132,"No")),"Warning! Knock-out!","No answer selected."))</f>
        <v>No answer selected.</v>
      </c>
      <c r="I132" s="56" t="s">
        <v>134</v>
      </c>
    </row>
    <row r="133" spans="1:9" ht="50.25" thickBot="1" x14ac:dyDescent="0.3">
      <c r="A133" s="4" t="s">
        <v>100</v>
      </c>
      <c r="B133" s="26" t="s">
        <v>2</v>
      </c>
      <c r="C133" s="26" t="s">
        <v>400</v>
      </c>
      <c r="D133" s="36" t="s">
        <v>153</v>
      </c>
      <c r="E133" s="56" t="s">
        <v>134</v>
      </c>
      <c r="F133" s="44" t="s">
        <v>329</v>
      </c>
      <c r="G133" s="48" t="s">
        <v>297</v>
      </c>
      <c r="H133" s="35" t="str">
        <f>IF(AND(EXACT(B133,"&lt;M&gt;"),EXACT(G133,"Yes")),"Ok",IF(AND(EXACT(B133,"&lt;M&gt;"),EXACT(G133,"No")),"Warning! Knock-out!","No answer selected."))</f>
        <v>No answer selected.</v>
      </c>
      <c r="I133" s="56" t="s">
        <v>134</v>
      </c>
    </row>
    <row r="134" spans="1:9" ht="116.25" thickBot="1" x14ac:dyDescent="0.3">
      <c r="A134" s="26" t="s">
        <v>101</v>
      </c>
      <c r="B134" s="26" t="s">
        <v>4</v>
      </c>
      <c r="C134" s="26" t="s">
        <v>267</v>
      </c>
      <c r="D134" s="36" t="s">
        <v>152</v>
      </c>
      <c r="E134" s="56">
        <f>'Technical Area'!A$58*40</f>
        <v>6.4171122994652405</v>
      </c>
      <c r="F134" s="36" t="s">
        <v>457</v>
      </c>
      <c r="G134" s="52" t="s">
        <v>300</v>
      </c>
      <c r="H134" s="35" t="str">
        <f>CHOOSE(MATCH(G134,'Technical Area'!A49:A55,0),"Score",0,1,2,3,4,5)</f>
        <v>Score</v>
      </c>
      <c r="I134" s="56" t="e">
        <f>H134*E134</f>
        <v>#VALUE!</v>
      </c>
    </row>
    <row r="135" spans="1:9" ht="66.75" thickBot="1" x14ac:dyDescent="0.3">
      <c r="A135" s="26" t="s">
        <v>102</v>
      </c>
      <c r="B135" s="26" t="s">
        <v>2</v>
      </c>
      <c r="C135" s="26" t="s">
        <v>120</v>
      </c>
      <c r="D135" s="36" t="s">
        <v>153</v>
      </c>
      <c r="E135" s="56" t="s">
        <v>134</v>
      </c>
      <c r="F135" s="44" t="s">
        <v>329</v>
      </c>
      <c r="G135" s="48" t="s">
        <v>297</v>
      </c>
      <c r="H135" s="35" t="str">
        <f>IF(AND(EXACT(B135,"&lt;M&gt;"),EXACT(G135,"Yes")),"Ok",IF(AND(EXACT(B135,"&lt;M&gt;"),EXACT(G135,"No")),"Warning! Knock-out!","No answer selected."))</f>
        <v>No answer selected.</v>
      </c>
      <c r="I135" s="56" t="s">
        <v>134</v>
      </c>
    </row>
    <row r="136" spans="1:9" ht="17.25" thickBot="1" x14ac:dyDescent="0.3">
      <c r="A136" s="11"/>
      <c r="B136" s="37"/>
      <c r="C136" s="11"/>
      <c r="D136" s="23"/>
      <c r="E136" s="56"/>
      <c r="F136" s="24"/>
      <c r="G136" s="24"/>
      <c r="H136" s="5"/>
      <c r="I136" s="56"/>
    </row>
    <row r="137" spans="1:9" ht="20.65" customHeight="1" thickBot="1" x14ac:dyDescent="0.3">
      <c r="A137" s="97" t="s">
        <v>354</v>
      </c>
      <c r="B137" s="97"/>
      <c r="C137" s="97"/>
      <c r="D137" s="97"/>
      <c r="E137" s="97"/>
      <c r="F137" s="97"/>
      <c r="G137" s="97"/>
      <c r="H137" s="97"/>
      <c r="I137" s="97"/>
    </row>
    <row r="138" spans="1:9" ht="18.600000000000001" customHeight="1" thickTop="1" thickBot="1" x14ac:dyDescent="0.3">
      <c r="A138" s="98" t="s">
        <v>355</v>
      </c>
      <c r="B138" s="98"/>
      <c r="C138" s="98"/>
      <c r="D138" s="98"/>
      <c r="E138" s="98"/>
      <c r="F138" s="98"/>
      <c r="G138" s="98"/>
      <c r="H138" s="98"/>
      <c r="I138" s="98"/>
    </row>
    <row r="139" spans="1:9" s="1" customFormat="1" ht="67.5" thickTop="1" thickBot="1" x14ac:dyDescent="0.3">
      <c r="A139" s="21" t="s">
        <v>103</v>
      </c>
      <c r="B139" s="21" t="s">
        <v>2</v>
      </c>
      <c r="C139" s="21" t="s">
        <v>411</v>
      </c>
      <c r="D139" s="22" t="s">
        <v>153</v>
      </c>
      <c r="E139" s="58" t="s">
        <v>134</v>
      </c>
      <c r="F139" s="44" t="s">
        <v>329</v>
      </c>
      <c r="G139" s="50" t="s">
        <v>297</v>
      </c>
      <c r="H139" s="35" t="str">
        <f>IF(AND(EXACT(B139,"&lt;M&gt;"),EXACT(G139,"Yes")),"Ok",IF(AND(EXACT(B139,"&lt;M&gt;"),EXACT(G139,"No")),"Warning! Knock-out!","No answer selected."))</f>
        <v>No answer selected.</v>
      </c>
      <c r="I139" s="58" t="s">
        <v>134</v>
      </c>
    </row>
    <row r="140" spans="1:9" ht="262.35000000000002" customHeight="1" thickBot="1" x14ac:dyDescent="0.3">
      <c r="A140" s="26" t="s">
        <v>104</v>
      </c>
      <c r="B140" s="26" t="s">
        <v>4</v>
      </c>
      <c r="C140" s="26" t="s">
        <v>412</v>
      </c>
      <c r="D140" s="34" t="s">
        <v>156</v>
      </c>
      <c r="E140" s="56">
        <f>'Technical Area'!A$58*5</f>
        <v>0.80213903743315507</v>
      </c>
      <c r="F140" s="36" t="s">
        <v>397</v>
      </c>
      <c r="G140" s="52" t="s">
        <v>296</v>
      </c>
      <c r="H140" s="35" t="str">
        <f>IF(NOT(EXACT(LEFT(G140,2),"No")),"The score will be assigned by the KNMI assessment team.",0)</f>
        <v>The score will be assigned by the KNMI assessment team.</v>
      </c>
      <c r="I140" s="56" t="e">
        <f>H140*E140</f>
        <v>#VALUE!</v>
      </c>
    </row>
    <row r="141" spans="1:9" s="1" customFormat="1" ht="18" customHeight="1" thickBot="1" x14ac:dyDescent="0.3">
      <c r="A141" s="110" t="s">
        <v>356</v>
      </c>
      <c r="B141" s="110"/>
      <c r="C141" s="110"/>
      <c r="D141" s="110"/>
      <c r="E141" s="110"/>
      <c r="F141" s="110"/>
      <c r="G141" s="110"/>
      <c r="H141" s="110"/>
      <c r="I141" s="110"/>
    </row>
    <row r="142" spans="1:9" ht="88.35" customHeight="1" thickTop="1" thickBot="1" x14ac:dyDescent="0.3">
      <c r="A142" s="21" t="s">
        <v>105</v>
      </c>
      <c r="B142" s="21" t="s">
        <v>2</v>
      </c>
      <c r="C142" s="21" t="s">
        <v>292</v>
      </c>
      <c r="D142" s="22" t="s">
        <v>153</v>
      </c>
      <c r="E142" s="58" t="s">
        <v>134</v>
      </c>
      <c r="F142" s="44" t="s">
        <v>329</v>
      </c>
      <c r="G142" s="50" t="s">
        <v>297</v>
      </c>
      <c r="H142" s="35" t="str">
        <f>IF(AND(EXACT(B142,"&lt;M&gt;"),EXACT(G142,"Yes")),"Ok",IF(AND(EXACT(B142,"&lt;M&gt;"),EXACT(G142,"No")),"Warning! Knock-out!","No answer selected."))</f>
        <v>No answer selected.</v>
      </c>
      <c r="I142" s="58" t="s">
        <v>134</v>
      </c>
    </row>
    <row r="143" spans="1:9" ht="50.25" thickBot="1" x14ac:dyDescent="0.3">
      <c r="A143" s="26" t="s">
        <v>106</v>
      </c>
      <c r="B143" s="26" t="s">
        <v>2</v>
      </c>
      <c r="C143" s="85" t="s">
        <v>463</v>
      </c>
      <c r="D143" s="36" t="s">
        <v>153</v>
      </c>
      <c r="E143" s="56" t="s">
        <v>134</v>
      </c>
      <c r="F143" s="44" t="s">
        <v>329</v>
      </c>
      <c r="G143" s="48" t="s">
        <v>297</v>
      </c>
      <c r="H143" s="35" t="str">
        <f>IF(AND(EXACT(B143,"&lt;M&gt;"),EXACT(G143,"Yes")),"Ok",IF(AND(EXACT(B143,"&lt;M&gt;"),EXACT(G143,"No")),"Warning! Knock-out!","No answer selected."))</f>
        <v>No answer selected.</v>
      </c>
      <c r="I143" s="56" t="s">
        <v>134</v>
      </c>
    </row>
    <row r="144" spans="1:9" ht="83.25" thickBot="1" x14ac:dyDescent="0.3">
      <c r="A144" s="26" t="s">
        <v>107</v>
      </c>
      <c r="B144" s="26" t="s">
        <v>2</v>
      </c>
      <c r="C144" s="85" t="s">
        <v>464</v>
      </c>
      <c r="D144" s="36" t="s">
        <v>153</v>
      </c>
      <c r="E144" s="56" t="s">
        <v>134</v>
      </c>
      <c r="F144" s="44" t="s">
        <v>329</v>
      </c>
      <c r="G144" s="48" t="s">
        <v>297</v>
      </c>
      <c r="H144" s="35" t="str">
        <f>IF(AND(EXACT(B144,"&lt;M&gt;"),EXACT(G144,"Yes")),"Ok",IF(AND(EXACT(B144,"&lt;M&gt;"),EXACT(G144,"No")),"Warning! Knock-out!","No answer selected."))</f>
        <v>No answer selected.</v>
      </c>
      <c r="I144" s="56" t="s">
        <v>134</v>
      </c>
    </row>
    <row r="145" spans="1:9" ht="17.25" thickBot="1" x14ac:dyDescent="0.3">
      <c r="A145" s="116" t="s">
        <v>438</v>
      </c>
      <c r="B145" s="116" t="s">
        <v>2</v>
      </c>
      <c r="C145" s="116" t="s">
        <v>197</v>
      </c>
      <c r="D145" s="129" t="s">
        <v>155</v>
      </c>
      <c r="E145" s="115" t="s">
        <v>134</v>
      </c>
      <c r="F145" s="129" t="s">
        <v>329</v>
      </c>
      <c r="G145" s="48" t="s">
        <v>297</v>
      </c>
      <c r="H145" s="35" t="str">
        <f>IF(AND(EXACT(B145,"&lt;M&gt;"),EXACT(G145,"Yes")),"Ok",IF(AND(EXACT(B145,"&lt;M&gt;"),EXACT(G145,"No")),"Warning! Knock-out!","No answer selected."))</f>
        <v>No answer selected.</v>
      </c>
      <c r="I145" s="115" t="s">
        <v>134</v>
      </c>
    </row>
    <row r="146" spans="1:9" s="32" customFormat="1" ht="56.65" customHeight="1" thickBot="1" x14ac:dyDescent="0.3">
      <c r="A146" s="117"/>
      <c r="B146" s="117"/>
      <c r="C146" s="117"/>
      <c r="D146" s="101"/>
      <c r="E146" s="104"/>
      <c r="F146" s="101"/>
      <c r="G146" s="67" t="s">
        <v>274</v>
      </c>
      <c r="H146" s="35" t="str">
        <f>IF(EXACT(G146,"Specify the typical repair time in this field."),"No repair time specified.",G146)</f>
        <v>No repair time specified.</v>
      </c>
      <c r="I146" s="104"/>
    </row>
    <row r="147" spans="1:9" ht="41.65" customHeight="1" thickBot="1" x14ac:dyDescent="0.3">
      <c r="A147" s="116" t="s">
        <v>108</v>
      </c>
      <c r="B147" s="116" t="s">
        <v>2</v>
      </c>
      <c r="C147" s="116" t="s">
        <v>368</v>
      </c>
      <c r="D147" s="129" t="s">
        <v>155</v>
      </c>
      <c r="E147" s="115" t="s">
        <v>134</v>
      </c>
      <c r="F147" s="129" t="s">
        <v>329</v>
      </c>
      <c r="G147" s="48" t="s">
        <v>297</v>
      </c>
      <c r="H147" s="35" t="str">
        <f>IF(       AND(EXACT(B147,"&lt;M&gt;"),     EXACT(LEFT(G147,3),"Yes")            ),"Ok",IF(AND(EXACT(B147,"&lt;M&gt;"),EXACT(G147,"No")),"Warning! Knock-out!","No answer selected."))</f>
        <v>No answer selected.</v>
      </c>
      <c r="I147" s="115" t="s">
        <v>134</v>
      </c>
    </row>
    <row r="148" spans="1:9" s="68" customFormat="1" ht="124.9" customHeight="1" thickBot="1" x14ac:dyDescent="0.3">
      <c r="A148" s="117"/>
      <c r="B148" s="117"/>
      <c r="C148" s="117"/>
      <c r="D148" s="101"/>
      <c r="E148" s="104"/>
      <c r="F148" s="101"/>
      <c r="G148" s="74" t="s">
        <v>427</v>
      </c>
      <c r="H148" s="35" t="str">
        <f>IF(EXACT(G148,"Specify the requested list or # of additional spares here."),"No answer specified.",G148)</f>
        <v>No answer specified.</v>
      </c>
      <c r="I148" s="104"/>
    </row>
    <row r="149" spans="1:9" ht="50.25" thickBot="1" x14ac:dyDescent="0.3">
      <c r="A149" s="26" t="s">
        <v>109</v>
      </c>
      <c r="B149" s="26" t="s">
        <v>2</v>
      </c>
      <c r="C149" s="26" t="s">
        <v>324</v>
      </c>
      <c r="D149" s="36" t="s">
        <v>153</v>
      </c>
      <c r="E149" s="56" t="s">
        <v>134</v>
      </c>
      <c r="F149" s="44" t="s">
        <v>329</v>
      </c>
      <c r="G149" s="48" t="s">
        <v>297</v>
      </c>
      <c r="H149" s="35" t="str">
        <f>IF(AND(EXACT(B149,"&lt;M&gt;"),EXACT(G149,"Yes")),"Ok",IF(AND(EXACT(B149,"&lt;M&gt;"),EXACT(G149,"No")),"Warning! Knock-out!","No answer selected."))</f>
        <v>No answer selected.</v>
      </c>
      <c r="I149" s="56" t="s">
        <v>134</v>
      </c>
    </row>
    <row r="150" spans="1:9" s="32" customFormat="1" ht="50.25" thickBot="1" x14ac:dyDescent="0.3">
      <c r="A150" s="41" t="s">
        <v>180</v>
      </c>
      <c r="B150" s="41" t="s">
        <v>2</v>
      </c>
      <c r="C150" s="41" t="s">
        <v>282</v>
      </c>
      <c r="D150" s="40" t="s">
        <v>153</v>
      </c>
      <c r="E150" s="56" t="s">
        <v>134</v>
      </c>
      <c r="F150" s="44" t="s">
        <v>329</v>
      </c>
      <c r="G150" s="48" t="s">
        <v>297</v>
      </c>
      <c r="H150" s="35" t="str">
        <f>IF(AND(EXACT(B150,"&lt;M&gt;"),EXACT(G150,"Yes")),"Ok",IF(AND(EXACT(B150,"&lt;M&gt;"),EXACT(G150,"No")),"Warning! Knock-out!","No answer selected."))</f>
        <v>No answer selected.</v>
      </c>
      <c r="I150" s="56" t="s">
        <v>134</v>
      </c>
    </row>
    <row r="151" spans="1:9" ht="157.5" customHeight="1" thickBot="1" x14ac:dyDescent="0.3">
      <c r="A151" s="26" t="s">
        <v>181</v>
      </c>
      <c r="B151" s="26" t="s">
        <v>2</v>
      </c>
      <c r="C151" s="26" t="s">
        <v>429</v>
      </c>
      <c r="D151" s="36" t="s">
        <v>153</v>
      </c>
      <c r="E151" s="56" t="s">
        <v>134</v>
      </c>
      <c r="F151" s="44" t="s">
        <v>329</v>
      </c>
      <c r="G151" s="48" t="s">
        <v>297</v>
      </c>
      <c r="H151" s="35" t="str">
        <f>IF(AND(EXACT(B151,"&lt;M&gt;"),EXACT(G151,"Yes")),"Ok",IF(AND(EXACT(B151,"&lt;M&gt;"),EXACT(G151,"No")),"Warning! Knock-out!","No answer selected."))</f>
        <v>No answer selected.</v>
      </c>
      <c r="I151" s="56" t="s">
        <v>134</v>
      </c>
    </row>
    <row r="152" spans="1:9" ht="18" customHeight="1" thickBot="1" x14ac:dyDescent="0.3">
      <c r="A152" s="110" t="s">
        <v>357</v>
      </c>
      <c r="B152" s="110"/>
      <c r="C152" s="110"/>
      <c r="D152" s="110"/>
      <c r="E152" s="110"/>
      <c r="F152" s="110"/>
      <c r="G152" s="110"/>
      <c r="H152" s="110"/>
      <c r="I152" s="110"/>
    </row>
    <row r="153" spans="1:9" ht="51" thickTop="1" thickBot="1" x14ac:dyDescent="0.3">
      <c r="A153" s="21" t="s">
        <v>182</v>
      </c>
      <c r="B153" s="21" t="s">
        <v>2</v>
      </c>
      <c r="C153" s="21" t="s">
        <v>428</v>
      </c>
      <c r="D153" s="28" t="s">
        <v>153</v>
      </c>
      <c r="E153" s="58" t="s">
        <v>134</v>
      </c>
      <c r="F153" s="44" t="s">
        <v>329</v>
      </c>
      <c r="G153" s="50" t="s">
        <v>297</v>
      </c>
      <c r="H153" s="35" t="str">
        <f>IF(AND(EXACT(B153,"&lt;M&gt;"),EXACT(G153,"Yes")),"Ok",IF(AND(EXACT(B153,"&lt;M&gt;"),EXACT(G153,"No")),"Warning! Knock-out!","No answer selected."))</f>
        <v>No answer selected.</v>
      </c>
      <c r="I153" s="58" t="s">
        <v>134</v>
      </c>
    </row>
    <row r="154" spans="1:9" ht="17.25" thickBot="1" x14ac:dyDescent="0.3">
      <c r="A154" s="11"/>
      <c r="B154" s="37"/>
      <c r="C154" s="11"/>
      <c r="D154" s="23"/>
      <c r="E154" s="56"/>
      <c r="F154" s="24"/>
      <c r="G154" s="24"/>
      <c r="H154" s="5"/>
      <c r="I154" s="56"/>
    </row>
    <row r="155" spans="1:9" ht="20.65" customHeight="1" thickBot="1" x14ac:dyDescent="0.3">
      <c r="A155" s="97" t="s">
        <v>358</v>
      </c>
      <c r="B155" s="97"/>
      <c r="C155" s="97"/>
      <c r="D155" s="97"/>
      <c r="E155" s="97"/>
      <c r="F155" s="97"/>
      <c r="G155" s="97"/>
      <c r="H155" s="97"/>
      <c r="I155" s="97"/>
    </row>
    <row r="156" spans="1:9" ht="100.5" thickTop="1" thickBot="1" x14ac:dyDescent="0.3">
      <c r="A156" s="43" t="s">
        <v>111</v>
      </c>
      <c r="B156" s="43" t="s">
        <v>2</v>
      </c>
      <c r="C156" s="43" t="s">
        <v>325</v>
      </c>
      <c r="D156" s="29" t="s">
        <v>153</v>
      </c>
      <c r="E156" s="60" t="s">
        <v>134</v>
      </c>
      <c r="F156" s="44" t="s">
        <v>329</v>
      </c>
      <c r="G156" s="51" t="s">
        <v>297</v>
      </c>
      <c r="H156" s="35" t="str">
        <f>IF(AND(EXACT(B156,"&lt;M&gt;"),EXACT(G156,"Yes")),"Ok",IF(AND(EXACT(B156,"&lt;M&gt;"),EXACT(G156,"No")),"Warning! Knock-out!","No answer selected."))</f>
        <v>No answer selected.</v>
      </c>
      <c r="I156" s="60" t="s">
        <v>134</v>
      </c>
    </row>
    <row r="157" spans="1:9" ht="66.75" thickBot="1" x14ac:dyDescent="0.3">
      <c r="A157" s="26" t="s">
        <v>112</v>
      </c>
      <c r="B157" s="26" t="s">
        <v>2</v>
      </c>
      <c r="C157" s="26" t="s">
        <v>185</v>
      </c>
      <c r="D157" s="36" t="s">
        <v>153</v>
      </c>
      <c r="E157" s="56" t="s">
        <v>134</v>
      </c>
      <c r="F157" s="44" t="s">
        <v>329</v>
      </c>
      <c r="G157" s="48" t="s">
        <v>297</v>
      </c>
      <c r="H157" s="35" t="str">
        <f>IF(AND(EXACT(B157,"&lt;M&gt;"),EXACT(G157,"Yes")),"Ok",IF(AND(EXACT(B157,"&lt;M&gt;"),EXACT(G157,"No")),"Warning! Knock-out!","No answer selected."))</f>
        <v>No answer selected.</v>
      </c>
      <c r="I157" s="56" t="s">
        <v>134</v>
      </c>
    </row>
    <row r="158" spans="1:9" ht="83.25" thickBot="1" x14ac:dyDescent="0.3">
      <c r="A158" s="26" t="s">
        <v>113</v>
      </c>
      <c r="B158" s="26" t="s">
        <v>2</v>
      </c>
      <c r="C158" s="26" t="s">
        <v>327</v>
      </c>
      <c r="D158" s="36" t="s">
        <v>153</v>
      </c>
      <c r="E158" s="56" t="s">
        <v>134</v>
      </c>
      <c r="F158" s="44" t="s">
        <v>329</v>
      </c>
      <c r="G158" s="48" t="s">
        <v>297</v>
      </c>
      <c r="H158" s="35" t="str">
        <f>IF(AND(EXACT(B158,"&lt;M&gt;"),EXACT(G158,"Yes")),"Ok",IF(AND(EXACT(B158,"&lt;M&gt;"),EXACT(G158,"No")),"Warning! Knock-out!","No answer selected."))</f>
        <v>No answer selected.</v>
      </c>
      <c r="I158" s="56" t="s">
        <v>134</v>
      </c>
    </row>
    <row r="159" spans="1:9" ht="174" customHeight="1" thickBot="1" x14ac:dyDescent="0.3">
      <c r="A159" s="26" t="s">
        <v>114</v>
      </c>
      <c r="B159" s="26" t="s">
        <v>4</v>
      </c>
      <c r="C159" s="26" t="s">
        <v>228</v>
      </c>
      <c r="D159" s="36" t="s">
        <v>156</v>
      </c>
      <c r="E159" s="56">
        <f>'Technical Area'!A$58*5</f>
        <v>0.80213903743315507</v>
      </c>
      <c r="F159" s="34" t="s">
        <v>398</v>
      </c>
      <c r="G159" s="52" t="s">
        <v>296</v>
      </c>
      <c r="H159" s="35" t="str">
        <f>IF(NOT(EXACT(LEFT(G159,2),"No")),"The score will be assigned by the KNMI assessment team.",0)</f>
        <v>The score will be assigned by the KNMI assessment team.</v>
      </c>
      <c r="I159" s="56" t="e">
        <f>H159*E159</f>
        <v>#VALUE!</v>
      </c>
    </row>
    <row r="160" spans="1:9" ht="33.75" thickBot="1" x14ac:dyDescent="0.3">
      <c r="A160" s="26" t="s">
        <v>115</v>
      </c>
      <c r="B160" s="26" t="s">
        <v>2</v>
      </c>
      <c r="C160" s="26" t="s">
        <v>121</v>
      </c>
      <c r="D160" s="36" t="s">
        <v>153</v>
      </c>
      <c r="E160" s="56" t="s">
        <v>134</v>
      </c>
      <c r="F160" s="44" t="s">
        <v>329</v>
      </c>
      <c r="G160" s="48" t="s">
        <v>297</v>
      </c>
      <c r="H160" s="35" t="str">
        <f>IF(AND(EXACT(B160,"&lt;M&gt;"),EXACT(G160,"Yes")),"Ok",IF(AND(EXACT(B160,"&lt;M&gt;"),EXACT(G160,"No")),"Warning! Knock-out!","No answer selected."))</f>
        <v>No answer selected.</v>
      </c>
      <c r="I160" s="56" t="s">
        <v>134</v>
      </c>
    </row>
    <row r="161" spans="1:9" ht="17.25" thickBot="1" x14ac:dyDescent="0.3">
      <c r="A161" s="11"/>
      <c r="B161" s="37"/>
      <c r="C161" s="11"/>
      <c r="D161" s="23"/>
      <c r="E161" s="56"/>
      <c r="F161" s="24"/>
      <c r="G161" s="24"/>
      <c r="H161" s="5"/>
      <c r="I161" s="56"/>
    </row>
    <row r="162" spans="1:9" ht="20.65" customHeight="1" thickBot="1" x14ac:dyDescent="0.3">
      <c r="A162" s="97" t="s">
        <v>359</v>
      </c>
      <c r="B162" s="97"/>
      <c r="C162" s="97"/>
      <c r="D162" s="97"/>
      <c r="E162" s="97"/>
      <c r="F162" s="97"/>
      <c r="G162" s="97"/>
      <c r="H162" s="97"/>
      <c r="I162" s="97"/>
    </row>
    <row r="163" spans="1:9" ht="69.75" customHeight="1" thickTop="1" thickBot="1" x14ac:dyDescent="0.3">
      <c r="A163" s="108" t="s">
        <v>116</v>
      </c>
      <c r="B163" s="108" t="s">
        <v>2</v>
      </c>
      <c r="C163" s="43" t="s">
        <v>198</v>
      </c>
      <c r="D163" s="118" t="s">
        <v>153</v>
      </c>
      <c r="E163" s="124" t="s">
        <v>134</v>
      </c>
      <c r="F163" s="118" t="s">
        <v>329</v>
      </c>
      <c r="G163" s="120" t="s">
        <v>297</v>
      </c>
      <c r="H163" s="122" t="str">
        <f>IF(AND(EXACT(B163,"&lt;M&gt;"),EXACT(G163,"Yes")),"Ok",IF(AND(EXACT(B163,"&lt;M&gt;"),EXACT(G163,"No")),"Warning! Knock-out!","No answer selected."))</f>
        <v>No answer selected.</v>
      </c>
      <c r="I163" s="123" t="s">
        <v>134</v>
      </c>
    </row>
    <row r="164" spans="1:9" ht="201" customHeight="1" thickBot="1" x14ac:dyDescent="0.3">
      <c r="A164" s="109"/>
      <c r="B164" s="109"/>
      <c r="C164" s="26" t="s">
        <v>184</v>
      </c>
      <c r="D164" s="119"/>
      <c r="E164" s="125"/>
      <c r="F164" s="119"/>
      <c r="G164" s="121"/>
      <c r="H164" s="106"/>
      <c r="I164" s="103"/>
    </row>
    <row r="165" spans="1:9" ht="218.25" customHeight="1" thickBot="1" x14ac:dyDescent="0.3">
      <c r="A165" s="109"/>
      <c r="B165" s="109"/>
      <c r="C165" s="26" t="s">
        <v>183</v>
      </c>
      <c r="D165" s="119"/>
      <c r="E165" s="125"/>
      <c r="F165" s="119"/>
      <c r="G165" s="121"/>
      <c r="H165" s="107"/>
      <c r="I165" s="104"/>
    </row>
    <row r="166" spans="1:9" s="68" customFormat="1" ht="66.75" thickBot="1" x14ac:dyDescent="0.3">
      <c r="A166" s="79" t="s">
        <v>117</v>
      </c>
      <c r="B166" s="79" t="s">
        <v>2</v>
      </c>
      <c r="C166" s="79" t="s">
        <v>432</v>
      </c>
      <c r="D166" s="76" t="s">
        <v>153</v>
      </c>
      <c r="E166" s="78" t="s">
        <v>134</v>
      </c>
      <c r="F166" s="44" t="s">
        <v>329</v>
      </c>
      <c r="G166" s="77" t="s">
        <v>297</v>
      </c>
      <c r="H166" s="35" t="str">
        <f>IF(AND(EXACT(B166,"&lt;M&gt;"),EXACT(G166,"Yes")),"Ok",IF(AND(EXACT(B166,"&lt;M&gt;"),EXACT(G166,"No")),"Warning! Knock-out!","No answer selected."))</f>
        <v>No answer selected.</v>
      </c>
      <c r="I166" s="78" t="s">
        <v>134</v>
      </c>
    </row>
    <row r="167" spans="1:9" ht="33.75" thickBot="1" x14ac:dyDescent="0.3">
      <c r="A167" s="26" t="s">
        <v>118</v>
      </c>
      <c r="B167" s="26" t="s">
        <v>2</v>
      </c>
      <c r="C167" s="26" t="s">
        <v>280</v>
      </c>
      <c r="D167" s="36" t="s">
        <v>153</v>
      </c>
      <c r="E167" s="56" t="s">
        <v>134</v>
      </c>
      <c r="F167" s="44" t="s">
        <v>329</v>
      </c>
      <c r="G167" s="48" t="s">
        <v>297</v>
      </c>
      <c r="H167" s="35" t="str">
        <f>IF(AND(EXACT(B167,"&lt;M&gt;"),EXACT(G167,"Yes")),"Ok",IF(AND(EXACT(B167,"&lt;M&gt;"),EXACT(G167,"No")),"Warning! Knock-out!","No answer selected."))</f>
        <v>No answer selected.</v>
      </c>
      <c r="I167" s="56" t="s">
        <v>134</v>
      </c>
    </row>
    <row r="168" spans="1:9" ht="153.75" customHeight="1" thickBot="1" x14ac:dyDescent="0.3">
      <c r="A168" s="26" t="s">
        <v>431</v>
      </c>
      <c r="B168" s="26" t="s">
        <v>4</v>
      </c>
      <c r="C168" s="26" t="s">
        <v>222</v>
      </c>
      <c r="D168" s="36" t="s">
        <v>156</v>
      </c>
      <c r="E168" s="56">
        <f>'Technical Area'!A$58*5</f>
        <v>0.80213903743315507</v>
      </c>
      <c r="F168" s="34" t="s">
        <v>413</v>
      </c>
      <c r="G168" s="64" t="s">
        <v>297</v>
      </c>
      <c r="H168" s="35" t="str">
        <f>IF(NOT(EXACT(LEFT(G168,2),"No")),"The score will be assigned by the KNMI assessment team.",0)</f>
        <v>The score will be assigned by the KNMI assessment team.</v>
      </c>
      <c r="I168" s="56" t="e">
        <f>H168*E168</f>
        <v>#VALUE!</v>
      </c>
    </row>
  </sheetData>
  <sheetProtection algorithmName="SHA-512" hashValue="i9NExL5cL9kL7WnqQK8txb8e8+EEU07saiDik/y5raib9chwiD2KYqu3SND2kusUPOpFjxr02/Oc+LJgtQkUbA==" saltValue="EQrwVyc6YLF7J8xQc/ga2A==" spinCount="100000" sheet="1" objects="1" scenarios="1" formatRows="0"/>
  <protectedRanges>
    <protectedRange sqref="G5:G168" name="Tenderer Answers"/>
  </protectedRanges>
  <mergeCells count="74">
    <mergeCell ref="C147:C148"/>
    <mergeCell ref="D147:D148"/>
    <mergeCell ref="E147:E148"/>
    <mergeCell ref="F147:F148"/>
    <mergeCell ref="I147:I148"/>
    <mergeCell ref="A114:I114"/>
    <mergeCell ref="A129:I129"/>
    <mergeCell ref="A138:I138"/>
    <mergeCell ref="A162:I162"/>
    <mergeCell ref="A118:I118"/>
    <mergeCell ref="A137:I137"/>
    <mergeCell ref="A141:I141"/>
    <mergeCell ref="A152:I152"/>
    <mergeCell ref="A155:I155"/>
    <mergeCell ref="F145:F146"/>
    <mergeCell ref="D145:D146"/>
    <mergeCell ref="E145:E146"/>
    <mergeCell ref="A145:A146"/>
    <mergeCell ref="B145:B146"/>
    <mergeCell ref="A147:A148"/>
    <mergeCell ref="B147:B148"/>
    <mergeCell ref="A40:I40"/>
    <mergeCell ref="F66:F67"/>
    <mergeCell ref="I66:I67"/>
    <mergeCell ref="H66:H67"/>
    <mergeCell ref="A66:A67"/>
    <mergeCell ref="B66:B67"/>
    <mergeCell ref="C66:C67"/>
    <mergeCell ref="D66:D67"/>
    <mergeCell ref="E66:E67"/>
    <mergeCell ref="A1:G1"/>
    <mergeCell ref="H1:I1"/>
    <mergeCell ref="A26:I26"/>
    <mergeCell ref="A29:I29"/>
    <mergeCell ref="A39:I39"/>
    <mergeCell ref="A7:I7"/>
    <mergeCell ref="A12:I12"/>
    <mergeCell ref="A16:I16"/>
    <mergeCell ref="A22:I22"/>
    <mergeCell ref="A3:I3"/>
    <mergeCell ref="A4:I4"/>
    <mergeCell ref="D163:D165"/>
    <mergeCell ref="G163:G165"/>
    <mergeCell ref="H163:H165"/>
    <mergeCell ref="I163:I165"/>
    <mergeCell ref="E163:E165"/>
    <mergeCell ref="F163:F165"/>
    <mergeCell ref="A163:A165"/>
    <mergeCell ref="B163:B165"/>
    <mergeCell ref="A44:I44"/>
    <mergeCell ref="A48:I48"/>
    <mergeCell ref="A50:I50"/>
    <mergeCell ref="A52:I52"/>
    <mergeCell ref="A55:I55"/>
    <mergeCell ref="A56:I56"/>
    <mergeCell ref="A64:I64"/>
    <mergeCell ref="I105:I107"/>
    <mergeCell ref="B105:B107"/>
    <mergeCell ref="A105:A107"/>
    <mergeCell ref="G105:G107"/>
    <mergeCell ref="I145:I146"/>
    <mergeCell ref="C145:C146"/>
    <mergeCell ref="A111:I111"/>
    <mergeCell ref="A97:I97"/>
    <mergeCell ref="A104:I104"/>
    <mergeCell ref="D105:D107"/>
    <mergeCell ref="E105:E107"/>
    <mergeCell ref="F105:F107"/>
    <mergeCell ref="H105:H107"/>
    <mergeCell ref="A73:I73"/>
    <mergeCell ref="A80:I80"/>
    <mergeCell ref="A85:I85"/>
    <mergeCell ref="A86:I86"/>
    <mergeCell ref="A90:I90"/>
  </mergeCells>
  <phoneticPr fontId="2" type="noConversion"/>
  <conditionalFormatting sqref="B156:B161 B5:B6 A139:B140 A152 A155:A163 A153:B154 B8:B11 B13:B15 B17:B21 B23:B25 B27:B28 B30:B38 B41:B43 B45:B47 B49 B51 B53:B54 B57:B63 B65:B66 A5:A66 B74:B79 B81:B84 B87:B89 A118 A141 B91:B96 B98:B103 B105 A112:B113 A111 A115:B117 A114 A129 A137:A138 B163 A68:A105 B68:B72 A108:B110 A130:B136 A147:B147 A149:B151 A166:B168 A142:B145 A119:B128">
    <cfRule type="expression" dxfId="244" priority="569" stopIfTrue="1">
      <formula>EXACT($B5,"&lt;D&gt;")</formula>
    </cfRule>
    <cfRule type="expression" dxfId="243" priority="570" stopIfTrue="1">
      <formula>EXACT($B5,"&lt;M&gt;")</formula>
    </cfRule>
  </conditionalFormatting>
  <conditionalFormatting sqref="H5:I5">
    <cfRule type="expression" dxfId="242" priority="487">
      <formula>AND( EXACT(B5,"&lt;M&gt;"), EXACT(G5,"No"))</formula>
    </cfRule>
    <cfRule type="expression" dxfId="241" priority="488">
      <formula>AND( EXACT(B5,"&lt;M&gt;"), EXACT(G5,"Yes"))</formula>
    </cfRule>
  </conditionalFormatting>
  <conditionalFormatting sqref="I8">
    <cfRule type="expression" dxfId="240" priority="485">
      <formula>AND( EXACT(C8,"&lt;M&gt;"), EXACT(H8,"No"))</formula>
    </cfRule>
    <cfRule type="expression" dxfId="239" priority="486">
      <formula>AND( EXACT(C8,"&lt;M&gt;"), EXACT(H8,"Yes"))</formula>
    </cfRule>
  </conditionalFormatting>
  <conditionalFormatting sqref="I9">
    <cfRule type="expression" dxfId="238" priority="483">
      <formula>AND( EXACT(C9,"&lt;M&gt;"), EXACT(H9,"No"))</formula>
    </cfRule>
    <cfRule type="expression" dxfId="237" priority="484">
      <formula>AND( EXACT(C9,"&lt;M&gt;"), EXACT(H9,"Yes"))</formula>
    </cfRule>
  </conditionalFormatting>
  <conditionalFormatting sqref="H27">
    <cfRule type="expression" dxfId="236" priority="463">
      <formula>AND( EXACT(B27,"&lt;M&gt;"), EXACT(G27,"No"))</formula>
    </cfRule>
    <cfRule type="expression" dxfId="235" priority="464">
      <formula>AND( EXACT(B27,"&lt;M&gt;"), EXACT(LEFT(G27,3),"Yes"))</formula>
    </cfRule>
  </conditionalFormatting>
  <conditionalFormatting sqref="H53">
    <cfRule type="expression" dxfId="234" priority="439">
      <formula>AND( EXACT(B53,"&lt;M&gt;"), EXACT(LEFT(G53,2),"No"))</formula>
    </cfRule>
    <cfRule type="expression" dxfId="233" priority="440">
      <formula>AND( EXACT(B53,"&lt;M&gt;"), EXACT(LEFT(G53,3),"Yes"))</formula>
    </cfRule>
  </conditionalFormatting>
  <conditionalFormatting sqref="H62">
    <cfRule type="cellIs" dxfId="232" priority="18" operator="between">
      <formula>0</formula>
      <formula>5</formula>
    </cfRule>
    <cfRule type="expression" dxfId="231" priority="425">
      <formula>AND( EXACT(B62,"&lt;M&gt;"), EXACT(G62,"No"))</formula>
    </cfRule>
    <cfRule type="expression" dxfId="230" priority="426">
      <formula>AND( EXACT(B62,"&lt;M&gt;"), EXACT(G62,"Yes"))</formula>
    </cfRule>
  </conditionalFormatting>
  <conditionalFormatting sqref="H79">
    <cfRule type="cellIs" dxfId="229" priority="17" operator="between">
      <formula>0</formula>
      <formula>5</formula>
    </cfRule>
    <cfRule type="expression" dxfId="228" priority="401">
      <formula>AND( EXACT(B79,"&lt;M&gt;"), EXACT(G79,"No"))</formula>
    </cfRule>
    <cfRule type="expression" dxfId="227" priority="402">
      <formula>AND( EXACT(B79,"&lt;M&gt;"), EXACT(G79,"Yes"))</formula>
    </cfRule>
  </conditionalFormatting>
  <conditionalFormatting sqref="H100">
    <cfRule type="cellIs" dxfId="226" priority="15" operator="between">
      <formula>0</formula>
      <formula>5</formula>
    </cfRule>
    <cfRule type="expression" dxfId="225" priority="373">
      <formula>AND( EXACT(B100,"&lt;M&gt;"), EXACT(G100,"No"))</formula>
    </cfRule>
    <cfRule type="expression" dxfId="224" priority="374">
      <formula>AND( EXACT(B100,"&lt;M&gt;"), EXACT(G100,"Yes"))</formula>
    </cfRule>
  </conditionalFormatting>
  <conditionalFormatting sqref="H103">
    <cfRule type="cellIs" dxfId="223" priority="14" operator="between">
      <formula>0</formula>
      <formula>5</formula>
    </cfRule>
    <cfRule type="expression" dxfId="222" priority="371">
      <formula>AND( EXACT(B103,"&lt;M&gt;"), EXACT(G103,"No"))</formula>
    </cfRule>
    <cfRule type="expression" dxfId="221" priority="372">
      <formula>AND( EXACT(B103,"&lt;M&gt;"), EXACT(G103,"Yes"))</formula>
    </cfRule>
  </conditionalFormatting>
  <conditionalFormatting sqref="H123">
    <cfRule type="cellIs" dxfId="220" priority="13" operator="between">
      <formula>0</formula>
      <formula>5</formula>
    </cfRule>
    <cfRule type="expression" dxfId="219" priority="345">
      <formula>AND( EXACT(B123,"&lt;M&gt;"), EXACT(G123,"No"))</formula>
    </cfRule>
    <cfRule type="expression" dxfId="218" priority="346">
      <formula>AND( EXACT(B123,"&lt;M&gt;"), EXACT(G123,"Yes"))</formula>
    </cfRule>
  </conditionalFormatting>
  <conditionalFormatting sqref="H167">
    <cfRule type="expression" dxfId="217" priority="300">
      <formula>AND( EXACT(B167,"&lt;M&gt;"), EXACT(G167,"No"))</formula>
    </cfRule>
    <cfRule type="expression" dxfId="216" priority="301">
      <formula>AND( EXACT(B167,"&lt;M&gt;"), EXACT(G167,"Yes"))</formula>
    </cfRule>
  </conditionalFormatting>
  <conditionalFormatting sqref="H147">
    <cfRule type="expression" dxfId="215" priority="318">
      <formula>AND( EXACT(B147,"&lt;M&gt;"), EXACT(G147,"No"))</formula>
    </cfRule>
    <cfRule type="expression" dxfId="214" priority="319">
      <formula>AND( EXACT(B147,"&lt;M&gt;"),EXACT(LEFT(G147,3),"Yes"))</formula>
    </cfRule>
  </conditionalFormatting>
  <conditionalFormatting sqref="H163">
    <cfRule type="expression" dxfId="213" priority="302">
      <formula>AND( EXACT(B163,"&lt;M&gt;"), EXACT(G163,"No"))</formula>
    </cfRule>
    <cfRule type="expression" dxfId="212" priority="303">
      <formula>AND( EXACT(B163,"&lt;M&gt;"), EXACT(G163,"Yes"))</formula>
    </cfRule>
  </conditionalFormatting>
  <conditionalFormatting sqref="H6">
    <cfRule type="expression" dxfId="211" priority="287">
      <formula>AND( EXACT(B6,"&lt;D&gt;"), EXACT(LEFT(G6,3),"Yes"))</formula>
    </cfRule>
    <cfRule type="expression" dxfId="210" priority="288">
      <formula>AND( EXACT(B6,"&lt;D&gt;"), EXACT(LEFT(G6,2),"No"))</formula>
    </cfRule>
  </conditionalFormatting>
  <conditionalFormatting sqref="H10">
    <cfRule type="expression" dxfId="209" priority="285">
      <formula>AND( EXACT(B10,"&lt;D&gt;"), EXACT(LEFT(G10,3),"Yes"))</formula>
    </cfRule>
    <cfRule type="expression" dxfId="208" priority="286">
      <formula>AND( EXACT(B10,"&lt;D&gt;"), EXACT(LEFT(G10,2),"No"))</formula>
    </cfRule>
  </conditionalFormatting>
  <conditionalFormatting sqref="H105">
    <cfRule type="expression" dxfId="207" priority="235">
      <formula>AND( EXACT(B105,"&lt;M&gt;"), EXACT(G105,"No"))</formula>
    </cfRule>
    <cfRule type="expression" dxfId="206" priority="236">
      <formula>AND( EXACT(B105,"&lt;M&gt;"), EXACT(LEFT(G105,3),"Yes"))</formula>
    </cfRule>
  </conditionalFormatting>
  <conditionalFormatting sqref="H94">
    <cfRule type="expression" dxfId="205" priority="229">
      <formula>AND( EXACT(B94,"&lt;M&gt;"), EXACT(G94,"No"))</formula>
    </cfRule>
    <cfRule type="expression" dxfId="204" priority="230">
      <formula>AND( EXACT(B94,"&lt;M&gt;"),EXACT(LEFT(G94,3),"Yes"))</formula>
    </cfRule>
  </conditionalFormatting>
  <conditionalFormatting sqref="H15">
    <cfRule type="expression" dxfId="203" priority="222">
      <formula>AND( EXACT(B15,"&lt;D&gt;"), EXACT(LEFT(G15,3),"Yes"))</formula>
    </cfRule>
    <cfRule type="expression" dxfId="202" priority="223">
      <formula>AND( EXACT(B15,"&lt;D&gt;"), EXACT(LEFT(G15,2),"No"))</formula>
    </cfRule>
  </conditionalFormatting>
  <conditionalFormatting sqref="H18">
    <cfRule type="expression" dxfId="201" priority="220">
      <formula>AND( EXACT(B18,"&lt;D&gt;"), EXACT(LEFT(G18,3),"Yes"))</formula>
    </cfRule>
    <cfRule type="expression" dxfId="200" priority="221">
      <formula>AND( EXACT(B18,"&lt;D&gt;"), EXACT(LEFT(G18,2),"No"))</formula>
    </cfRule>
  </conditionalFormatting>
  <conditionalFormatting sqref="H24">
    <cfRule type="expression" dxfId="199" priority="218">
      <formula>AND( EXACT(B24,"&lt;D&gt;"), EXACT(LEFT(G24,3),"Yes"))</formula>
    </cfRule>
    <cfRule type="expression" dxfId="198" priority="219">
      <formula>AND( EXACT(B24,"&lt;D&gt;"), EXACT(LEFT(G24,2),"No"))</formula>
    </cfRule>
  </conditionalFormatting>
  <conditionalFormatting sqref="H31">
    <cfRule type="expression" dxfId="197" priority="216">
      <formula>AND( EXACT(B31,"&lt;D&gt;"), EXACT(LEFT(G31,3),"Yes"))</formula>
    </cfRule>
    <cfRule type="expression" dxfId="196" priority="217">
      <formula>AND( EXACT(B31,"&lt;D&gt;"), EXACT(LEFT(G31,2),"No"))</formula>
    </cfRule>
  </conditionalFormatting>
  <conditionalFormatting sqref="H32">
    <cfRule type="expression" dxfId="195" priority="214">
      <formula>AND( EXACT(B32,"&lt;D&gt;"), EXACT(LEFT(G32,3),"Yes"))</formula>
    </cfRule>
    <cfRule type="expression" dxfId="194" priority="215">
      <formula>AND( EXACT(B32,"&lt;D&gt;"), EXACT(LEFT(G32,2),"No"))</formula>
    </cfRule>
  </conditionalFormatting>
  <conditionalFormatting sqref="H20">
    <cfRule type="expression" dxfId="193" priority="212">
      <formula>AND( EXACT(B20,"&lt;D&gt;"), EXACT(LEFT(G20,3),"Yes"))</formula>
    </cfRule>
    <cfRule type="expression" dxfId="192" priority="213">
      <formula>AND( EXACT(B20,"&lt;D&gt;"), EXACT(LEFT(G20,2),"No"))</formula>
    </cfRule>
  </conditionalFormatting>
  <conditionalFormatting sqref="H21">
    <cfRule type="expression" dxfId="191" priority="210">
      <formula>AND( EXACT(B21,"&lt;D&gt;"), EXACT(LEFT(G21,3),"Yes"))</formula>
    </cfRule>
    <cfRule type="expression" dxfId="190" priority="211">
      <formula>AND( EXACT(B21,"&lt;D&gt;"), EXACT(LEFT(G21,2),"No"))</formula>
    </cfRule>
  </conditionalFormatting>
  <conditionalFormatting sqref="H25">
    <cfRule type="expression" dxfId="189" priority="208">
      <formula>AND( EXACT(B25,"&lt;D&gt;"), EXACT(LEFT(G25,3),"Yes"))</formula>
    </cfRule>
    <cfRule type="expression" dxfId="188" priority="209">
      <formula>AND( EXACT(B25,"&lt;D&gt;"), EXACT(LEFT(G25,2),"No"))</formula>
    </cfRule>
  </conditionalFormatting>
  <conditionalFormatting sqref="H33">
    <cfRule type="expression" dxfId="187" priority="206">
      <formula>AND( EXACT(B33,"&lt;D&gt;"), EXACT(LEFT(G33,3),"Yes"))</formula>
    </cfRule>
    <cfRule type="expression" dxfId="186" priority="207">
      <formula>AND( EXACT(B33,"&lt;D&gt;"), EXACT(LEFT(G33,2),"No"))</formula>
    </cfRule>
  </conditionalFormatting>
  <conditionalFormatting sqref="H43">
    <cfRule type="expression" dxfId="185" priority="204">
      <formula>AND( EXACT(B43,"&lt;D&gt;"), EXACT(LEFT(G43,3),"Yes"))</formula>
    </cfRule>
    <cfRule type="expression" dxfId="184" priority="205">
      <formula>AND( EXACT(B43,"&lt;D&gt;"), EXACT(LEFT(G43,2),"No"))</formula>
    </cfRule>
  </conditionalFormatting>
  <conditionalFormatting sqref="H47">
    <cfRule type="expression" dxfId="183" priority="202">
      <formula>AND( EXACT(B47,"&lt;D&gt;"), EXACT(LEFT(G47,3),"Yes"))</formula>
    </cfRule>
    <cfRule type="expression" dxfId="182" priority="203">
      <formula>AND( EXACT(B47,"&lt;D&gt;"), EXACT(LEFT(G47,2),"No"))</formula>
    </cfRule>
  </conditionalFormatting>
  <conditionalFormatting sqref="H49">
    <cfRule type="expression" dxfId="181" priority="200">
      <formula>AND( EXACT(B49,"&lt;D&gt;"), EXACT(LEFT(G49,3),"Yes"))</formula>
    </cfRule>
    <cfRule type="expression" dxfId="180" priority="201">
      <formula>AND( EXACT(B49,"&lt;D&gt;"), EXACT(LEFT(G49,2),"No"))</formula>
    </cfRule>
  </conditionalFormatting>
  <conditionalFormatting sqref="H51">
    <cfRule type="expression" dxfId="179" priority="198">
      <formula>AND( EXACT(B51,"&lt;D&gt;"), EXACT(LEFT(G51,3),"Yes"))</formula>
    </cfRule>
    <cfRule type="expression" dxfId="178" priority="199">
      <formula>AND( EXACT(B51,"&lt;D&gt;"), EXACT(LEFT(G51,2),"No"))</formula>
    </cfRule>
  </conditionalFormatting>
  <conditionalFormatting sqref="H66">
    <cfRule type="expression" dxfId="177" priority="196">
      <formula>AND( EXACT(B66,"&lt;D&gt;"), EXACT(LEFT(G66,3),"Yes"))</formula>
    </cfRule>
    <cfRule type="expression" dxfId="176" priority="197">
      <formula>AND( EXACT(B66,"&lt;D&gt;"), EXACT(LEFT(G66,2),"No"))</formula>
    </cfRule>
  </conditionalFormatting>
  <conditionalFormatting sqref="H89">
    <cfRule type="expression" dxfId="175" priority="194">
      <formula>AND( EXACT(B89,"&lt;D&gt;"), EXACT(LEFT(G89,3),"Yes"))</formula>
    </cfRule>
    <cfRule type="expression" dxfId="174" priority="195">
      <formula>AND( EXACT(B89,"&lt;D&gt;"), EXACT(LEFT(G89,2),"No"))</formula>
    </cfRule>
  </conditionalFormatting>
  <conditionalFormatting sqref="H110">
    <cfRule type="expression" dxfId="173" priority="192">
      <formula>AND( EXACT(B110,"&lt;D&gt;"), EXACT(LEFT(G110,3),"Yes"))</formula>
    </cfRule>
    <cfRule type="expression" dxfId="172" priority="193">
      <formula>AND( EXACT(B110,"&lt;D&gt;"), EXACT(LEFT(G110,2),"No"))</formula>
    </cfRule>
  </conditionalFormatting>
  <conditionalFormatting sqref="H124">
    <cfRule type="expression" dxfId="171" priority="190">
      <formula>AND( EXACT(B124,"&lt;D&gt;"), EXACT(LEFT(G124,3),"Yes"))</formula>
    </cfRule>
    <cfRule type="expression" dxfId="170" priority="191">
      <formula>AND( EXACT(B124,"&lt;D&gt;"), EXACT(LEFT(G124,2),"No"))</formula>
    </cfRule>
  </conditionalFormatting>
  <conditionalFormatting sqref="H125">
    <cfRule type="expression" dxfId="169" priority="188">
      <formula>AND( EXACT(B125,"&lt;D&gt;"), EXACT(LEFT(G125,3),"Yes"))</formula>
    </cfRule>
    <cfRule type="expression" dxfId="168" priority="189">
      <formula>AND( EXACT(B125,"&lt;D&gt;"), EXACT(LEFT(G125,2),"No"))</formula>
    </cfRule>
  </conditionalFormatting>
  <conditionalFormatting sqref="H126">
    <cfRule type="expression" dxfId="167" priority="186">
      <formula>AND( EXACT(B126,"&lt;D&gt;"), EXACT(LEFT(G126,3),"Yes"))</formula>
    </cfRule>
    <cfRule type="expression" dxfId="166" priority="187">
      <formula>AND( EXACT(B126,"&lt;D&gt;"), EXACT(LEFT(G126,2),"No"))</formula>
    </cfRule>
  </conditionalFormatting>
  <conditionalFormatting sqref="H127">
    <cfRule type="expression" dxfId="165" priority="184">
      <formula>AND( EXACT(B127,"&lt;D&gt;"), EXACT(LEFT(G127,3),"Yes"))</formula>
    </cfRule>
    <cfRule type="expression" dxfId="164" priority="185">
      <formula>AND( EXACT(B127,"&lt;D&gt;"), EXACT(LEFT(G127,2),"No"))</formula>
    </cfRule>
  </conditionalFormatting>
  <conditionalFormatting sqref="H140">
    <cfRule type="expression" dxfId="163" priority="182">
      <formula>AND( EXACT(B140,"&lt;D&gt;"), EXACT(LEFT(G140,3),"Yes"))</formula>
    </cfRule>
    <cfRule type="expression" dxfId="162" priority="183">
      <formula>AND( EXACT(B140,"&lt;D&gt;"), EXACT(LEFT(G140,2),"No"))</formula>
    </cfRule>
  </conditionalFormatting>
  <conditionalFormatting sqref="H159">
    <cfRule type="expression" dxfId="161" priority="180">
      <formula>AND( EXACT(B159,"&lt;D&gt;"), EXACT(LEFT(G159,3),"Yes"))</formula>
    </cfRule>
    <cfRule type="expression" dxfId="160" priority="181">
      <formula>AND( EXACT(B159,"&lt;D&gt;"), EXACT(LEFT(G159,2),"No"))</formula>
    </cfRule>
  </conditionalFormatting>
  <conditionalFormatting sqref="H168">
    <cfRule type="expression" dxfId="159" priority="178">
      <formula>AND( EXACT(B168,"&lt;D&gt;"), EXACT(LEFT(G168,3),"Yes"))</formula>
    </cfRule>
    <cfRule type="expression" dxfId="158" priority="179">
      <formula>AND( EXACT(B168,"&lt;D&gt;"), EXACT(LEFT(G168,2),"No"))</formula>
    </cfRule>
  </conditionalFormatting>
  <conditionalFormatting sqref="H8">
    <cfRule type="expression" dxfId="157" priority="176">
      <formula>AND( EXACT(B8,"&lt;M&gt;"), EXACT(G8,"No"))</formula>
    </cfRule>
    <cfRule type="expression" dxfId="156" priority="177">
      <formula>AND( EXACT(B8,"&lt;M&gt;"), EXACT(G8,"Yes"))</formula>
    </cfRule>
  </conditionalFormatting>
  <conditionalFormatting sqref="H9">
    <cfRule type="expression" dxfId="155" priority="174">
      <formula>AND( EXACT(B9,"&lt;M&gt;"), EXACT(G9,"No"))</formula>
    </cfRule>
    <cfRule type="expression" dxfId="154" priority="175">
      <formula>AND( EXACT(B9,"&lt;M&gt;"), EXACT(G9,"Yes"))</formula>
    </cfRule>
  </conditionalFormatting>
  <conditionalFormatting sqref="H13">
    <cfRule type="expression" dxfId="153" priority="164">
      <formula>AND( EXACT(B13,"&lt;M&gt;"), EXACT(G13,"No"))</formula>
    </cfRule>
    <cfRule type="expression" dxfId="152" priority="165">
      <formula>AND( EXACT(B13,"&lt;M&gt;"), EXACT(G13,"Yes"))</formula>
    </cfRule>
  </conditionalFormatting>
  <conditionalFormatting sqref="H14">
    <cfRule type="expression" dxfId="151" priority="162">
      <formula>AND( EXACT(B14,"&lt;M&gt;"), EXACT(G14,"No"))</formula>
    </cfRule>
    <cfRule type="expression" dxfId="150" priority="163">
      <formula>AND( EXACT(B14,"&lt;M&gt;"), EXACT(G14,"Yes"))</formula>
    </cfRule>
  </conditionalFormatting>
  <conditionalFormatting sqref="H17">
    <cfRule type="expression" dxfId="149" priority="160">
      <formula>AND( EXACT(B17,"&lt;M&gt;"), EXACT(G17,"No"))</formula>
    </cfRule>
    <cfRule type="expression" dxfId="148" priority="161">
      <formula>AND( EXACT(B17,"&lt;M&gt;"), EXACT(G17,"Yes"))</formula>
    </cfRule>
  </conditionalFormatting>
  <conditionalFormatting sqref="H19">
    <cfRule type="expression" dxfId="147" priority="158">
      <formula>AND( EXACT(B19,"&lt;M&gt;"), EXACT(G19,"No"))</formula>
    </cfRule>
    <cfRule type="expression" dxfId="146" priority="159">
      <formula>AND( EXACT(B19,"&lt;M&gt;"), EXACT(G19,"Yes"))</formula>
    </cfRule>
  </conditionalFormatting>
  <conditionalFormatting sqref="H23">
    <cfRule type="expression" dxfId="145" priority="156">
      <formula>AND( EXACT(B23,"&lt;M&gt;"), EXACT(G23,"No"))</formula>
    </cfRule>
    <cfRule type="expression" dxfId="144" priority="157">
      <formula>AND( EXACT(B23,"&lt;M&gt;"), EXACT(G23,"Yes"))</formula>
    </cfRule>
  </conditionalFormatting>
  <conditionalFormatting sqref="H28">
    <cfRule type="expression" dxfId="143" priority="154">
      <formula>AND( EXACT(B28,"&lt;M&gt;"), EXACT(G28,"No"))</formula>
    </cfRule>
    <cfRule type="expression" dxfId="142" priority="155">
      <formula>AND( EXACT(B28,"&lt;M&gt;"), EXACT(LEFT(G28,3),"Yes"))</formula>
    </cfRule>
  </conditionalFormatting>
  <conditionalFormatting sqref="H30">
    <cfRule type="expression" dxfId="141" priority="152">
      <formula>AND( EXACT(B30,"&lt;M&gt;"), EXACT(G30,"No"))</formula>
    </cfRule>
    <cfRule type="expression" dxfId="140" priority="153">
      <formula>AND( EXACT(B30,"&lt;M&gt;"), EXACT(G30,"Yes"))</formula>
    </cfRule>
  </conditionalFormatting>
  <conditionalFormatting sqref="H35">
    <cfRule type="expression" dxfId="139" priority="150">
      <formula>AND( EXACT(B35,"&lt;M&gt;"), EXACT(G35,"No"))</formula>
    </cfRule>
    <cfRule type="expression" dxfId="138" priority="151">
      <formula>AND( EXACT(B35,"&lt;M&gt;"), EXACT(G35,"Yes"))</formula>
    </cfRule>
  </conditionalFormatting>
  <conditionalFormatting sqref="H36">
    <cfRule type="expression" dxfId="137" priority="148">
      <formula>AND( EXACT(B36,"&lt;M&gt;"), EXACT(G36,"No"))</formula>
    </cfRule>
    <cfRule type="expression" dxfId="136" priority="149">
      <formula>AND( EXACT(B36,"&lt;M&gt;"), EXACT(G36,"Yes"))</formula>
    </cfRule>
  </conditionalFormatting>
  <conditionalFormatting sqref="H37">
    <cfRule type="expression" dxfId="135" priority="146">
      <formula>AND( EXACT(B37,"&lt;M&gt;"), EXACT(G37,"No"))</formula>
    </cfRule>
    <cfRule type="expression" dxfId="134" priority="147">
      <formula>AND( EXACT(B37,"&lt;M&gt;"), EXACT(G37,"Yes"))</formula>
    </cfRule>
  </conditionalFormatting>
  <conditionalFormatting sqref="H41">
    <cfRule type="expression" dxfId="133" priority="144">
      <formula>AND( EXACT(B41,"&lt;M&gt;"), EXACT(G41,"No"))</formula>
    </cfRule>
    <cfRule type="expression" dxfId="132" priority="145">
      <formula>AND( EXACT(B41,"&lt;M&gt;"), EXACT(G41,"Yes"))</formula>
    </cfRule>
  </conditionalFormatting>
  <conditionalFormatting sqref="H42">
    <cfRule type="expression" dxfId="131" priority="142">
      <formula>AND( EXACT(B42,"&lt;M&gt;"), EXACT(G42,"No"))</formula>
    </cfRule>
    <cfRule type="expression" dxfId="130" priority="143">
      <formula>AND( EXACT(B42,"&lt;M&gt;"), EXACT(G42,"Yes"))</formula>
    </cfRule>
  </conditionalFormatting>
  <conditionalFormatting sqref="H45">
    <cfRule type="expression" dxfId="129" priority="140">
      <formula>AND( EXACT(B45,"&lt;M&gt;"), EXACT(G45,"No"))</formula>
    </cfRule>
    <cfRule type="expression" dxfId="128" priority="141">
      <formula>AND( EXACT(B45,"&lt;M&gt;"), EXACT(G45,"Yes"))</formula>
    </cfRule>
  </conditionalFormatting>
  <conditionalFormatting sqref="H46">
    <cfRule type="expression" dxfId="127" priority="138">
      <formula>AND( EXACT(B46,"&lt;M&gt;"), EXACT(G46,"No"))</formula>
    </cfRule>
    <cfRule type="expression" dxfId="126" priority="139">
      <formula>AND( EXACT(B46,"&lt;M&gt;"), EXACT(G46,"Yes"))</formula>
    </cfRule>
  </conditionalFormatting>
  <conditionalFormatting sqref="H57">
    <cfRule type="expression" dxfId="125" priority="136">
      <formula>AND( EXACT(B57,"&lt;M&gt;"), EXACT(G57,"No"))</formula>
    </cfRule>
    <cfRule type="expression" dxfId="124" priority="137">
      <formula>AND( EXACT(B57,"&lt;M&gt;"), EXACT(G57,"Yes"))</formula>
    </cfRule>
  </conditionalFormatting>
  <conditionalFormatting sqref="H58">
    <cfRule type="expression" dxfId="123" priority="134">
      <formula>AND( EXACT(B58,"&lt;M&gt;"), EXACT(G58,"No"))</formula>
    </cfRule>
    <cfRule type="expression" dxfId="122" priority="135">
      <formula>AND( EXACT(B58,"&lt;M&gt;"), EXACT(G58,"Yes"))</formula>
    </cfRule>
  </conditionalFormatting>
  <conditionalFormatting sqref="H59">
    <cfRule type="expression" dxfId="121" priority="130">
      <formula>AND( EXACT(B59,"&lt;M&gt;"), EXACT(G59,"No"))</formula>
    </cfRule>
    <cfRule type="expression" dxfId="120" priority="131">
      <formula>AND( EXACT(B59,"&lt;M&gt;"), EXACT(G59,"Yes"))</formula>
    </cfRule>
  </conditionalFormatting>
  <conditionalFormatting sqref="H60">
    <cfRule type="expression" dxfId="119" priority="128">
      <formula>AND( EXACT(B60,"&lt;M&gt;"), EXACT(G60,"No"))</formula>
    </cfRule>
    <cfRule type="expression" dxfId="118" priority="129">
      <formula>AND( EXACT(B60,"&lt;M&gt;"), EXACT(G60,"Yes"))</formula>
    </cfRule>
  </conditionalFormatting>
  <conditionalFormatting sqref="H61">
    <cfRule type="expression" dxfId="117" priority="126">
      <formula>AND( EXACT(B61,"&lt;M&gt;"), EXACT(G61,"No"))</formula>
    </cfRule>
    <cfRule type="expression" dxfId="116" priority="127">
      <formula>AND( EXACT(B61,"&lt;M&gt;"), EXACT(G61,"Yes"))</formula>
    </cfRule>
  </conditionalFormatting>
  <conditionalFormatting sqref="H63">
    <cfRule type="expression" dxfId="115" priority="124">
      <formula>AND( EXACT(B63,"&lt;M&gt;"), EXACT(G63,"No"))</formula>
    </cfRule>
    <cfRule type="expression" dxfId="114" priority="125">
      <formula>AND( EXACT(B63,"&lt;M&gt;"), EXACT(G63,"Yes"))</formula>
    </cfRule>
  </conditionalFormatting>
  <conditionalFormatting sqref="H65">
    <cfRule type="expression" dxfId="113" priority="122">
      <formula>AND( EXACT(B65,"&lt;M&gt;"), EXACT(G65,"No"))</formula>
    </cfRule>
    <cfRule type="expression" dxfId="112" priority="123">
      <formula>AND( EXACT(B65,"&lt;M&gt;"), EXACT(LEFT(G65,3),"Yes"))</formula>
    </cfRule>
  </conditionalFormatting>
  <conditionalFormatting sqref="H68">
    <cfRule type="expression" dxfId="111" priority="120">
      <formula>AND( EXACT(B68,"&lt;M&gt;"), EXACT(G68,"No"))</formula>
    </cfRule>
    <cfRule type="expression" dxfId="110" priority="121">
      <formula>AND( EXACT(B68,"&lt;M&gt;"), EXACT(G68,"Yes"))</formula>
    </cfRule>
  </conditionalFormatting>
  <conditionalFormatting sqref="H69">
    <cfRule type="expression" dxfId="109" priority="118">
      <formula>AND( EXACT(B69,"&lt;M&gt;"), EXACT(G69,"No"))</formula>
    </cfRule>
    <cfRule type="expression" dxfId="108" priority="119">
      <formula>AND( EXACT(B69,"&lt;M&gt;"), EXACT(G69,"Yes"))</formula>
    </cfRule>
  </conditionalFormatting>
  <conditionalFormatting sqref="H70">
    <cfRule type="expression" dxfId="107" priority="116">
      <formula>AND( EXACT(B70,"&lt;M&gt;"), EXACT(G70,"No"))</formula>
    </cfRule>
    <cfRule type="expression" dxfId="106" priority="117">
      <formula>AND( EXACT(B70,"&lt;M&gt;"), EXACT(G70,"Yes"))</formula>
    </cfRule>
  </conditionalFormatting>
  <conditionalFormatting sqref="H71">
    <cfRule type="expression" dxfId="105" priority="114">
      <formula>AND( EXACT(B71,"&lt;M&gt;"), EXACT(G71,"No"))</formula>
    </cfRule>
    <cfRule type="expression" dxfId="104" priority="115">
      <formula>AND( EXACT(B71,"&lt;M&gt;"), EXACT(G71,"Yes"))</formula>
    </cfRule>
  </conditionalFormatting>
  <conditionalFormatting sqref="H72">
    <cfRule type="expression" dxfId="103" priority="112">
      <formula>AND( EXACT(B72,"&lt;M&gt;"), EXACT(G72,"No"))</formula>
    </cfRule>
    <cfRule type="expression" dxfId="102" priority="113">
      <formula>AND( EXACT(B72,"&lt;M&gt;"), EXACT(G72,"Yes"))</formula>
    </cfRule>
  </conditionalFormatting>
  <conditionalFormatting sqref="H74">
    <cfRule type="expression" dxfId="101" priority="110">
      <formula>AND( EXACT(B74,"&lt;M&gt;"), EXACT(G74,"No"))</formula>
    </cfRule>
    <cfRule type="expression" dxfId="100" priority="111">
      <formula>AND( EXACT(B74,"&lt;M&gt;"), EXACT(G74,"Yes"))</formula>
    </cfRule>
  </conditionalFormatting>
  <conditionalFormatting sqref="H75">
    <cfRule type="expression" dxfId="99" priority="108">
      <formula>AND( EXACT(B75,"&lt;M&gt;"), EXACT(G75,"No"))</formula>
    </cfRule>
    <cfRule type="expression" dxfId="98" priority="109">
      <formula>AND( EXACT(B75,"&lt;M&gt;"), EXACT(G75,"Yes"))</formula>
    </cfRule>
  </conditionalFormatting>
  <conditionalFormatting sqref="H76">
    <cfRule type="expression" dxfId="97" priority="106">
      <formula>AND( EXACT(B76,"&lt;M&gt;"), EXACT(G76,"No"))</formula>
    </cfRule>
    <cfRule type="expression" dxfId="96" priority="107">
      <formula>AND( EXACT(B76,"&lt;M&gt;"), EXACT(G76,"Yes"))</formula>
    </cfRule>
  </conditionalFormatting>
  <conditionalFormatting sqref="H77">
    <cfRule type="expression" dxfId="95" priority="104">
      <formula>AND( EXACT(B77,"&lt;M&gt;"), EXACT(G77,"No"))</formula>
    </cfRule>
    <cfRule type="expression" dxfId="94" priority="105">
      <formula>AND( EXACT(B77,"&lt;M&gt;"), EXACT(G77,"Yes"))</formula>
    </cfRule>
  </conditionalFormatting>
  <conditionalFormatting sqref="H78">
    <cfRule type="expression" dxfId="93" priority="102">
      <formula>AND( EXACT(B78,"&lt;M&gt;"), EXACT(G78,"No"))</formula>
    </cfRule>
    <cfRule type="expression" dxfId="92" priority="103">
      <formula>AND( EXACT(B78,"&lt;M&gt;"), EXACT(G78,"Yes"))</formula>
    </cfRule>
  </conditionalFormatting>
  <conditionalFormatting sqref="H81">
    <cfRule type="expression" dxfId="91" priority="100">
      <formula>AND( EXACT(B81,"&lt;M&gt;"), EXACT(G81,"No"))</formula>
    </cfRule>
    <cfRule type="expression" dxfId="90" priority="101">
      <formula>AND( EXACT(B81,"&lt;M&gt;"), EXACT(G81,"Yes"))</formula>
    </cfRule>
  </conditionalFormatting>
  <conditionalFormatting sqref="H82">
    <cfRule type="expression" dxfId="89" priority="98">
      <formula>AND( EXACT(B82,"&lt;M&gt;"), EXACT(G82,"No"))</formula>
    </cfRule>
    <cfRule type="expression" dxfId="88" priority="99">
      <formula>AND( EXACT(B82,"&lt;M&gt;"), EXACT(G82,"Yes"))</formula>
    </cfRule>
  </conditionalFormatting>
  <conditionalFormatting sqref="H83">
    <cfRule type="expression" dxfId="87" priority="96">
      <formula>AND( EXACT(B83,"&lt;M&gt;"), EXACT(G83,"No"))</formula>
    </cfRule>
    <cfRule type="expression" dxfId="86" priority="97">
      <formula>AND( EXACT(B83,"&lt;M&gt;"), EXACT(G83,"Yes"))</formula>
    </cfRule>
  </conditionalFormatting>
  <conditionalFormatting sqref="H87">
    <cfRule type="expression" dxfId="85" priority="94">
      <formula>AND( EXACT(B87,"&lt;M&gt;"), EXACT(G87,"No"))</formula>
    </cfRule>
    <cfRule type="expression" dxfId="84" priority="95">
      <formula>AND( EXACT(B87,"&lt;M&gt;"), EXACT(G87,"Yes"))</formula>
    </cfRule>
  </conditionalFormatting>
  <conditionalFormatting sqref="H88">
    <cfRule type="expression" dxfId="83" priority="92">
      <formula>AND( EXACT(B88,"&lt;M&gt;"), EXACT(G88,"No"))</formula>
    </cfRule>
    <cfRule type="expression" dxfId="82" priority="93">
      <formula>AND( EXACT(B88,"&lt;M&gt;"), EXACT(G88,"Yes"))</formula>
    </cfRule>
  </conditionalFormatting>
  <conditionalFormatting sqref="H91">
    <cfRule type="expression" dxfId="81" priority="90">
      <formula>AND( EXACT(B91,"&lt;M&gt;"), EXACT(G91,"No"))</formula>
    </cfRule>
    <cfRule type="expression" dxfId="80" priority="91">
      <formula>AND( EXACT(B91,"&lt;M&gt;"), EXACT(G91,"Yes"))</formula>
    </cfRule>
  </conditionalFormatting>
  <conditionalFormatting sqref="H92">
    <cfRule type="expression" dxfId="79" priority="88">
      <formula>AND( EXACT(B92,"&lt;M&gt;"), EXACT(G92,"No"))</formula>
    </cfRule>
    <cfRule type="expression" dxfId="78" priority="89">
      <formula>AND( EXACT(B92,"&lt;M&gt;"), EXACT(G92,"Yes"))</formula>
    </cfRule>
  </conditionalFormatting>
  <conditionalFormatting sqref="H93">
    <cfRule type="expression" dxfId="77" priority="86">
      <formula>AND( EXACT(B93,"&lt;M&gt;"), EXACT(G93,"No"))</formula>
    </cfRule>
    <cfRule type="expression" dxfId="76" priority="87">
      <formula>AND( EXACT(B93,"&lt;M&gt;"), EXACT(G93,"Yes"))</formula>
    </cfRule>
  </conditionalFormatting>
  <conditionalFormatting sqref="H98">
    <cfRule type="expression" dxfId="75" priority="84">
      <formula>AND( EXACT(B98,"&lt;M&gt;"), EXACT(G98,"No"))</formula>
    </cfRule>
    <cfRule type="expression" dxfId="74" priority="85">
      <formula>AND( EXACT(B98,"&lt;M&gt;"), EXACT(G98,"Yes"))</formula>
    </cfRule>
  </conditionalFormatting>
  <conditionalFormatting sqref="H99">
    <cfRule type="expression" dxfId="73" priority="82">
      <formula>AND( EXACT(B99,"&lt;M&gt;"), EXACT(G99,"No"))</formula>
    </cfRule>
    <cfRule type="expression" dxfId="72" priority="83">
      <formula>AND( EXACT(B99,"&lt;M&gt;"), EXACT(G99,"Yes"))</formula>
    </cfRule>
  </conditionalFormatting>
  <conditionalFormatting sqref="H101">
    <cfRule type="expression" dxfId="71" priority="80">
      <formula>AND( EXACT(B101,"&lt;M&gt;"), EXACT(G101,"No"))</formula>
    </cfRule>
    <cfRule type="expression" dxfId="70" priority="81">
      <formula>AND( EXACT(B101,"&lt;M&gt;"), EXACT(G101,"Yes"))</formula>
    </cfRule>
  </conditionalFormatting>
  <conditionalFormatting sqref="H102">
    <cfRule type="expression" dxfId="69" priority="78">
      <formula>AND( EXACT(B102,"&lt;M&gt;"), EXACT(G102,"No"))</formula>
    </cfRule>
    <cfRule type="expression" dxfId="68" priority="79">
      <formula>AND( EXACT(B102,"&lt;M&gt;"), EXACT(G102,"Yes"))</formula>
    </cfRule>
  </conditionalFormatting>
  <conditionalFormatting sqref="H108">
    <cfRule type="expression" dxfId="67" priority="76">
      <formula>AND( EXACT(B108,"&lt;M&gt;"), EXACT(G108,"No"))</formula>
    </cfRule>
    <cfRule type="expression" dxfId="66" priority="77">
      <formula>AND( EXACT(B108,"&lt;M&gt;"), EXACT(G108,"Yes"))</formula>
    </cfRule>
  </conditionalFormatting>
  <conditionalFormatting sqref="H109">
    <cfRule type="expression" dxfId="65" priority="74">
      <formula>AND( EXACT(B109,"&lt;M&gt;"), EXACT(G109,"No"))</formula>
    </cfRule>
    <cfRule type="expression" dxfId="64" priority="75">
      <formula>AND( EXACT(B109,"&lt;M&gt;"), EXACT(G109,"Yes"))</formula>
    </cfRule>
  </conditionalFormatting>
  <conditionalFormatting sqref="H112">
    <cfRule type="expression" dxfId="63" priority="72">
      <formula>AND( EXACT(B112,"&lt;M&gt;"), EXACT(G112,"No"))</formula>
    </cfRule>
    <cfRule type="expression" dxfId="62" priority="73">
      <formula>AND( EXACT(B112,"&lt;M&gt;"), EXACT(G112,"Yes"))</formula>
    </cfRule>
  </conditionalFormatting>
  <conditionalFormatting sqref="H113">
    <cfRule type="expression" dxfId="61" priority="70">
      <formula>AND( EXACT(B113,"&lt;M&gt;"), EXACT(G113,"No"))</formula>
    </cfRule>
    <cfRule type="expression" dxfId="60" priority="71">
      <formula>AND( EXACT(B113,"&lt;M&gt;"), EXACT(G113,"Yes"))</formula>
    </cfRule>
  </conditionalFormatting>
  <conditionalFormatting sqref="H115">
    <cfRule type="expression" dxfId="59" priority="68">
      <formula>AND( EXACT(B115,"&lt;M&gt;"), EXACT(G115,"No"))</formula>
    </cfRule>
    <cfRule type="expression" dxfId="58" priority="69">
      <formula>AND( EXACT(B115,"&lt;M&gt;"), EXACT(G115,"Yes"))</formula>
    </cfRule>
  </conditionalFormatting>
  <conditionalFormatting sqref="H116">
    <cfRule type="expression" dxfId="57" priority="66">
      <formula>AND( EXACT(B116,"&lt;M&gt;"), EXACT(G116,"No"))</formula>
    </cfRule>
    <cfRule type="expression" dxfId="56" priority="67">
      <formula>AND( EXACT(B116,"&lt;M&gt;"), EXACT(G116,"Yes"))</formula>
    </cfRule>
  </conditionalFormatting>
  <conditionalFormatting sqref="H119">
    <cfRule type="expression" dxfId="55" priority="64">
      <formula>AND( EXACT(B119,"&lt;M&gt;"), EXACT(G119,"No"))</formula>
    </cfRule>
    <cfRule type="expression" dxfId="54" priority="65">
      <formula>AND( EXACT(B119,"&lt;M&gt;"), EXACT(G119,"Yes"))</formula>
    </cfRule>
  </conditionalFormatting>
  <conditionalFormatting sqref="H121">
    <cfRule type="expression" dxfId="53" priority="60">
      <formula>AND( EXACT(B121,"&lt;M&gt;"), EXACT(G121,"No"))</formula>
    </cfRule>
    <cfRule type="expression" dxfId="52" priority="61">
      <formula>AND( EXACT(B121,"&lt;M&gt;"), EXACT(G121,"Yes"))</formula>
    </cfRule>
  </conditionalFormatting>
  <conditionalFormatting sqref="H122">
    <cfRule type="expression" dxfId="51" priority="58">
      <formula>AND( EXACT(B122,"&lt;M&gt;"), EXACT(G122,"No"))</formula>
    </cfRule>
    <cfRule type="expression" dxfId="50" priority="59">
      <formula>AND( EXACT(B122,"&lt;M&gt;"), EXACT(G122,"Yes"))</formula>
    </cfRule>
  </conditionalFormatting>
  <conditionalFormatting sqref="H130">
    <cfRule type="expression" dxfId="49" priority="56">
      <formula>AND( EXACT(B130,"&lt;M&gt;"), EXACT(G130,"No"))</formula>
    </cfRule>
    <cfRule type="expression" dxfId="48" priority="57">
      <formula>AND( EXACT(B130,"&lt;M&gt;"), EXACT(G130,"Yes"))</formula>
    </cfRule>
  </conditionalFormatting>
  <conditionalFormatting sqref="H131">
    <cfRule type="expression" dxfId="47" priority="54">
      <formula>AND( EXACT(B131,"&lt;M&gt;"), EXACT(G131,"No"))</formula>
    </cfRule>
    <cfRule type="expression" dxfId="46" priority="55">
      <formula>AND( EXACT(B131,"&lt;M&gt;"), EXACT(G131,"Yes"))</formula>
    </cfRule>
  </conditionalFormatting>
  <conditionalFormatting sqref="H132">
    <cfRule type="expression" dxfId="45" priority="52">
      <formula>AND( EXACT(B132,"&lt;M&gt;"), EXACT(G132,"No"))</formula>
    </cfRule>
    <cfRule type="expression" dxfId="44" priority="53">
      <formula>AND( EXACT(B132,"&lt;M&gt;"), EXACT(G132,"Yes"))</formula>
    </cfRule>
  </conditionalFormatting>
  <conditionalFormatting sqref="H133">
    <cfRule type="expression" dxfId="43" priority="50">
      <formula>AND( EXACT(B133,"&lt;M&gt;"), EXACT(G133,"No"))</formula>
    </cfRule>
    <cfRule type="expression" dxfId="42" priority="51">
      <formula>AND( EXACT(B133,"&lt;M&gt;"), EXACT(G133,"Yes"))</formula>
    </cfRule>
  </conditionalFormatting>
  <conditionalFormatting sqref="H135">
    <cfRule type="expression" dxfId="41" priority="48">
      <formula>AND( EXACT(B135,"&lt;M&gt;"), EXACT(G135,"No"))</formula>
    </cfRule>
    <cfRule type="expression" dxfId="40" priority="49">
      <formula>AND( EXACT(B135,"&lt;M&gt;"), EXACT(G135,"Yes"))</formula>
    </cfRule>
  </conditionalFormatting>
  <conditionalFormatting sqref="H139">
    <cfRule type="expression" dxfId="39" priority="46">
      <formula>AND( EXACT(B139,"&lt;M&gt;"), EXACT(G139,"No"))</formula>
    </cfRule>
    <cfRule type="expression" dxfId="38" priority="47">
      <formula>AND( EXACT(B139,"&lt;M&gt;"), EXACT(G139,"Yes"))</formula>
    </cfRule>
  </conditionalFormatting>
  <conditionalFormatting sqref="H142">
    <cfRule type="expression" dxfId="37" priority="44">
      <formula>AND( EXACT(B142,"&lt;M&gt;"), EXACT(G142,"No"))</formula>
    </cfRule>
    <cfRule type="expression" dxfId="36" priority="45">
      <formula>AND( EXACT(B142,"&lt;M&gt;"), EXACT(G142,"Yes"))</formula>
    </cfRule>
  </conditionalFormatting>
  <conditionalFormatting sqref="H143">
    <cfRule type="expression" dxfId="35" priority="42">
      <formula>AND( EXACT(B143,"&lt;M&gt;"), EXACT(G143,"No"))</formula>
    </cfRule>
    <cfRule type="expression" dxfId="34" priority="43">
      <formula>AND( EXACT(B143,"&lt;M&gt;"), EXACT(G143,"Yes"))</formula>
    </cfRule>
  </conditionalFormatting>
  <conditionalFormatting sqref="H144">
    <cfRule type="expression" dxfId="33" priority="40">
      <formula>AND( EXACT(B144,"&lt;M&gt;"), EXACT(G144,"No"))</formula>
    </cfRule>
    <cfRule type="expression" dxfId="32" priority="41">
      <formula>AND( EXACT(B144,"&lt;M&gt;"), EXACT(G144,"Yes"))</formula>
    </cfRule>
  </conditionalFormatting>
  <conditionalFormatting sqref="H145">
    <cfRule type="expression" dxfId="31" priority="36">
      <formula>AND( EXACT(B145,"&lt;M&gt;"), EXACT(G145,"No"))</formula>
    </cfRule>
    <cfRule type="expression" dxfId="30" priority="37">
      <formula>AND( EXACT(B145,"&lt;M&gt;"), EXACT(G145,"Yes"))</formula>
    </cfRule>
  </conditionalFormatting>
  <conditionalFormatting sqref="H149">
    <cfRule type="expression" dxfId="29" priority="34">
      <formula>AND( EXACT(B149,"&lt;M&gt;"), EXACT(G149,"No"))</formula>
    </cfRule>
    <cfRule type="expression" dxfId="28" priority="35">
      <formula>AND( EXACT(B149,"&lt;M&gt;"), EXACT(G149,"Yes"))</formula>
    </cfRule>
  </conditionalFormatting>
  <conditionalFormatting sqref="H150">
    <cfRule type="expression" dxfId="27" priority="32">
      <formula>AND( EXACT(B150,"&lt;M&gt;"), EXACT(G150,"No"))</formula>
    </cfRule>
    <cfRule type="expression" dxfId="26" priority="33">
      <formula>AND( EXACT(B150,"&lt;M&gt;"), EXACT(G150,"Yes"))</formula>
    </cfRule>
  </conditionalFormatting>
  <conditionalFormatting sqref="H151">
    <cfRule type="expression" dxfId="25" priority="30">
      <formula>AND( EXACT(B151,"&lt;M&gt;"), EXACT(G151,"No"))</formula>
    </cfRule>
    <cfRule type="expression" dxfId="24" priority="31">
      <formula>AND( EXACT(B151,"&lt;M&gt;"), EXACT(G151,"Yes"))</formula>
    </cfRule>
  </conditionalFormatting>
  <conditionalFormatting sqref="H153">
    <cfRule type="expression" dxfId="23" priority="28">
      <formula>AND( EXACT(B153,"&lt;M&gt;"), EXACT(G153,"No"))</formula>
    </cfRule>
    <cfRule type="expression" dxfId="22" priority="29">
      <formula>AND( EXACT(B153,"&lt;M&gt;"), EXACT(G153,"Yes"))</formula>
    </cfRule>
  </conditionalFormatting>
  <conditionalFormatting sqref="H156">
    <cfRule type="expression" dxfId="21" priority="26">
      <formula>AND( EXACT(B156,"&lt;M&gt;"), EXACT(G156,"No"))</formula>
    </cfRule>
    <cfRule type="expression" dxfId="20" priority="27">
      <formula>AND( EXACT(B156,"&lt;M&gt;"), EXACT(G156,"Yes"))</formula>
    </cfRule>
  </conditionalFormatting>
  <conditionalFormatting sqref="H157">
    <cfRule type="expression" dxfId="19" priority="24">
      <formula>AND( EXACT(B157,"&lt;M&gt;"), EXACT(G157,"No"))</formula>
    </cfRule>
    <cfRule type="expression" dxfId="18" priority="25">
      <formula>AND( EXACT(B157,"&lt;M&gt;"), EXACT(G157,"Yes"))</formula>
    </cfRule>
  </conditionalFormatting>
  <conditionalFormatting sqref="H158">
    <cfRule type="expression" dxfId="17" priority="22">
      <formula>AND( EXACT(B158,"&lt;M&gt;"), EXACT(G158,"No"))</formula>
    </cfRule>
    <cfRule type="expression" dxfId="16" priority="23">
      <formula>AND( EXACT(B158,"&lt;M&gt;"), EXACT(G158,"Yes"))</formula>
    </cfRule>
  </conditionalFormatting>
  <conditionalFormatting sqref="H160">
    <cfRule type="expression" dxfId="15" priority="20">
      <formula>AND( EXACT(B160,"&lt;M&gt;"), EXACT(G160,"No"))</formula>
    </cfRule>
    <cfRule type="expression" dxfId="14" priority="21">
      <formula>AND( EXACT(B160,"&lt;M&gt;"), EXACT(G160,"Yes"))</formula>
    </cfRule>
  </conditionalFormatting>
  <conditionalFormatting sqref="H11">
    <cfRule type="cellIs" dxfId="13" priority="19" operator="between">
      <formula>0</formula>
      <formula>5</formula>
    </cfRule>
  </conditionalFormatting>
  <conditionalFormatting sqref="H95:H96">
    <cfRule type="cellIs" dxfId="12" priority="16" operator="between">
      <formula>0</formula>
      <formula>5</formula>
    </cfRule>
  </conditionalFormatting>
  <conditionalFormatting sqref="H134">
    <cfRule type="cellIs" dxfId="11" priority="12" operator="between">
      <formula>0</formula>
      <formula>5</formula>
    </cfRule>
  </conditionalFormatting>
  <conditionalFormatting sqref="H146">
    <cfRule type="expression" dxfId="10" priority="11">
      <formula>NOT(EXACT(LEFT(H146,2),"No"))</formula>
    </cfRule>
  </conditionalFormatting>
  <conditionalFormatting sqref="H148">
    <cfRule type="expression" dxfId="9" priority="9">
      <formula>NOT(EXACT(LEFT(H148,2),"No"))</formula>
    </cfRule>
  </conditionalFormatting>
  <conditionalFormatting sqref="H120">
    <cfRule type="expression" dxfId="8" priority="7">
      <formula>AND( EXACT(B120,"&lt;M&gt;"), EXACT(G120,"No"))</formula>
    </cfRule>
    <cfRule type="expression" dxfId="7" priority="8">
      <formula>AND( EXACT(B120,"&lt;M&gt;"), EXACT(G120,"Yes"))</formula>
    </cfRule>
  </conditionalFormatting>
  <conditionalFormatting sqref="H166">
    <cfRule type="expression" dxfId="6" priority="5">
      <formula>AND( EXACT(B166,"&lt;M&gt;"), EXACT(G166,"No"))</formula>
    </cfRule>
    <cfRule type="expression" dxfId="5" priority="6">
      <formula>AND( EXACT(B166,"&lt;M&gt;"), EXACT(G166,"Yes"))</formula>
    </cfRule>
  </conditionalFormatting>
  <conditionalFormatting sqref="H34">
    <cfRule type="expression" dxfId="4" priority="1">
      <formula>AND( EXACT(B34,"&lt;M&gt;"), EXACT(G34,"No"))</formula>
    </cfRule>
    <cfRule type="expression" dxfId="3" priority="2">
      <formula>AND( EXACT(B34,"&lt;M&gt;"), EXACT(G34,"Yes"))</formula>
    </cfRule>
  </conditionalFormatting>
  <conditionalFormatting sqref="H1:I1">
    <cfRule type="expression" dxfId="2" priority="582">
      <formula>COUNTIF(B5:B168,"*M*")-COUNTIF(H5:H168,"Ok")=0</formula>
    </cfRule>
    <cfRule type="expression" dxfId="1" priority="583">
      <formula>ISNA(MATCH("Warning! Knock-out!",H5:H168,0))</formula>
    </cfRule>
    <cfRule type="expression" dxfId="0" priority="584">
      <formula>MATCH("Warning! Knock-out!",H5:H168,0)</formula>
    </cfRule>
  </conditionalFormatting>
  <pageMargins left="0.7" right="0.7" top="0.75" bottom="0.75" header="0.3" footer="0.3"/>
  <pageSetup paperSize="9" scale="39" fitToHeight="0" orientation="portrait" r:id="rId1"/>
  <extLst>
    <ext xmlns:x14="http://schemas.microsoft.com/office/spreadsheetml/2009/9/main" uri="{CCE6A557-97BC-4b89-ADB6-D9C93CAAB3DF}">
      <x14:dataValidations xmlns:xm="http://schemas.microsoft.com/office/excel/2006/main" count="11">
        <x14:dataValidation type="list" showInputMessage="1" showErrorMessage="1" xr:uid="{B8132195-E72B-486A-80E9-6F1D745A1264}">
          <x14:formula1>
            <xm:f>'Technical Area'!$A$3:$A$5</xm:f>
          </x14:formula1>
          <xm:sqref>G5 G68:G72 G149:G151 G13:G14 G17 G19 G23 G30 G166:G167 G41:G42 G45:G46 G57:G63 G66 G74:G79 G81:G83 G87:G88 G91:G93 G98:G103 G108:G109 G112:G113 G115:G116 G130:G133 G135 G139 G8:G9 G153 G156:G158 G160 G34:G37 G142:G145 G119:G123</xm:sqref>
        </x14:dataValidation>
        <x14:dataValidation type="list" allowBlank="1" showInputMessage="1" showErrorMessage="1" xr:uid="{5B497F24-9CB6-41FC-A88D-1876A48C98E3}">
          <x14:formula1>
            <xm:f>'Technical Area'!$A$8:$A$14</xm:f>
          </x14:formula1>
          <xm:sqref>G11</xm:sqref>
        </x14:dataValidation>
        <x14:dataValidation type="list" allowBlank="1" showInputMessage="1" showErrorMessage="1" xr:uid="{AB5332BA-55BE-4EEC-88ED-762532B430FA}">
          <x14:formula1>
            <xm:f>'Technical Area'!$A$17:$A$20</xm:f>
          </x14:formula1>
          <xm:sqref>G105 G27:G28 G147</xm:sqref>
        </x14:dataValidation>
        <x14:dataValidation type="list" allowBlank="1" showInputMessage="1" showErrorMessage="1" xr:uid="{5B581336-15AB-4670-B859-83A61AE71747}">
          <x14:formula1>
            <xm:f>'Technical Area'!$A$3:$A$5</xm:f>
          </x14:formula1>
          <xm:sqref>G163:G165</xm:sqref>
        </x14:dataValidation>
        <x14:dataValidation type="list" allowBlank="1" showInputMessage="1" showErrorMessage="1" xr:uid="{7D9944D7-2342-4E12-A1FC-8172D10E3ADF}">
          <x14:formula1>
            <xm:f>'Technical Area'!$A$23:$A$27</xm:f>
          </x14:formula1>
          <xm:sqref>G65 G94</xm:sqref>
        </x14:dataValidation>
        <x14:dataValidation type="list" allowBlank="1" showInputMessage="1" showErrorMessage="1" xr:uid="{7E221EB8-204A-4B72-BA6B-FB9016C637FE}">
          <x14:formula1>
            <xm:f>'Technical Area'!$A$30:$A$37</xm:f>
          </x14:formula1>
          <xm:sqref>G95</xm:sqref>
        </x14:dataValidation>
        <x14:dataValidation type="list" allowBlank="1" showInputMessage="1" showErrorMessage="1" xr:uid="{72F280B2-2967-488F-B79D-C1C1E8F1C4AB}">
          <x14:formula1>
            <xm:f>'Technical Area'!$A$40:$A$46</xm:f>
          </x14:formula1>
          <xm:sqref>G96</xm:sqref>
        </x14:dataValidation>
        <x14:dataValidation type="list" allowBlank="1" showInputMessage="1" showErrorMessage="1" xr:uid="{1038A4C3-2FCE-4C25-B7A4-0F7233C82D45}">
          <x14:formula1>
            <xm:f>'Technical Area'!$A$49:$A$55</xm:f>
          </x14:formula1>
          <xm:sqref>G134</xm:sqref>
        </x14:dataValidation>
        <x14:dataValidation type="list" allowBlank="1" showInputMessage="1" showErrorMessage="1" xr:uid="{C124CBF9-5878-421F-9C71-AB1A6D47927F}">
          <x14:formula1>
            <xm:f>'Instructions and Explanations'!$C$12:$C$17</xm:f>
          </x14:formula1>
          <xm:sqref>D153:D154 D5:D6 D130:D136 D156:D161 D112:D113 D98:D103 D91:D96 D87:D89 D163:D168 D81:D84 D74:D79 D115:D117 D57:D63 D53:D54 D51 D49 D45:D47 D41:D43 D30:D38 D27:D28 D23:D25 D17:D21 D13:D15 D8:D11 D139:D140 D65:D66 D68:D72 D105:D110 D149:D151 D142:D147 D119:D128</xm:sqref>
        </x14:dataValidation>
        <x14:dataValidation type="list" allowBlank="1" showInputMessage="1" showErrorMessage="1" xr:uid="{8F62A90C-B71C-4DEA-8703-9F3B68DB6780}">
          <x14:formula1>
            <xm:f>'Technical Area'!$A$61:$A$63</xm:f>
          </x14:formula1>
          <xm:sqref>G6 G10 G15 G159 G20:G21 G24:G25 G18 G43 G47 G49 G51 G89 G110 G124:G127 G140 G31:G33</xm:sqref>
        </x14:dataValidation>
        <x14:dataValidation type="list" allowBlank="1" showInputMessage="1" showErrorMessage="1" xr:uid="{9CB3FACE-54B2-40EA-AA6F-78934049DF4C}">
          <x14:formula1>
            <xm:f>'Technical Area'!$A$66:$A$68</xm:f>
          </x14:formula1>
          <xm:sqref>G53 G168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37BF0-8622-45FC-9FFE-897D890B5E06}">
  <dimension ref="A1:D18"/>
  <sheetViews>
    <sheetView workbookViewId="0">
      <selection sqref="A1:D1"/>
    </sheetView>
  </sheetViews>
  <sheetFormatPr defaultRowHeight="15" x14ac:dyDescent="0.25"/>
  <cols>
    <col min="1" max="1" width="26.7109375" bestFit="1" customWidth="1"/>
    <col min="2" max="2" width="16" bestFit="1" customWidth="1"/>
    <col min="3" max="3" width="33.5703125" bestFit="1" customWidth="1"/>
    <col min="4" max="4" width="30.5703125" bestFit="1" customWidth="1"/>
  </cols>
  <sheetData>
    <row r="1" spans="1:4" ht="20.25" thickBot="1" x14ac:dyDescent="0.35">
      <c r="A1" s="131" t="s">
        <v>376</v>
      </c>
      <c r="B1" s="131"/>
      <c r="C1" s="131"/>
      <c r="D1" s="131"/>
    </row>
    <row r="2" spans="1:4" ht="15.75" thickTop="1" x14ac:dyDescent="0.25"/>
    <row r="3" spans="1:4" ht="18" thickBot="1" x14ac:dyDescent="0.35">
      <c r="A3" s="8" t="s">
        <v>310</v>
      </c>
      <c r="B3" s="8" t="s">
        <v>311</v>
      </c>
      <c r="C3" s="8" t="s">
        <v>374</v>
      </c>
      <c r="D3" s="8" t="s">
        <v>375</v>
      </c>
    </row>
    <row r="4" spans="1:4" s="68" customFormat="1" ht="15.75" thickTop="1" x14ac:dyDescent="0.25">
      <c r="C4" s="68" t="s">
        <v>322</v>
      </c>
      <c r="D4" s="68" t="s">
        <v>323</v>
      </c>
    </row>
    <row r="5" spans="1:4" x14ac:dyDescent="0.25">
      <c r="A5" t="s">
        <v>312</v>
      </c>
      <c r="B5" s="69">
        <v>12</v>
      </c>
      <c r="C5" s="70" t="e">
        <f>'Requirements and Desirables'!I11</f>
        <v>#VALUE!</v>
      </c>
      <c r="D5" s="70" t="e">
        <f>SUM('Requirements and Desirables'!I5:I37)</f>
        <v>#VALUE!</v>
      </c>
    </row>
    <row r="6" spans="1:4" x14ac:dyDescent="0.25">
      <c r="A6" t="s">
        <v>314</v>
      </c>
      <c r="B6" s="69">
        <v>4</v>
      </c>
      <c r="C6" s="70" t="s">
        <v>134</v>
      </c>
      <c r="D6" s="70" t="e">
        <f>SUM('Requirements and Desirables'!I41:I53)</f>
        <v>#VALUE!</v>
      </c>
    </row>
    <row r="7" spans="1:4" x14ac:dyDescent="0.25">
      <c r="A7" t="s">
        <v>315</v>
      </c>
      <c r="B7" s="69">
        <v>3</v>
      </c>
      <c r="C7" s="70" t="e">
        <f>'Requirements and Desirables'!I62+'Requirements and Desirables'!I79</f>
        <v>#VALUE!</v>
      </c>
      <c r="D7" s="70" t="e">
        <f>SUM('Requirements and Desirables'!I57:I83)</f>
        <v>#VALUE!</v>
      </c>
    </row>
    <row r="8" spans="1:4" x14ac:dyDescent="0.25">
      <c r="A8" t="s">
        <v>316</v>
      </c>
      <c r="B8" s="69">
        <v>6</v>
      </c>
      <c r="C8" s="70" t="e">
        <f>'Requirements and Desirables'!I95+'Requirements and Desirables'!I96+'Requirements and Desirables'!I100+'Requirements and Desirables'!I103</f>
        <v>#VALUE!</v>
      </c>
      <c r="D8" s="70" t="e">
        <f>SUM('Requirements and Desirables'!I87:I116)</f>
        <v>#VALUE!</v>
      </c>
    </row>
    <row r="9" spans="1:4" s="68" customFormat="1" x14ac:dyDescent="0.25">
      <c r="A9" t="s">
        <v>313</v>
      </c>
      <c r="B9" s="69">
        <v>5</v>
      </c>
      <c r="C9" s="70" t="e">
        <f>'Requirements and Desirables'!I123</f>
        <v>#VALUE!</v>
      </c>
      <c r="D9" s="70" t="e">
        <f>SUM('Requirements and Desirables'!I119:I127)</f>
        <v>#VALUE!</v>
      </c>
    </row>
    <row r="10" spans="1:4" s="68" customFormat="1" x14ac:dyDescent="0.25">
      <c r="A10" t="s">
        <v>317</v>
      </c>
      <c r="B10" s="69">
        <v>1</v>
      </c>
      <c r="C10" s="70" t="e">
        <f>'Requirements and Desirables'!I134</f>
        <v>#VALUE!</v>
      </c>
      <c r="D10" s="70" t="e">
        <f>SUM('Requirements and Desirables'!I130:I135)</f>
        <v>#VALUE!</v>
      </c>
    </row>
    <row r="11" spans="1:4" x14ac:dyDescent="0.25">
      <c r="A11" t="s">
        <v>318</v>
      </c>
      <c r="B11" s="69">
        <v>1</v>
      </c>
      <c r="C11" s="70" t="s">
        <v>134</v>
      </c>
      <c r="D11" s="70" t="e">
        <f>SUM('Requirements and Desirables'!I139:I153)</f>
        <v>#VALUE!</v>
      </c>
    </row>
    <row r="12" spans="1:4" x14ac:dyDescent="0.25">
      <c r="A12" t="s">
        <v>319</v>
      </c>
      <c r="B12" s="69">
        <v>1</v>
      </c>
      <c r="C12" s="70" t="s">
        <v>134</v>
      </c>
      <c r="D12" s="70" t="e">
        <f>SUM('Requirements and Desirables'!I156:I160)</f>
        <v>#VALUE!</v>
      </c>
    </row>
    <row r="13" spans="1:4" s="68" customFormat="1" x14ac:dyDescent="0.25">
      <c r="A13" s="68" t="s">
        <v>320</v>
      </c>
      <c r="B13" s="69">
        <v>1</v>
      </c>
      <c r="C13" s="70" t="s">
        <v>134</v>
      </c>
      <c r="D13" s="70" t="e">
        <f>SUM('Requirements and Desirables'!I163:I168)</f>
        <v>#VALUE!</v>
      </c>
    </row>
    <row r="14" spans="1:4" s="68" customFormat="1" x14ac:dyDescent="0.25">
      <c r="B14" s="69"/>
      <c r="C14" s="69"/>
      <c r="D14" s="69"/>
    </row>
    <row r="15" spans="1:4" x14ac:dyDescent="0.25">
      <c r="A15" s="73" t="s">
        <v>321</v>
      </c>
      <c r="B15" s="71">
        <f>SUM(B5:B13)</f>
        <v>34</v>
      </c>
      <c r="C15" s="72" t="e">
        <f>SUM(C5:C13)</f>
        <v>#VALUE!</v>
      </c>
      <c r="D15" s="72" t="e">
        <f>SUM(D5:D13)</f>
        <v>#VALUE!</v>
      </c>
    </row>
    <row r="16" spans="1:4" x14ac:dyDescent="0.25">
      <c r="A16" s="86" t="s">
        <v>458</v>
      </c>
      <c r="C16" s="87" t="s">
        <v>459</v>
      </c>
      <c r="D16" s="87" t="s">
        <v>460</v>
      </c>
    </row>
    <row r="17" spans="1:4" s="68" customFormat="1" x14ac:dyDescent="0.25">
      <c r="A17" s="86"/>
      <c r="C17" s="87"/>
      <c r="D17" s="87"/>
    </row>
    <row r="18" spans="1:4" ht="60" x14ac:dyDescent="0.25">
      <c r="D18" s="84" t="s">
        <v>439</v>
      </c>
    </row>
  </sheetData>
  <sheetProtection algorithmName="SHA-512" hashValue="pkGzDjQFPSuGAdGxkTRoJo2YhBpWAiwNsy6MW5R375bs4EHbt19yNldHgMcdBg8l7TURStHW1aYTUkaNvb0GdA==" saltValue="AHxV2K6ni2+W0glq0X6bIQ==" spinCount="100000" sheet="1" objects="1" scenarios="1"/>
  <mergeCells count="1">
    <mergeCell ref="A1:D1"/>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71AD-E1C0-4FFC-A6AF-69AE70212F11}">
  <dimension ref="A1:V2"/>
  <sheetViews>
    <sheetView zoomScaleNormal="100" workbookViewId="0">
      <selection sqref="A1:V1"/>
    </sheetView>
  </sheetViews>
  <sheetFormatPr defaultRowHeight="15" x14ac:dyDescent="0.25"/>
  <sheetData>
    <row r="1" spans="1:22" s="66" customFormat="1" ht="20.25" thickBot="1" x14ac:dyDescent="0.35">
      <c r="A1" s="131" t="s">
        <v>461</v>
      </c>
      <c r="B1" s="131"/>
      <c r="C1" s="131"/>
      <c r="D1" s="131"/>
      <c r="E1" s="131"/>
      <c r="F1" s="131"/>
      <c r="G1" s="131"/>
      <c r="H1" s="131"/>
      <c r="I1" s="131"/>
      <c r="J1" s="131"/>
      <c r="K1" s="131"/>
      <c r="L1" s="131"/>
      <c r="M1" s="131"/>
      <c r="N1" s="131"/>
      <c r="O1" s="131"/>
      <c r="P1" s="131"/>
      <c r="Q1" s="131"/>
      <c r="R1" s="131"/>
      <c r="S1" s="131"/>
      <c r="T1" s="131"/>
      <c r="U1" s="131"/>
      <c r="V1" s="131"/>
    </row>
    <row r="2" spans="1:22" s="66" customFormat="1" ht="15.75" thickTop="1" x14ac:dyDescent="0.25"/>
  </sheetData>
  <sheetProtection algorithmName="SHA-512" hashValue="XzOV0UBubcUzzbbxdUO0f77s7qohK+hJNkyaj/XJzVl1pvly6LJpfMppHKA7qLO0AVenCRiFYOsEQgHZlWv0pA==" saltValue="3HvHyYQtkEJkzLJtNX48tw==" spinCount="100000" sheet="1" objects="1" scenarios="1"/>
  <mergeCells count="1">
    <mergeCell ref="A1:V1"/>
  </mergeCells>
  <pageMargins left="0.7" right="0.7" top="0.75" bottom="0.75" header="0.3" footer="0.3"/>
  <pageSetup orientation="portrait" horizontalDpi="1200" verticalDpi="1200" r:id="rId1"/>
  <drawing r:id="rId2"/>
  <legacyDrawing r:id="rId3"/>
  <oleObjects>
    <mc:AlternateContent xmlns:mc="http://schemas.openxmlformats.org/markup-compatibility/2006">
      <mc:Choice Requires="x14">
        <oleObject progId="Acrobat Document" shapeId="6146" r:id="rId4">
          <objectPr defaultSize="0" r:id="rId5">
            <anchor moveWithCells="1">
              <from>
                <xdr:col>9</xdr:col>
                <xdr:colOff>285750</xdr:colOff>
                <xdr:row>2</xdr:row>
                <xdr:rowOff>0</xdr:rowOff>
              </from>
              <to>
                <xdr:col>22</xdr:col>
                <xdr:colOff>371475</xdr:colOff>
                <xdr:row>31</xdr:row>
                <xdr:rowOff>142875</xdr:rowOff>
              </to>
            </anchor>
          </objectPr>
        </oleObject>
      </mc:Choice>
      <mc:Fallback>
        <oleObject progId="Acrobat Document" shapeId="6146" r:id="rId4"/>
      </mc:Fallback>
    </mc:AlternateContent>
    <mc:AlternateContent xmlns:mc="http://schemas.openxmlformats.org/markup-compatibility/2006">
      <mc:Choice Requires="x14">
        <oleObject progId="Acrobat Document" shapeId="6147" r:id="rId6">
          <objectPr defaultSize="0" r:id="rId7">
            <anchor moveWithCells="1">
              <from>
                <xdr:col>9</xdr:col>
                <xdr:colOff>285750</xdr:colOff>
                <xdr:row>32</xdr:row>
                <xdr:rowOff>57150</xdr:rowOff>
              </from>
              <to>
                <xdr:col>22</xdr:col>
                <xdr:colOff>371475</xdr:colOff>
                <xdr:row>62</xdr:row>
                <xdr:rowOff>0</xdr:rowOff>
              </to>
            </anchor>
          </objectPr>
        </oleObject>
      </mc:Choice>
      <mc:Fallback>
        <oleObject progId="Acrobat Document" shapeId="6147" r:id="rId6"/>
      </mc:Fallback>
    </mc:AlternateContent>
    <mc:AlternateContent xmlns:mc="http://schemas.openxmlformats.org/markup-compatibility/2006">
      <mc:Choice Requires="x14">
        <oleObject progId="Acrobat Document" shapeId="6148" r:id="rId8">
          <objectPr defaultSize="0" r:id="rId9">
            <anchor moveWithCells="1">
              <from>
                <xdr:col>0</xdr:col>
                <xdr:colOff>0</xdr:colOff>
                <xdr:row>2</xdr:row>
                <xdr:rowOff>0</xdr:rowOff>
              </from>
              <to>
                <xdr:col>9</xdr:col>
                <xdr:colOff>180975</xdr:colOff>
                <xdr:row>44</xdr:row>
                <xdr:rowOff>19050</xdr:rowOff>
              </to>
            </anchor>
          </objectPr>
        </oleObject>
      </mc:Choice>
      <mc:Fallback>
        <oleObject progId="Acrobat Document" shapeId="6148"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9890B-7527-410B-8D73-826F93AB896F}">
  <dimension ref="A1:E68"/>
  <sheetViews>
    <sheetView workbookViewId="0">
      <pane ySplit="1" topLeftCell="A2" activePane="bottomLeft" state="frozen"/>
      <selection pane="bottomLeft"/>
    </sheetView>
  </sheetViews>
  <sheetFormatPr defaultRowHeight="15" x14ac:dyDescent="0.25"/>
  <cols>
    <col min="1" max="1" width="57.5703125" customWidth="1"/>
  </cols>
  <sheetData>
    <row r="1" spans="1:5" ht="18.75" x14ac:dyDescent="0.3">
      <c r="A1" s="14" t="s">
        <v>227</v>
      </c>
      <c r="B1" s="14"/>
      <c r="C1" s="14"/>
      <c r="D1" s="14"/>
      <c r="E1" s="14"/>
    </row>
    <row r="2" spans="1:5" x14ac:dyDescent="0.25">
      <c r="A2" s="3" t="s">
        <v>238</v>
      </c>
    </row>
    <row r="3" spans="1:5" s="32" customFormat="1" x14ac:dyDescent="0.25">
      <c r="A3" s="15" t="s">
        <v>297</v>
      </c>
    </row>
    <row r="4" spans="1:5" x14ac:dyDescent="0.25">
      <c r="A4" s="2" t="s">
        <v>223</v>
      </c>
    </row>
    <row r="5" spans="1:5" x14ac:dyDescent="0.25">
      <c r="A5" s="2" t="s">
        <v>224</v>
      </c>
    </row>
    <row r="6" spans="1:5" x14ac:dyDescent="0.25">
      <c r="A6" s="2"/>
    </row>
    <row r="7" spans="1:5" x14ac:dyDescent="0.25">
      <c r="A7" s="3" t="s">
        <v>230</v>
      </c>
    </row>
    <row r="8" spans="1:5" s="1" customFormat="1" x14ac:dyDescent="0.25">
      <c r="A8" s="15" t="s">
        <v>303</v>
      </c>
    </row>
    <row r="9" spans="1:5" x14ac:dyDescent="0.25">
      <c r="A9" s="2" t="s">
        <v>231</v>
      </c>
    </row>
    <row r="10" spans="1:5" x14ac:dyDescent="0.25">
      <c r="A10" s="2" t="s">
        <v>232</v>
      </c>
    </row>
    <row r="11" spans="1:5" x14ac:dyDescent="0.25">
      <c r="A11" s="2" t="s">
        <v>233</v>
      </c>
    </row>
    <row r="12" spans="1:5" x14ac:dyDescent="0.25">
      <c r="A12" s="2" t="s">
        <v>234</v>
      </c>
    </row>
    <row r="13" spans="1:5" x14ac:dyDescent="0.25">
      <c r="A13" s="2" t="s">
        <v>235</v>
      </c>
    </row>
    <row r="14" spans="1:5" x14ac:dyDescent="0.25">
      <c r="A14" t="s">
        <v>236</v>
      </c>
    </row>
    <row r="16" spans="1:5" x14ac:dyDescent="0.25">
      <c r="A16" s="3" t="s">
        <v>440</v>
      </c>
    </row>
    <row r="17" spans="1:1" s="32" customFormat="1" x14ac:dyDescent="0.25">
      <c r="A17" s="15" t="s">
        <v>297</v>
      </c>
    </row>
    <row r="18" spans="1:1" x14ac:dyDescent="0.25">
      <c r="A18" s="2" t="s">
        <v>304</v>
      </c>
    </row>
    <row r="19" spans="1:1" x14ac:dyDescent="0.25">
      <c r="A19" s="2" t="s">
        <v>305</v>
      </c>
    </row>
    <row r="20" spans="1:1" x14ac:dyDescent="0.25">
      <c r="A20" s="2" t="s">
        <v>224</v>
      </c>
    </row>
    <row r="22" spans="1:1" x14ac:dyDescent="0.25">
      <c r="A22" s="3" t="s">
        <v>442</v>
      </c>
    </row>
    <row r="23" spans="1:1" s="32" customFormat="1" x14ac:dyDescent="0.25">
      <c r="A23" s="15" t="s">
        <v>297</v>
      </c>
    </row>
    <row r="24" spans="1:1" x14ac:dyDescent="0.25">
      <c r="A24" s="2" t="s">
        <v>304</v>
      </c>
    </row>
    <row r="25" spans="1:1" x14ac:dyDescent="0.25">
      <c r="A25" s="2" t="s">
        <v>305</v>
      </c>
    </row>
    <row r="26" spans="1:1" x14ac:dyDescent="0.25">
      <c r="A26" s="2" t="s">
        <v>240</v>
      </c>
    </row>
    <row r="27" spans="1:1" x14ac:dyDescent="0.25">
      <c r="A27" s="2" t="s">
        <v>224</v>
      </c>
    </row>
    <row r="29" spans="1:1" x14ac:dyDescent="0.25">
      <c r="A29" s="3" t="s">
        <v>249</v>
      </c>
    </row>
    <row r="30" spans="1:1" x14ac:dyDescent="0.25">
      <c r="A30" s="15" t="s">
        <v>302</v>
      </c>
    </row>
    <row r="31" spans="1:1" x14ac:dyDescent="0.25">
      <c r="A31" s="2" t="s">
        <v>426</v>
      </c>
    </row>
    <row r="32" spans="1:1" x14ac:dyDescent="0.25">
      <c r="A32" s="2" t="s">
        <v>265</v>
      </c>
    </row>
    <row r="33" spans="1:1" x14ac:dyDescent="0.25">
      <c r="A33" s="2" t="s">
        <v>247</v>
      </c>
    </row>
    <row r="34" spans="1:1" x14ac:dyDescent="0.25">
      <c r="A34" s="2" t="s">
        <v>246</v>
      </c>
    </row>
    <row r="35" spans="1:1" x14ac:dyDescent="0.25">
      <c r="A35" s="2" t="s">
        <v>245</v>
      </c>
    </row>
    <row r="36" spans="1:1" x14ac:dyDescent="0.25">
      <c r="A36" s="2" t="s">
        <v>244</v>
      </c>
    </row>
    <row r="37" spans="1:1" x14ac:dyDescent="0.25">
      <c r="A37" s="2" t="s">
        <v>248</v>
      </c>
    </row>
    <row r="39" spans="1:1" x14ac:dyDescent="0.25">
      <c r="A39" s="3" t="s">
        <v>443</v>
      </c>
    </row>
    <row r="40" spans="1:1" x14ac:dyDescent="0.25">
      <c r="A40" s="2" t="s">
        <v>301</v>
      </c>
    </row>
    <row r="41" spans="1:1" x14ac:dyDescent="0.25">
      <c r="A41" t="s">
        <v>255</v>
      </c>
    </row>
    <row r="42" spans="1:1" x14ac:dyDescent="0.25">
      <c r="A42" t="s">
        <v>254</v>
      </c>
    </row>
    <row r="43" spans="1:1" x14ac:dyDescent="0.25">
      <c r="A43" t="s">
        <v>253</v>
      </c>
    </row>
    <row r="44" spans="1:1" x14ac:dyDescent="0.25">
      <c r="A44" t="s">
        <v>252</v>
      </c>
    </row>
    <row r="45" spans="1:1" x14ac:dyDescent="0.25">
      <c r="A45" t="s">
        <v>251</v>
      </c>
    </row>
    <row r="46" spans="1:1" x14ac:dyDescent="0.25">
      <c r="A46" t="s">
        <v>250</v>
      </c>
    </row>
    <row r="48" spans="1:1" x14ac:dyDescent="0.25">
      <c r="A48" s="33" t="s">
        <v>444</v>
      </c>
    </row>
    <row r="49" spans="1:1" x14ac:dyDescent="0.25">
      <c r="A49" t="s">
        <v>300</v>
      </c>
    </row>
    <row r="50" spans="1:1" x14ac:dyDescent="0.25">
      <c r="A50" t="s">
        <v>268</v>
      </c>
    </row>
    <row r="51" spans="1:1" x14ac:dyDescent="0.25">
      <c r="A51" t="s">
        <v>269</v>
      </c>
    </row>
    <row r="52" spans="1:1" x14ac:dyDescent="0.25">
      <c r="A52" t="s">
        <v>270</v>
      </c>
    </row>
    <row r="53" spans="1:1" x14ac:dyDescent="0.25">
      <c r="A53" t="s">
        <v>271</v>
      </c>
    </row>
    <row r="54" spans="1:1" x14ac:dyDescent="0.25">
      <c r="A54" t="s">
        <v>272</v>
      </c>
    </row>
    <row r="55" spans="1:1" x14ac:dyDescent="0.25">
      <c r="A55" t="s">
        <v>273</v>
      </c>
    </row>
    <row r="57" spans="1:1" x14ac:dyDescent="0.25">
      <c r="A57" s="33" t="s">
        <v>291</v>
      </c>
    </row>
    <row r="58" spans="1:1" x14ac:dyDescent="0.25">
      <c r="A58">
        <f>0.2*750/935</f>
        <v>0.16042780748663102</v>
      </c>
    </row>
    <row r="60" spans="1:1" x14ac:dyDescent="0.25">
      <c r="A60" s="33" t="s">
        <v>295</v>
      </c>
    </row>
    <row r="61" spans="1:1" s="32" customFormat="1" x14ac:dyDescent="0.25">
      <c r="A61" s="65" t="s">
        <v>296</v>
      </c>
    </row>
    <row r="62" spans="1:1" x14ac:dyDescent="0.25">
      <c r="A62" t="s">
        <v>298</v>
      </c>
    </row>
    <row r="63" spans="1:1" x14ac:dyDescent="0.25">
      <c r="A63" t="s">
        <v>299</v>
      </c>
    </row>
    <row r="65" spans="1:1" x14ac:dyDescent="0.25">
      <c r="A65" s="33" t="s">
        <v>445</v>
      </c>
    </row>
    <row r="66" spans="1:1" x14ac:dyDescent="0.25">
      <c r="A66" s="15" t="s">
        <v>297</v>
      </c>
    </row>
    <row r="67" spans="1:1" x14ac:dyDescent="0.25">
      <c r="A67" s="2" t="s">
        <v>306</v>
      </c>
    </row>
    <row r="68" spans="1:1" x14ac:dyDescent="0.25">
      <c r="A68" s="2" t="s">
        <v>307</v>
      </c>
    </row>
  </sheetData>
  <sheetProtection algorithmName="SHA-512" hashValue="koC4KibaxZ57szIBwAjmL1IeorDToBwHldGJDKpfDWsfQKRb2ClLmoagQP7yOuvmzfYplL0uL3EsLA4MGIsgdA==" saltValue="h1TmBVjBAEHyQFIEYxfGMg==" spinCount="100000" sheet="1" objects="1" scenarios="1"/>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15F95F42A9E246A89ED726AA66A7E8" ma:contentTypeVersion="0" ma:contentTypeDescription="Een nieuw document maken." ma:contentTypeScope="" ma:versionID="34e069232c2e8b86a37b45d9ff29e8c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816C3C-99C4-4E31-917F-7142DB27C336}"/>
</file>

<file path=customXml/itemProps2.xml><?xml version="1.0" encoding="utf-8"?>
<ds:datastoreItem xmlns:ds="http://schemas.openxmlformats.org/officeDocument/2006/customXml" ds:itemID="{8E6D6579-5823-4696-BBD8-1D0D81EB7F9D}"/>
</file>

<file path=customXml/itemProps3.xml><?xml version="1.0" encoding="utf-8"?>
<ds:datastoreItem xmlns:ds="http://schemas.openxmlformats.org/officeDocument/2006/customXml" ds:itemID="{5250BD51-1889-49FF-AFA8-B0E7A43DE9E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 and Explanations</vt:lpstr>
      <vt:lpstr>Requirements and Desirables</vt:lpstr>
      <vt:lpstr>Summary of Quality criteria</vt:lpstr>
      <vt:lpstr>Technical Drawings Mandatory-75</vt:lpstr>
      <vt:lpstr>Technical Area</vt:lpstr>
      <vt:lpstr>'Requirements and Desirables'!Print_Area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Quast, Henk Willem (KNMI)</dc:creator>
  <cp:lastModifiedBy>Wijngaarden van, Frans (KNMI)</cp:lastModifiedBy>
  <cp:lastPrinted>2022-07-08T13:23:14Z</cp:lastPrinted>
  <dcterms:created xsi:type="dcterms:W3CDTF">2022-05-11T05:43:57Z</dcterms:created>
  <dcterms:modified xsi:type="dcterms:W3CDTF">2023-01-04T14:59:27Z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0x0101007815F95F42A9E246A89ED726AA66A7E8</vt:lpwstr>
  </property>
</Properties>
</file>