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DATA\EXTERN\Hogeschool der Kunsten Den Haag\Aanbesteding 2023\Correspondentie\1e NvI\"/>
    </mc:Choice>
  </mc:AlternateContent>
  <xr:revisionPtr revIDLastSave="0" documentId="13_ncr:1_{9D24C55C-0A3D-4FF3-AAB2-3F3503062D56}" xr6:coauthVersionLast="47" xr6:coauthVersionMax="47" xr10:uidLastSave="{00000000-0000-0000-0000-000000000000}"/>
  <bookViews>
    <workbookView xWindow="31965" yWindow="2430" windowWidth="21600" windowHeight="11295" firstSheet="6" activeTab="7" xr2:uid="{1D417131-C48E-457D-BAE8-7D0A9B4BEB10}"/>
  </bookViews>
  <sheets>
    <sheet name="Omreken" sheetId="1" r:id="rId1"/>
    <sheet name="Categorienormen" sheetId="2" r:id="rId2"/>
    <sheet name="Regulier werk" sheetId="3" r:id="rId3"/>
    <sheet name="Objectinformatie" sheetId="4" r:id="rId4"/>
    <sheet name="Objecten" sheetId="5" r:id="rId5"/>
    <sheet name="Niet-meewerkende objectleiding" sheetId="6" r:id="rId6"/>
    <sheet name="Totaalblad Objecten" sheetId="7" r:id="rId7"/>
    <sheet name="Afroep" sheetId="8" r:id="rId8"/>
    <sheet name="Afroep incidenteel" sheetId="9" r:id="rId9"/>
    <sheet name="Regiewerk" sheetId="10" r:id="rId10"/>
    <sheet name="Glas" sheetId="11" r:id="rId11"/>
    <sheet name="Glas per locatie" sheetId="12" r:id="rId12"/>
    <sheet name="Totaal" sheetId="13" r:id="rId13"/>
  </sheets>
  <definedNames>
    <definedName name="_xlnm.Print_Titles" localSheetId="7">Afroep!$1:$3</definedName>
    <definedName name="_xlnm.Print_Titles" localSheetId="8">'Afroep incidenteel'!$1:$3</definedName>
    <definedName name="_xlnm.Print_Titles" localSheetId="1">Categorienormen!$1:$3</definedName>
    <definedName name="_xlnm.Print_Titles" localSheetId="10">Glas!$1:$3</definedName>
    <definedName name="_xlnm.Print_Titles" localSheetId="11">'Glas per locatie'!$1:$3</definedName>
    <definedName name="_xlnm.Print_Titles" localSheetId="5">'Niet-meewerkende objectleiding'!$1:$3</definedName>
    <definedName name="_xlnm.Print_Titles" localSheetId="4">Objecten!$1:$3</definedName>
    <definedName name="_xlnm.Print_Titles" localSheetId="3">Objectinformatie!$A:$D,Objectinformatie!$1:$4</definedName>
    <definedName name="_xlnm.Print_Titles" localSheetId="9">Regiewerk!$1:$3</definedName>
    <definedName name="_xlnm.Print_Titles" localSheetId="2">'Regulier werk'!$1:$3</definedName>
    <definedName name="_xlnm.Print_Titles" localSheetId="12">Totaal!$1:$3</definedName>
    <definedName name="_xlnm.Print_Titles" localSheetId="6">'Totaalblad Objecten'!$1:$3</definedName>
    <definedName name="catdw_1_AHB_1">Categorienormen!$F$38</definedName>
    <definedName name="catdw_1_AHV_39">Categorienormen!$F$39</definedName>
    <definedName name="catdw_1_BBHB_1">Categorienormen!$F$6</definedName>
    <definedName name="catdw_1_BBHV_39">Categorienormen!$F$7</definedName>
    <definedName name="catdw_1_BBZB_1">Categorienormen!$F$8</definedName>
    <definedName name="catdw_1_BBZV_39">Categorienormen!$F$9</definedName>
    <definedName name="catdw_1_BHB_1">Categorienormen!$F$10</definedName>
    <definedName name="catdw_1_BHV_39">Categorienormen!$F$11</definedName>
    <definedName name="catdw_1_BZB_1">Categorienormen!$F$12</definedName>
    <definedName name="catdw_1_BZV_39">Categorienormen!$F$13</definedName>
    <definedName name="catdw_1_CHB_1">Categorienormen!$F$14</definedName>
    <definedName name="catdw_1_CHV_39">Categorienormen!$F$15</definedName>
    <definedName name="catdw_1_CZB_1">Categorienormen!$F$16</definedName>
    <definedName name="catdw_1_CZV_39">Categorienormen!$F$17</definedName>
    <definedName name="catdw_1_DHB_1">Categorienormen!$F$34</definedName>
    <definedName name="catdw_1_DHV_39">Categorienormen!$F$35</definedName>
    <definedName name="catdw_1_FHB_1">Categorienormen!$F$40</definedName>
    <definedName name="catdw_1_FHV_39">Categorienormen!$F$41</definedName>
    <definedName name="catdw_1_LHB_1">Categorienormen!$F$18</definedName>
    <definedName name="catdw_1_LHV_39">Categorienormen!$F$19</definedName>
    <definedName name="catdw_1_LZB_1">Categorienormen!$F$20</definedName>
    <definedName name="catdw_1_LZV_39">Categorienormen!$F$21</definedName>
    <definedName name="catdw_1_MHB_1">Categorienormen!$F$22</definedName>
    <definedName name="catdw_1_MHV_39">Categorienormen!$F$23</definedName>
    <definedName name="catdw_1_PAHB_1">Categorienormen!$F$31</definedName>
    <definedName name="catdw_1_PAHV_39">Categorienormen!$F$32</definedName>
    <definedName name="catdw_1_PHB_1">Categorienormen!$F$42</definedName>
    <definedName name="catdw_1_PHV_39">Categorienormen!$F$43</definedName>
    <definedName name="catdw_1_RHB_1">Categorienormen!$F$24</definedName>
    <definedName name="catdw_1_RHV_39">Categorienormen!$F$25</definedName>
    <definedName name="catdw_1_SHB_1">Categorienormen!$F$36</definedName>
    <definedName name="catdw_1_SHV_39">Categorienormen!$F$37</definedName>
    <definedName name="catdw_1_THB_1">Categorienormen!$F$44</definedName>
    <definedName name="catdw_1_THV_39">Categorienormen!$F$45</definedName>
    <definedName name="catdw_1_VHB_1">Categorienormen!$F$46</definedName>
    <definedName name="catdw_1_VHV_39">Categorienormen!$F$47</definedName>
    <definedName name="catdw_1_VZB_1">Categorienormen!$F$48</definedName>
    <definedName name="catdw_1_VZV_39">Categorienormen!$F$49</definedName>
    <definedName name="catdw_1_WHB_1">Categorienormen!$F$26</definedName>
    <definedName name="catdw_1_WHHB_1">Categorienormen!$F$27</definedName>
    <definedName name="catdw_1_WHIHV_39">Categorienormen!$F$33</definedName>
    <definedName name="catdw_1_WHV_39">Categorienormen!$F$28</definedName>
    <definedName name="catdw_1_WZB_1">Categorienormen!$F$29</definedName>
    <definedName name="catdw_1_WZV_39">Categorienormen!$F$30</definedName>
    <definedName name="catdw_1_XBB_1">Categorienormen!$F$50</definedName>
    <definedName name="catdw_3_VBHB_1">Categorienormen!$F$53</definedName>
    <definedName name="catdw_3_VBZB_1">Categorienormen!$F$54</definedName>
    <definedName name="catdw_3_VBZV_10">Categorienormen!$F$55</definedName>
    <definedName name="catdw_3_VFHB_1">Categorienormen!$F$59</definedName>
    <definedName name="catdw_3_VPHB_1">Categorienormen!$F$60</definedName>
    <definedName name="catdw_3_VPHV_10">Categorienormen!$F$61</definedName>
    <definedName name="catdw_3_VRHB_1">Categorienormen!$F$56</definedName>
    <definedName name="catdw_3_VSHB_1">Categorienormen!$F$57</definedName>
    <definedName name="catdw_3_VSHV_10">Categorienormen!$F$58</definedName>
    <definedName name="catdw_3_VVHB_1">Categorienormen!$F$62</definedName>
    <definedName name="catdw_3_VVHV_10">Categorienormen!$F$63</definedName>
    <definedName name="catfd_1_AHB_1">Categorienormen!$C$38</definedName>
    <definedName name="catfd_1_AHV_39">Categorienormen!$C$39</definedName>
    <definedName name="catfd_1_BBHB_1">Categorienormen!$C$6</definedName>
    <definedName name="catfd_1_BBHV_39">Categorienormen!$C$7</definedName>
    <definedName name="catfd_1_BBZB_1">Categorienormen!$C$8</definedName>
    <definedName name="catfd_1_BBZV_39">Categorienormen!$C$9</definedName>
    <definedName name="catfd_1_BHB_1">Categorienormen!$C$10</definedName>
    <definedName name="catfd_1_BHV_39">Categorienormen!$C$11</definedName>
    <definedName name="catfd_1_BZB_1">Categorienormen!$C$12</definedName>
    <definedName name="catfd_1_BZV_39">Categorienormen!$C$13</definedName>
    <definedName name="catfd_1_CHB_1">Categorienormen!$C$14</definedName>
    <definedName name="catfd_1_CHV_39">Categorienormen!$C$15</definedName>
    <definedName name="catfd_1_CZB_1">Categorienormen!$C$16</definedName>
    <definedName name="catfd_1_CZV_39">Categorienormen!$C$17</definedName>
    <definedName name="catfd_1_DHB_1">Categorienormen!$C$34</definedName>
    <definedName name="catfd_1_DHV_39">Categorienormen!$C$35</definedName>
    <definedName name="catfd_1_FHB_1">Categorienormen!$C$40</definedName>
    <definedName name="catfd_1_FHV_39">Categorienormen!$C$41</definedName>
    <definedName name="catfd_1_LHB_1">Categorienormen!$C$18</definedName>
    <definedName name="catfd_1_LHV_39">Categorienormen!$C$19</definedName>
    <definedName name="catfd_1_LZB_1">Categorienormen!$C$20</definedName>
    <definedName name="catfd_1_LZV_39">Categorienormen!$C$21</definedName>
    <definedName name="catfd_1_MHB_1">Categorienormen!$C$22</definedName>
    <definedName name="catfd_1_MHV_39">Categorienormen!$C$23</definedName>
    <definedName name="catfd_1_PAHB_1">Categorienormen!$C$31</definedName>
    <definedName name="catfd_1_PAHV_39">Categorienormen!$C$32</definedName>
    <definedName name="catfd_1_PHB_1">Categorienormen!$C$42</definedName>
    <definedName name="catfd_1_PHV_39">Categorienormen!$C$43</definedName>
    <definedName name="catfd_1_RHB_1">Categorienormen!$C$24</definedName>
    <definedName name="catfd_1_RHV_39">Categorienormen!$C$25</definedName>
    <definedName name="catfd_1_SHB_1">Categorienormen!$C$36</definedName>
    <definedName name="catfd_1_SHV_39">Categorienormen!$C$37</definedName>
    <definedName name="catfd_1_THB_1">Categorienormen!$C$44</definedName>
    <definedName name="catfd_1_THV_39">Categorienormen!$C$45</definedName>
    <definedName name="catfd_1_VHB_1">Categorienormen!$C$46</definedName>
    <definedName name="catfd_1_VHV_39">Categorienormen!$C$47</definedName>
    <definedName name="catfd_1_VZB_1">Categorienormen!$C$48</definedName>
    <definedName name="catfd_1_VZV_39">Categorienormen!$C$49</definedName>
    <definedName name="catfd_1_WHB_1">Categorienormen!$C$26</definedName>
    <definedName name="catfd_1_WHHB_1">Categorienormen!$C$27</definedName>
    <definedName name="catfd_1_WHIHV_39">Categorienormen!$C$33</definedName>
    <definedName name="catfd_1_WHV_39">Categorienormen!$C$28</definedName>
    <definedName name="catfd_1_WZB_1">Categorienormen!$C$29</definedName>
    <definedName name="catfd_1_WZV_39">Categorienormen!$C$30</definedName>
    <definedName name="catfd_1_XBB_1">Categorienormen!$C$50</definedName>
    <definedName name="catfd_3_VBHB_1">Categorienormen!$C$53</definedName>
    <definedName name="catfd_3_VBZB_1">Categorienormen!$C$54</definedName>
    <definedName name="catfd_3_VBZV_10">Categorienormen!$C$55</definedName>
    <definedName name="catfd_3_VFHB_1">Categorienormen!$C$59</definedName>
    <definedName name="catfd_3_VPHB_1">Categorienormen!$C$60</definedName>
    <definedName name="catfd_3_VPHV_10">Categorienormen!$C$61</definedName>
    <definedName name="catfd_3_VRHB_1">Categorienormen!$C$56</definedName>
    <definedName name="catfd_3_VSHB_1">Categorienormen!$C$57</definedName>
    <definedName name="catfd_3_VSHV_10">Categorienormen!$C$58</definedName>
    <definedName name="catfd_3_VVHB_1">Categorienormen!$C$62</definedName>
    <definedName name="catfd_3_VVHV_10">Categorienormen!$C$63</definedName>
    <definedName name="catpn_1_AHB_1">Categorienormen!$E$38</definedName>
    <definedName name="catpn_1_AHV_39">Categorienormen!$E$39</definedName>
    <definedName name="catpn_1_BBHB_1">Categorienormen!$E$6</definedName>
    <definedName name="catpn_1_BBHV_39">Categorienormen!$E$7</definedName>
    <definedName name="catpn_1_BBZB_1">Categorienormen!$E$8</definedName>
    <definedName name="catpn_1_BBZV_39">Categorienormen!$E$9</definedName>
    <definedName name="catpn_1_BHB_1">Categorienormen!$E$10</definedName>
    <definedName name="catpn_1_BHV_39">Categorienormen!$E$11</definedName>
    <definedName name="catpn_1_BZB_1">Categorienormen!$E$12</definedName>
    <definedName name="catpn_1_BZV_39">Categorienormen!$E$13</definedName>
    <definedName name="catpn_1_CHB_1">Categorienormen!$E$14</definedName>
    <definedName name="catpn_1_CHV_39">Categorienormen!$E$15</definedName>
    <definedName name="catpn_1_CZB_1">Categorienormen!$E$16</definedName>
    <definedName name="catpn_1_CZV_39">Categorienormen!$E$17</definedName>
    <definedName name="catpn_1_DHB_1">Categorienormen!$E$34</definedName>
    <definedName name="catpn_1_DHV_39">Categorienormen!$E$35</definedName>
    <definedName name="catpn_1_FHB_1">Categorienormen!$E$40</definedName>
    <definedName name="catpn_1_FHV_39">Categorienormen!$E$41</definedName>
    <definedName name="catpn_1_LHB_1">Categorienormen!$E$18</definedName>
    <definedName name="catpn_1_LHV_39">Categorienormen!$E$19</definedName>
    <definedName name="catpn_1_LZB_1">Categorienormen!$E$20</definedName>
    <definedName name="catpn_1_LZV_39">Categorienormen!$E$21</definedName>
    <definedName name="catpn_1_MHB_1">Categorienormen!$E$22</definedName>
    <definedName name="catpn_1_MHV_39">Categorienormen!$E$23</definedName>
    <definedName name="catpn_1_PAHB_1">Categorienormen!$E$31</definedName>
    <definedName name="catpn_1_PAHV_39">Categorienormen!$E$32</definedName>
    <definedName name="catpn_1_PHB_1">Categorienormen!$E$42</definedName>
    <definedName name="catpn_1_PHV_39">Categorienormen!$E$43</definedName>
    <definedName name="catpn_1_RHB_1">Categorienormen!$E$24</definedName>
    <definedName name="catpn_1_RHV_39">Categorienormen!$E$25</definedName>
    <definedName name="catpn_1_SHB_1">Categorienormen!$E$36</definedName>
    <definedName name="catpn_1_SHV_39">Categorienormen!$E$37</definedName>
    <definedName name="catpn_1_THB_1">Categorienormen!$E$44</definedName>
    <definedName name="catpn_1_THV_39">Categorienormen!$E$45</definedName>
    <definedName name="catpn_1_VHB_1">Categorienormen!$E$46</definedName>
    <definedName name="catpn_1_VHV_39">Categorienormen!$E$47</definedName>
    <definedName name="catpn_1_VZB_1">Categorienormen!$E$48</definedName>
    <definedName name="catpn_1_VZV_39">Categorienormen!$E$49</definedName>
    <definedName name="catpn_1_WHB_1">Categorienormen!$E$26</definedName>
    <definedName name="catpn_1_WHHB_1">Categorienormen!$E$27</definedName>
    <definedName name="catpn_1_WHIHV_39">Categorienormen!$E$33</definedName>
    <definedName name="catpn_1_WHV_39">Categorienormen!$E$28</definedName>
    <definedName name="catpn_1_WZB_1">Categorienormen!$E$29</definedName>
    <definedName name="catpn_1_WZV_39">Categorienormen!$E$30</definedName>
    <definedName name="catpn_1_XBB_1">Categorienormen!$E$50</definedName>
    <definedName name="catpn_3_VBHB_1">Categorienormen!$E$53</definedName>
    <definedName name="catpn_3_VBZB_1">Categorienormen!$E$54</definedName>
    <definedName name="catpn_3_VBZV_10">Categorienormen!$E$55</definedName>
    <definedName name="catpn_3_VFHB_1">Categorienormen!$E$59</definedName>
    <definedName name="catpn_3_VPHB_1">Categorienormen!$E$60</definedName>
    <definedName name="catpn_3_VPHV_10">Categorienormen!$E$61</definedName>
    <definedName name="catpn_3_VRHB_1">Categorienormen!$E$56</definedName>
    <definedName name="catpn_3_VSHB_1">Categorienormen!$E$57</definedName>
    <definedName name="catpn_3_VSHV_10">Categorienormen!$E$58</definedName>
    <definedName name="catpn_3_VVHB_1">Categorienormen!$E$62</definedName>
    <definedName name="catpn_3_VVHV_10">Categorienormen!$E$63</definedName>
    <definedName name="cattf_1_AHB_1">Categorienormen!$H$38</definedName>
    <definedName name="cattf_1_AHV_39">Categorienormen!$H$39</definedName>
    <definedName name="cattf_1_BBHB_1">Categorienormen!$H$6</definedName>
    <definedName name="cattf_1_BBHV_39">Categorienormen!$H$7</definedName>
    <definedName name="cattf_1_BBZB_1">Categorienormen!$H$8</definedName>
    <definedName name="cattf_1_BBZV_39">Categorienormen!$H$9</definedName>
    <definedName name="cattf_1_BHB_1">Categorienormen!$H$10</definedName>
    <definedName name="cattf_1_BHV_39">Categorienormen!$H$11</definedName>
    <definedName name="cattf_1_BZB_1">Categorienormen!$H$12</definedName>
    <definedName name="cattf_1_BZV_39">Categorienormen!$H$13</definedName>
    <definedName name="cattf_1_CHB_1">Categorienormen!$H$14</definedName>
    <definedName name="cattf_1_CHV_39">Categorienormen!$H$15</definedName>
    <definedName name="cattf_1_CZB_1">Categorienormen!$H$16</definedName>
    <definedName name="cattf_1_CZV_39">Categorienormen!$H$17</definedName>
    <definedName name="cattf_1_DHB_1">Categorienormen!$H$34</definedName>
    <definedName name="cattf_1_DHV_39">Categorienormen!$H$35</definedName>
    <definedName name="cattf_1_FHB_1">Categorienormen!$H$40</definedName>
    <definedName name="cattf_1_FHV_39">Categorienormen!$H$41</definedName>
    <definedName name="cattf_1_LHB_1">Categorienormen!$H$18</definedName>
    <definedName name="cattf_1_LHV_39">Categorienormen!$H$19</definedName>
    <definedName name="cattf_1_LZB_1">Categorienormen!$H$20</definedName>
    <definedName name="cattf_1_LZV_39">Categorienormen!$H$21</definedName>
    <definedName name="cattf_1_MHB_1">Categorienormen!$H$22</definedName>
    <definedName name="cattf_1_MHV_39">Categorienormen!$H$23</definedName>
    <definedName name="cattf_1_PAHB_1">Categorienormen!$H$31</definedName>
    <definedName name="cattf_1_PAHV_39">Categorienormen!$H$32</definedName>
    <definedName name="cattf_1_PHB_1">Categorienormen!$H$42</definedName>
    <definedName name="cattf_1_PHV_39">Categorienormen!$H$43</definedName>
    <definedName name="cattf_1_RHB_1">Categorienormen!$H$24</definedName>
    <definedName name="cattf_1_RHV_39">Categorienormen!$H$25</definedName>
    <definedName name="cattf_1_SHB_1">Categorienormen!$H$36</definedName>
    <definedName name="cattf_1_SHV_39">Categorienormen!$H$37</definedName>
    <definedName name="cattf_1_THB_1">Categorienormen!$H$44</definedName>
    <definedName name="cattf_1_THV_39">Categorienormen!$H$45</definedName>
    <definedName name="cattf_1_VHB_1">Categorienormen!$H$46</definedName>
    <definedName name="cattf_1_VHV_39">Categorienormen!$H$47</definedName>
    <definedName name="cattf_1_VZB_1">Categorienormen!$H$48</definedName>
    <definedName name="cattf_1_VZV_39">Categorienormen!$H$49</definedName>
    <definedName name="cattf_1_WHB_1">Categorienormen!$H$26</definedName>
    <definedName name="cattf_1_WHHB_1">Categorienormen!$H$27</definedName>
    <definedName name="cattf_1_WHIHV_39">Categorienormen!$H$33</definedName>
    <definedName name="cattf_1_WHV_39">Categorienormen!$H$28</definedName>
    <definedName name="cattf_1_WZB_1">Categorienormen!$H$29</definedName>
    <definedName name="cattf_1_WZV_39">Categorienormen!$H$30</definedName>
    <definedName name="cattf_1_XBB_1">Categorienormen!$H$50</definedName>
    <definedName name="cattf_3_VBHB_1">Categorienormen!$H$53</definedName>
    <definedName name="cattf_3_VBZB_1">Categorienormen!$H$54</definedName>
    <definedName name="cattf_3_VBZV_10">Categorienormen!$H$55</definedName>
    <definedName name="cattf_3_VFHB_1">Categorienormen!$H$59</definedName>
    <definedName name="cattf_3_VPHB_1">Categorienormen!$H$60</definedName>
    <definedName name="cattf_3_VPHV_10">Categorienormen!$H$61</definedName>
    <definedName name="cattf_3_VRHB_1">Categorienormen!$H$56</definedName>
    <definedName name="cattf_3_VSHB_1">Categorienormen!$H$57</definedName>
    <definedName name="cattf_3_VSHV_10">Categorienormen!$H$58</definedName>
    <definedName name="cattf_3_VVHB_1">Categorienormen!$H$62</definedName>
    <definedName name="cattf_3_VVHV_10">Categorienormen!$H$63</definedName>
    <definedName name="dagenperjaar1">Omreken!$B$9</definedName>
    <definedName name="dagenperweek1">Omreken!$B$10</definedName>
    <definedName name="dagsoorttabel1">Omreken!$A$13:$B$33</definedName>
    <definedName name="dagwerk14">'Regulier werk'!$H$38</definedName>
    <definedName name="dagwerk15">'Regulier werk'!$H$39</definedName>
    <definedName name="dagwerk16">'Regulier werk'!$H$40</definedName>
    <definedName name="dagwerk17">'Regulier werk'!$H$41</definedName>
    <definedName name="dagwerk18">'Regulier werk'!$H$42</definedName>
    <definedName name="dagwerk19">'Regulier werk'!$H$43</definedName>
    <definedName name="dagwerk20">'Regulier werk'!$H$6</definedName>
    <definedName name="dagwerk21">'Regulier werk'!$H$7</definedName>
    <definedName name="dagwerk22">'Regulier werk'!$H$8</definedName>
    <definedName name="dagwerk23">'Regulier werk'!$H$9</definedName>
    <definedName name="dagwerk24">'Regulier werk'!$H$10</definedName>
    <definedName name="dagwerk25">'Regulier werk'!$H$11</definedName>
    <definedName name="dagwerk26">'Regulier werk'!$H$12</definedName>
    <definedName name="dagwerk27">'Regulier werk'!$H$13</definedName>
    <definedName name="dagwerk28">'Regulier werk'!$H$14</definedName>
    <definedName name="dagwerk29">'Regulier werk'!$H$15</definedName>
    <definedName name="dagwerk30">'Regulier werk'!$H$16</definedName>
    <definedName name="dagwerk31">'Regulier werk'!$H$17</definedName>
    <definedName name="dagwerk32">'Regulier werk'!$H$18</definedName>
    <definedName name="dagwerk33">'Regulier werk'!$H$19</definedName>
    <definedName name="dagwerk34">'Regulier werk'!$H$20</definedName>
    <definedName name="dagwerk35">'Regulier werk'!$H$21</definedName>
    <definedName name="dagwerk36">'Regulier werk'!$H$22</definedName>
    <definedName name="dagwerk37">'Regulier werk'!$H$23</definedName>
    <definedName name="dagwerk38">'Regulier werk'!$H$24</definedName>
    <definedName name="dagwerk39">'Regulier werk'!$H$25</definedName>
    <definedName name="dagwerk40">'Regulier werk'!$H$26</definedName>
    <definedName name="dagwerk41">'Regulier werk'!$H$27</definedName>
    <definedName name="dagwerk42">'Regulier werk'!$H$28</definedName>
    <definedName name="dagwerk43">'Regulier werk'!$H$29</definedName>
    <definedName name="dagwerk44">'Regulier werk'!$H$30</definedName>
    <definedName name="dagwerk45">'Regulier werk'!$H$31</definedName>
    <definedName name="dagwerk46">'Regulier werk'!$H$32</definedName>
    <definedName name="dagwerk47">'Regulier werk'!$H$33</definedName>
    <definedName name="dagwerk48">'Regulier werk'!$H$34</definedName>
    <definedName name="dagwerk49">'Regulier werk'!$H$35</definedName>
    <definedName name="dagwerk50">'Regulier werk'!$H$36</definedName>
    <definedName name="dagwerk51">'Regulier werk'!$H$37</definedName>
    <definedName name="dagwerk53">'Regulier werk'!$H$50</definedName>
    <definedName name="dagwerk54">'Regulier werk'!$H$51</definedName>
    <definedName name="dagwerk55">'Regulier werk'!$H$52</definedName>
    <definedName name="dagwerk56">'Regulier werk'!$H$53</definedName>
    <definedName name="dagwerk57">'Regulier werk'!$H$54</definedName>
    <definedName name="dagwerk58">'Regulier werk'!$H$55</definedName>
    <definedName name="dagwerk59">'Regulier werk'!$H$56</definedName>
    <definedName name="dagwerk60">'Regulier werk'!$H$57</definedName>
    <definedName name="dagwerk61">'Regulier werk'!$H$58</definedName>
    <definedName name="dagwerk65">'Regulier werk'!$H$65</definedName>
    <definedName name="dagwerktabel1">Objectinformatie!$H$5:$H$42</definedName>
    <definedName name="dagwerktabel3">Objectinformatie!$H$45:$H$53</definedName>
    <definedName name="dagwerktabel4">Objectinformatie!$H$56:$H$56</definedName>
    <definedName name="gemuurtarief1">'Regulier werk'!$J$46</definedName>
    <definedName name="gemuurtarief3">'Regulier werk'!$J$61</definedName>
    <definedName name="gemuurtarief4">'Regulier werk'!$J$68</definedName>
    <definedName name="kengetaltabel1">Objectinformatie!$G$5:$G$42</definedName>
    <definedName name="kengetaltabel3">Objectinformatie!$G$45:$G$53</definedName>
    <definedName name="kengetaltabel4">Objectinformatie!$G$56:$G$56</definedName>
    <definedName name="object1_opptabel1">Objectinformatie!$J$5:$J$42</definedName>
    <definedName name="object1_opptabel3">Objectinformatie!$J$45:$J$53</definedName>
    <definedName name="object1_opptabel4">Objectinformatie!$J$56:$J$56</definedName>
    <definedName name="objectprijs1_1">Objecten!$Q$6</definedName>
    <definedName name="objectprijs1_3">Objecten!$Q$11</definedName>
    <definedName name="objectprijs1_4">Objecten!$Q$16</definedName>
    <definedName name="objecturen1_1">Objecten!$P$6</definedName>
    <definedName name="objecturen1_3">Objecten!$P$11</definedName>
    <definedName name="objecturen1_4">Objecten!$P$16</definedName>
    <definedName name="objecturenhf1_1">Objecten!$O$6</definedName>
    <definedName name="objecturenhf1_3">Objecten!$O$11</definedName>
    <definedName name="objecturenhf1_4">Objecten!$O$16</definedName>
    <definedName name="prijsdag1">'Regulier werk'!$L$44</definedName>
    <definedName name="prijsdag3">'Regulier werk'!$L$59</definedName>
    <definedName name="prijsdag4">'Regulier werk'!$L$66</definedName>
    <definedName name="prijsjaar">'Regulier werk'!$N$71</definedName>
    <definedName name="prijsjaar1">'Regulier werk'!$N$44</definedName>
    <definedName name="prijsjaar3">'Regulier werk'!$N$59</definedName>
    <definedName name="prijsjaar4">'Regulier werk'!$N$66</definedName>
    <definedName name="prijsjaarafroep">Afroep!$K$19</definedName>
    <definedName name="prijsjaarafroep1">Afroep!$K$12</definedName>
    <definedName name="prijsjaarafroep4">Afroep!$K$17</definedName>
    <definedName name="prijsjaarglas">Glas!$K$17</definedName>
    <definedName name="prijsjaarglas1">Glas!$K$15</definedName>
    <definedName name="prijsjaarnietmeewerkend">'Niet-meewerkende objectleiding'!$J$44</definedName>
    <definedName name="prijsjaarregie">Regiewerk!$K$13</definedName>
    <definedName name="prijsjaarregie1">Regiewerk!$K$11</definedName>
    <definedName name="prijsjaartotaal">Objecten!$Q$20</definedName>
    <definedName name="prijsjaartotaal1">Objecten!$Q$7</definedName>
    <definedName name="prijsjaartotaal3">Objecten!$Q$12</definedName>
    <definedName name="prijsjaartotaal4">Objecten!$Q$17</definedName>
    <definedName name="prijsjaartotaaloverzicht">'Totaalblad Objecten'!$G$6</definedName>
    <definedName name="prijsmaandtotaal1">Objecten!$R$7</definedName>
    <definedName name="prijsmaandtotaal3">Objecten!$R$12</definedName>
    <definedName name="prijsmaandtotaal4">Objecten!$R$17</definedName>
    <definedName name="prodnorm14">'Regulier werk'!$G$38</definedName>
    <definedName name="prodnorm15">'Regulier werk'!$G$39</definedName>
    <definedName name="prodnorm16">'Regulier werk'!$G$40</definedName>
    <definedName name="prodnorm17">'Regulier werk'!$G$41</definedName>
    <definedName name="prodnorm18">'Regulier werk'!$G$42</definedName>
    <definedName name="prodnorm19">'Regulier werk'!$G$43</definedName>
    <definedName name="prodnorm20">'Regulier werk'!$G$6</definedName>
    <definedName name="prodnorm21">'Regulier werk'!$G$7</definedName>
    <definedName name="prodnorm22">'Regulier werk'!$G$8</definedName>
    <definedName name="prodnorm23">'Regulier werk'!$G$9</definedName>
    <definedName name="prodnorm24">'Regulier werk'!$G$10</definedName>
    <definedName name="prodnorm25">'Regulier werk'!$G$11</definedName>
    <definedName name="prodnorm26">'Regulier werk'!$G$12</definedName>
    <definedName name="prodnorm27">'Regulier werk'!$G$13</definedName>
    <definedName name="prodnorm28">'Regulier werk'!$G$14</definedName>
    <definedName name="prodnorm29">'Regulier werk'!$G$15</definedName>
    <definedName name="prodnorm30">'Regulier werk'!$G$16</definedName>
    <definedName name="prodnorm31">'Regulier werk'!$G$17</definedName>
    <definedName name="prodnorm32">'Regulier werk'!$G$18</definedName>
    <definedName name="prodnorm33">'Regulier werk'!$G$19</definedName>
    <definedName name="prodnorm34">'Regulier werk'!$G$20</definedName>
    <definedName name="prodnorm35">'Regulier werk'!$G$21</definedName>
    <definedName name="prodnorm36">'Regulier werk'!$G$22</definedName>
    <definedName name="prodnorm37">'Regulier werk'!$G$23</definedName>
    <definedName name="prodnorm38">'Regulier werk'!$G$24</definedName>
    <definedName name="prodnorm39">'Regulier werk'!$G$25</definedName>
    <definedName name="prodnorm40">'Regulier werk'!$G$26</definedName>
    <definedName name="prodnorm41">'Regulier werk'!$G$27</definedName>
    <definedName name="prodnorm42">'Regulier werk'!$G$28</definedName>
    <definedName name="prodnorm43">'Regulier werk'!$G$29</definedName>
    <definedName name="prodnorm44">'Regulier werk'!$G$30</definedName>
    <definedName name="prodnorm45">'Regulier werk'!$G$31</definedName>
    <definedName name="prodnorm46">'Regulier werk'!$G$32</definedName>
    <definedName name="prodnorm47">'Regulier werk'!$G$33</definedName>
    <definedName name="prodnorm48">'Regulier werk'!$G$34</definedName>
    <definedName name="prodnorm49">'Regulier werk'!$G$35</definedName>
    <definedName name="prodnorm50">'Regulier werk'!$G$36</definedName>
    <definedName name="prodnorm51">'Regulier werk'!$G$37</definedName>
    <definedName name="prodnorm53">'Regulier werk'!$G$50</definedName>
    <definedName name="prodnorm54">'Regulier werk'!$G$51</definedName>
    <definedName name="prodnorm55">'Regulier werk'!$G$52</definedName>
    <definedName name="prodnorm56">'Regulier werk'!$G$53</definedName>
    <definedName name="prodnorm57">'Regulier werk'!$G$54</definedName>
    <definedName name="prodnorm58">'Regulier werk'!$G$55</definedName>
    <definedName name="prodnorm59">'Regulier werk'!$G$56</definedName>
    <definedName name="prodnorm60">'Regulier werk'!$G$57</definedName>
    <definedName name="prodnorm61">'Regulier werk'!$G$58</definedName>
    <definedName name="prodnorm65">'Regulier werk'!$G$65</definedName>
    <definedName name="taakfreqtabel1">Objectinformatie!$E$5:$E$42</definedName>
    <definedName name="taakfreqtabel3">Objectinformatie!$E$45:$E$53</definedName>
    <definedName name="taakfreqtabel4">Objectinformatie!$E$56:$E$56</definedName>
    <definedName name="tabeltype">Omreken!$B$5:$B$5</definedName>
    <definedName name="tarieftabel1">Objectinformatie!$I$5:$I$42</definedName>
    <definedName name="tarieftabel3">Objectinformatie!$I$45:$I$53</definedName>
    <definedName name="tarieftabel4">Objectinformatie!$I$56:$I$56</definedName>
    <definedName name="tzpjt1">'Niet-meewerkende objectleiding'!$J$15</definedName>
    <definedName name="tzpjt1_1">'Niet-meewerkende objectleiding'!$J$13</definedName>
    <definedName name="tzpjt1_3">'Niet-meewerkende objectleiding'!$J$26</definedName>
    <definedName name="tzpjt1_4">'Niet-meewerkende objectleiding'!$J$39</definedName>
    <definedName name="tzpjt3">'Niet-meewerkende objectleiding'!$J$28</definedName>
    <definedName name="tzpjt4">'Niet-meewerkende objectleiding'!$J$41</definedName>
    <definedName name="tzpmt1">'Niet-meewerkende objectleiding'!$K$15</definedName>
    <definedName name="tzpmt1_1">'Niet-meewerkende objectleiding'!$K$13</definedName>
    <definedName name="tzpmt1_3">'Niet-meewerkende objectleiding'!$K$26</definedName>
    <definedName name="tzpmt1_4">'Niet-meewerkende objectleiding'!$K$39</definedName>
    <definedName name="tzpmt3">'Niet-meewerkende objectleiding'!$K$28</definedName>
    <definedName name="tzpmt4">'Niet-meewerkende objectleiding'!$K$41</definedName>
    <definedName name="tzujt1">'Niet-meewerkende objectleiding'!$H$15</definedName>
    <definedName name="tzujt1_1">'Niet-meewerkende objectleiding'!$H$13</definedName>
    <definedName name="tzujt1_3">'Niet-meewerkende objectleiding'!$H$26</definedName>
    <definedName name="tzujt1_4">'Niet-meewerkende objectleiding'!$H$39</definedName>
    <definedName name="tzujt3">'Niet-meewerkende objectleiding'!$H$28</definedName>
    <definedName name="tzujt4">'Niet-meewerkende objectleiding'!$H$41</definedName>
    <definedName name="urendag1">'Regulier werk'!$K$44</definedName>
    <definedName name="urendag3">'Regulier werk'!$K$59</definedName>
    <definedName name="urendag4">'Regulier werk'!$K$66</definedName>
    <definedName name="urenjaar">'Regulier werk'!$M$71</definedName>
    <definedName name="urenjaar1">'Regulier werk'!$M$44</definedName>
    <definedName name="urenjaar3">'Regulier werk'!$M$59</definedName>
    <definedName name="urenjaar4">'Regulier werk'!$M$66</definedName>
    <definedName name="urenjaarafroep">Afroep!$M$19</definedName>
    <definedName name="urenjaarafroep1">Afroep!$M$12</definedName>
    <definedName name="urenjaarafroep4">Afroep!$M$17</definedName>
    <definedName name="urenjaarglas">Glas!$M$17</definedName>
    <definedName name="urenjaarglas1">Glas!$M$15</definedName>
    <definedName name="urenjaarnietmeewerkend">'Niet-meewerkende objectleiding'!$H$44</definedName>
    <definedName name="urenjaarregie">Regiewerk!$M$13</definedName>
    <definedName name="urenjaarregie1">Regiewerk!$M$11</definedName>
    <definedName name="urenjaartotaal">Objecten!$P$20</definedName>
    <definedName name="urenjaartotaal1">Objecten!$P$7</definedName>
    <definedName name="urenjaartotaal3">Objecten!$P$12</definedName>
    <definedName name="urenjaartotaal4">Objecten!$P$17</definedName>
    <definedName name="urenjaartotaalhf">Objecten!$O$20</definedName>
    <definedName name="urenjaartotaalhf1">Objecten!$O$7</definedName>
    <definedName name="urenjaartotaalhf3">Objecten!$O$12</definedName>
    <definedName name="urenjaartotaalhf4">Objecten!$O$17</definedName>
    <definedName name="urenjaartotaaloverzicht">'Totaalblad Objecten'!$F$6</definedName>
    <definedName name="urenjaartotaaloverzichthf">'Totaalblad Objecten'!$E$6</definedName>
    <definedName name="uurfactortabel1">Objectinformatie!$F$5:$F$42</definedName>
    <definedName name="uurfactortabel3">Objectinformatie!$F$45:$F$53</definedName>
    <definedName name="uurfactortabel4">Objectinformatie!$F$56:$F$56</definedName>
    <definedName name="uurtarief14">'Regulier werk'!$J$38</definedName>
    <definedName name="uurtarief15">'Regulier werk'!$J$39</definedName>
    <definedName name="uurtarief16">'Regulier werk'!$J$40</definedName>
    <definedName name="uurtarief17">'Regulier werk'!$J$41</definedName>
    <definedName name="uurtarief18">'Regulier werk'!$J$42</definedName>
    <definedName name="uurtarief19">'Regulier werk'!$J$43</definedName>
    <definedName name="uurtarief20">'Regulier werk'!$J$6</definedName>
    <definedName name="uurtarief21">'Regulier werk'!$J$7</definedName>
    <definedName name="uurtarief22">'Regulier werk'!$J$8</definedName>
    <definedName name="uurtarief23">'Regulier werk'!$J$9</definedName>
    <definedName name="uurtarief24">'Regulier werk'!$J$10</definedName>
    <definedName name="uurtarief25">'Regulier werk'!$J$11</definedName>
    <definedName name="uurtarief26">'Regulier werk'!$J$12</definedName>
    <definedName name="uurtarief27">'Regulier werk'!$J$13</definedName>
    <definedName name="uurtarief28">'Regulier werk'!$J$14</definedName>
    <definedName name="uurtarief29">'Regulier werk'!$J$15</definedName>
    <definedName name="uurtarief30">'Regulier werk'!$J$16</definedName>
    <definedName name="uurtarief31">'Regulier werk'!$J$17</definedName>
    <definedName name="uurtarief32">'Regulier werk'!$J$18</definedName>
    <definedName name="uurtarief33">'Regulier werk'!$J$19</definedName>
    <definedName name="uurtarief34">'Regulier werk'!$J$20</definedName>
    <definedName name="uurtarief35">'Regulier werk'!$J$21</definedName>
    <definedName name="uurtarief36">'Regulier werk'!$J$22</definedName>
    <definedName name="uurtarief37">'Regulier werk'!$J$23</definedName>
    <definedName name="uurtarief38">'Regulier werk'!$J$24</definedName>
    <definedName name="uurtarief39">'Regulier werk'!$J$25</definedName>
    <definedName name="uurtarief40">'Regulier werk'!$J$26</definedName>
    <definedName name="uurtarief41">'Regulier werk'!$J$27</definedName>
    <definedName name="uurtarief42">'Regulier werk'!$J$28</definedName>
    <definedName name="uurtarief43">'Regulier werk'!$J$29</definedName>
    <definedName name="uurtarief44">'Regulier werk'!$J$30</definedName>
    <definedName name="uurtarief45">'Regulier werk'!$J$31</definedName>
    <definedName name="uurtarief46">'Regulier werk'!$J$32</definedName>
    <definedName name="uurtarief47">'Regulier werk'!$J$33</definedName>
    <definedName name="uurtarief48">'Regulier werk'!$J$34</definedName>
    <definedName name="uurtarief49">'Regulier werk'!$J$35</definedName>
    <definedName name="uurtarief50">'Regulier werk'!$J$36</definedName>
    <definedName name="uurtarief51">'Regulier werk'!$J$37</definedName>
    <definedName name="uurtarief53">'Regulier werk'!$J$50</definedName>
    <definedName name="uurtarief54">'Regulier werk'!$J$51</definedName>
    <definedName name="uurtarief55">'Regulier werk'!$J$52</definedName>
    <definedName name="uurtarief56">'Regulier werk'!$J$53</definedName>
    <definedName name="uurtarief57">'Regulier werk'!$J$54</definedName>
    <definedName name="uurtarief58">'Regulier werk'!$J$55</definedName>
    <definedName name="uurtarief59">'Regulier werk'!$J$56</definedName>
    <definedName name="uurtarief60">'Regulier werk'!$J$57</definedName>
    <definedName name="uurtarief61">'Regulier werk'!$J$58</definedName>
    <definedName name="uurtarief65">'Regulier werk'!$J$65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9" i="13" l="1"/>
  <c r="E17" i="13"/>
  <c r="A1" i="13" l="1"/>
  <c r="J14" i="12"/>
  <c r="K14" i="12" s="1"/>
  <c r="H14" i="12"/>
  <c r="J13" i="12"/>
  <c r="K13" i="12" s="1"/>
  <c r="H13" i="12"/>
  <c r="J12" i="12"/>
  <c r="K12" i="12" s="1"/>
  <c r="H12" i="12"/>
  <c r="J11" i="12"/>
  <c r="K11" i="12" s="1"/>
  <c r="H11" i="12"/>
  <c r="J10" i="12"/>
  <c r="K10" i="12" s="1"/>
  <c r="H10" i="12"/>
  <c r="J9" i="12"/>
  <c r="K9" i="12" s="1"/>
  <c r="H9" i="12"/>
  <c r="J8" i="12"/>
  <c r="K8" i="12" s="1"/>
  <c r="H8" i="12"/>
  <c r="J7" i="12"/>
  <c r="K7" i="12" s="1"/>
  <c r="H7" i="12"/>
  <c r="J6" i="12"/>
  <c r="K6" i="12" s="1"/>
  <c r="K15" i="12" s="1"/>
  <c r="H6" i="12"/>
  <c r="A1" i="12"/>
  <c r="J14" i="11"/>
  <c r="J13" i="11"/>
  <c r="J12" i="11"/>
  <c r="J11" i="11"/>
  <c r="J10" i="11"/>
  <c r="J9" i="11"/>
  <c r="J8" i="11"/>
  <c r="J7" i="11"/>
  <c r="J6" i="11"/>
  <c r="A1" i="11"/>
  <c r="J10" i="10"/>
  <c r="J9" i="10"/>
  <c r="J8" i="10"/>
  <c r="J7" i="10"/>
  <c r="J6" i="10"/>
  <c r="A1" i="10"/>
  <c r="A1" i="9"/>
  <c r="J16" i="8"/>
  <c r="J15" i="8"/>
  <c r="J11" i="8"/>
  <c r="J10" i="8"/>
  <c r="J9" i="8"/>
  <c r="J8" i="8"/>
  <c r="J7" i="8"/>
  <c r="J6" i="8"/>
  <c r="A1" i="8"/>
  <c r="A1" i="7"/>
  <c r="J38" i="6"/>
  <c r="K38" i="6" s="1"/>
  <c r="H38" i="6"/>
  <c r="C38" i="6"/>
  <c r="I38" i="6" s="1"/>
  <c r="J37" i="6"/>
  <c r="K37" i="6" s="1"/>
  <c r="H37" i="6"/>
  <c r="C37" i="6"/>
  <c r="I37" i="6" s="1"/>
  <c r="J36" i="6"/>
  <c r="K36" i="6" s="1"/>
  <c r="H36" i="6"/>
  <c r="C36" i="6"/>
  <c r="I36" i="6" s="1"/>
  <c r="J35" i="6"/>
  <c r="K35" i="6" s="1"/>
  <c r="H35" i="6"/>
  <c r="C35" i="6"/>
  <c r="I35" i="6" s="1"/>
  <c r="J34" i="6"/>
  <c r="H34" i="6"/>
  <c r="H39" i="6" s="1"/>
  <c r="H41" i="6" s="1"/>
  <c r="J25" i="6"/>
  <c r="K25" i="6" s="1"/>
  <c r="H25" i="6"/>
  <c r="C25" i="6"/>
  <c r="I25" i="6" s="1"/>
  <c r="J24" i="6"/>
  <c r="K24" i="6" s="1"/>
  <c r="H24" i="6"/>
  <c r="C24" i="6"/>
  <c r="I24" i="6" s="1"/>
  <c r="J23" i="6"/>
  <c r="K23" i="6" s="1"/>
  <c r="H23" i="6"/>
  <c r="C23" i="6"/>
  <c r="I23" i="6" s="1"/>
  <c r="J22" i="6"/>
  <c r="K22" i="6" s="1"/>
  <c r="H22" i="6"/>
  <c r="C22" i="6"/>
  <c r="I22" i="6" s="1"/>
  <c r="J21" i="6"/>
  <c r="H21" i="6"/>
  <c r="H26" i="6" s="1"/>
  <c r="H28" i="6" s="1"/>
  <c r="J12" i="6"/>
  <c r="K12" i="6" s="1"/>
  <c r="H12" i="6"/>
  <c r="C12" i="6"/>
  <c r="I12" i="6" s="1"/>
  <c r="J11" i="6"/>
  <c r="K11" i="6" s="1"/>
  <c r="H11" i="6"/>
  <c r="C11" i="6"/>
  <c r="I11" i="6" s="1"/>
  <c r="J10" i="6"/>
  <c r="K10" i="6" s="1"/>
  <c r="H10" i="6"/>
  <c r="C10" i="6"/>
  <c r="I10" i="6" s="1"/>
  <c r="J9" i="6"/>
  <c r="K9" i="6" s="1"/>
  <c r="H9" i="6"/>
  <c r="C9" i="6"/>
  <c r="I9" i="6" s="1"/>
  <c r="J8" i="6"/>
  <c r="H8" i="6"/>
  <c r="H13" i="6" s="1"/>
  <c r="A1" i="6"/>
  <c r="A1" i="5"/>
  <c r="I56" i="4"/>
  <c r="H56" i="4"/>
  <c r="I42" i="4"/>
  <c r="H42" i="4"/>
  <c r="G42" i="4"/>
  <c r="I41" i="4"/>
  <c r="H41" i="4"/>
  <c r="I40" i="4"/>
  <c r="H40" i="4"/>
  <c r="G40" i="4"/>
  <c r="I39" i="4"/>
  <c r="H39" i="4"/>
  <c r="G39" i="4"/>
  <c r="I38" i="4"/>
  <c r="H38" i="4"/>
  <c r="G38" i="4"/>
  <c r="I37" i="4"/>
  <c r="H37" i="4"/>
  <c r="G37" i="4"/>
  <c r="I36" i="4"/>
  <c r="H36" i="4"/>
  <c r="G36" i="4"/>
  <c r="I35" i="4"/>
  <c r="H35" i="4"/>
  <c r="G35" i="4"/>
  <c r="I34" i="4"/>
  <c r="H34" i="4"/>
  <c r="G34" i="4"/>
  <c r="I32" i="4"/>
  <c r="H32" i="4"/>
  <c r="G32" i="4"/>
  <c r="I31" i="4"/>
  <c r="H31" i="4"/>
  <c r="G31" i="4"/>
  <c r="J58" i="3"/>
  <c r="H58" i="3"/>
  <c r="H53" i="4" s="1"/>
  <c r="G58" i="3"/>
  <c r="J57" i="3"/>
  <c r="H57" i="3"/>
  <c r="H52" i="4" s="1"/>
  <c r="G57" i="3"/>
  <c r="J56" i="3"/>
  <c r="H56" i="3"/>
  <c r="H51" i="4" s="1"/>
  <c r="G56" i="3"/>
  <c r="J55" i="3"/>
  <c r="H55" i="3"/>
  <c r="H50" i="4" s="1"/>
  <c r="G55" i="3"/>
  <c r="J54" i="3"/>
  <c r="H54" i="3"/>
  <c r="H49" i="4" s="1"/>
  <c r="G54" i="3"/>
  <c r="J53" i="3"/>
  <c r="H53" i="3"/>
  <c r="H48" i="4" s="1"/>
  <c r="G53" i="3"/>
  <c r="J52" i="3"/>
  <c r="H52" i="3"/>
  <c r="H47" i="4" s="1"/>
  <c r="G52" i="3"/>
  <c r="J51" i="3"/>
  <c r="H51" i="3"/>
  <c r="H46" i="4" s="1"/>
  <c r="G51" i="3"/>
  <c r="J50" i="3"/>
  <c r="H50" i="3"/>
  <c r="H45" i="4" s="1"/>
  <c r="G50" i="3"/>
  <c r="K41" i="3"/>
  <c r="K40" i="3"/>
  <c r="K39" i="3"/>
  <c r="K38" i="3"/>
  <c r="K37" i="3"/>
  <c r="K36" i="3"/>
  <c r="K35" i="3"/>
  <c r="J34" i="3"/>
  <c r="H34" i="3"/>
  <c r="H33" i="4" s="1"/>
  <c r="G34" i="3"/>
  <c r="K33" i="3"/>
  <c r="K32" i="3"/>
  <c r="J31" i="3"/>
  <c r="H31" i="3"/>
  <c r="H30" i="4" s="1"/>
  <c r="G31" i="3"/>
  <c r="J30" i="3"/>
  <c r="H30" i="3"/>
  <c r="H29" i="4" s="1"/>
  <c r="G30" i="3"/>
  <c r="J29" i="3"/>
  <c r="H29" i="3"/>
  <c r="H28" i="4" s="1"/>
  <c r="G29" i="3"/>
  <c r="J28" i="3"/>
  <c r="H28" i="3"/>
  <c r="H27" i="4" s="1"/>
  <c r="G28" i="3"/>
  <c r="J27" i="3"/>
  <c r="H27" i="3"/>
  <c r="H26" i="4" s="1"/>
  <c r="G27" i="3"/>
  <c r="J26" i="3"/>
  <c r="H26" i="3"/>
  <c r="H25" i="4" s="1"/>
  <c r="G26" i="3"/>
  <c r="J25" i="3"/>
  <c r="H25" i="3"/>
  <c r="H24" i="4" s="1"/>
  <c r="G25" i="3"/>
  <c r="J24" i="3"/>
  <c r="H24" i="3"/>
  <c r="H23" i="4" s="1"/>
  <c r="G24" i="3"/>
  <c r="J23" i="3"/>
  <c r="H23" i="3"/>
  <c r="H22" i="4" s="1"/>
  <c r="G23" i="3"/>
  <c r="J22" i="3"/>
  <c r="H22" i="3"/>
  <c r="H21" i="4" s="1"/>
  <c r="G22" i="3"/>
  <c r="J21" i="3"/>
  <c r="H21" i="3"/>
  <c r="H20" i="4" s="1"/>
  <c r="G21" i="3"/>
  <c r="J20" i="3"/>
  <c r="H20" i="3"/>
  <c r="H19" i="4" s="1"/>
  <c r="G20" i="3"/>
  <c r="J19" i="3"/>
  <c r="H19" i="3"/>
  <c r="H18" i="4" s="1"/>
  <c r="G19" i="3"/>
  <c r="J18" i="3"/>
  <c r="H18" i="3"/>
  <c r="H17" i="4" s="1"/>
  <c r="G18" i="3"/>
  <c r="J17" i="3"/>
  <c r="H17" i="3"/>
  <c r="H16" i="4" s="1"/>
  <c r="G17" i="3"/>
  <c r="J16" i="3"/>
  <c r="H16" i="3"/>
  <c r="H15" i="4" s="1"/>
  <c r="G16" i="3"/>
  <c r="J15" i="3"/>
  <c r="H15" i="3"/>
  <c r="H14" i="4" s="1"/>
  <c r="G15" i="3"/>
  <c r="J14" i="3"/>
  <c r="H14" i="3"/>
  <c r="H13" i="4" s="1"/>
  <c r="G14" i="3"/>
  <c r="J13" i="3"/>
  <c r="H13" i="3"/>
  <c r="H12" i="4" s="1"/>
  <c r="G13" i="3"/>
  <c r="J12" i="3"/>
  <c r="H12" i="3"/>
  <c r="H11" i="4" s="1"/>
  <c r="G12" i="3"/>
  <c r="J11" i="3"/>
  <c r="H11" i="3"/>
  <c r="H10" i="4" s="1"/>
  <c r="G11" i="3"/>
  <c r="J10" i="3"/>
  <c r="H10" i="3"/>
  <c r="H9" i="4" s="1"/>
  <c r="G10" i="3"/>
  <c r="J9" i="3"/>
  <c r="H9" i="3"/>
  <c r="H8" i="4" s="1"/>
  <c r="G9" i="3"/>
  <c r="J8" i="3"/>
  <c r="H8" i="3"/>
  <c r="H7" i="4" s="1"/>
  <c r="G8" i="3"/>
  <c r="J7" i="3"/>
  <c r="H7" i="3"/>
  <c r="H6" i="4" s="1"/>
  <c r="G7" i="3"/>
  <c r="J6" i="3"/>
  <c r="H6" i="3"/>
  <c r="H5" i="4" s="1"/>
  <c r="G6" i="3"/>
  <c r="A1" i="3"/>
  <c r="A1" i="2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C8" i="6" l="1"/>
  <c r="I8" i="6" s="1"/>
  <c r="E37" i="4"/>
  <c r="E31" i="4"/>
  <c r="E26" i="4"/>
  <c r="E24" i="4"/>
  <c r="E22" i="4"/>
  <c r="E21" i="4"/>
  <c r="E20" i="4"/>
  <c r="E19" i="4"/>
  <c r="E18" i="4"/>
  <c r="E16" i="4"/>
  <c r="E13" i="4"/>
  <c r="E12" i="4"/>
  <c r="E11" i="4"/>
  <c r="E10" i="4"/>
  <c r="E7" i="4"/>
  <c r="E6" i="4"/>
  <c r="E5" i="4"/>
  <c r="F38" i="3"/>
  <c r="F32" i="3"/>
  <c r="F27" i="3"/>
  <c r="F25" i="3"/>
  <c r="F23" i="3"/>
  <c r="F22" i="3"/>
  <c r="F21" i="3"/>
  <c r="F20" i="3"/>
  <c r="F19" i="3"/>
  <c r="F17" i="3"/>
  <c r="F14" i="3"/>
  <c r="F13" i="3"/>
  <c r="F12" i="3"/>
  <c r="F11" i="3"/>
  <c r="F8" i="3"/>
  <c r="F7" i="3"/>
  <c r="F6" i="3"/>
  <c r="E15" i="4"/>
  <c r="E14" i="4"/>
  <c r="F16" i="3"/>
  <c r="F15" i="3"/>
  <c r="E30" i="4"/>
  <c r="E27" i="4"/>
  <c r="F31" i="3"/>
  <c r="F28" i="3"/>
  <c r="C21" i="6"/>
  <c r="I21" i="6" s="1"/>
  <c r="E53" i="4"/>
  <c r="E51" i="4"/>
  <c r="E49" i="4"/>
  <c r="E47" i="4"/>
  <c r="F58" i="3"/>
  <c r="F56" i="3"/>
  <c r="F54" i="3"/>
  <c r="F52" i="3"/>
  <c r="C34" i="6"/>
  <c r="I34" i="6" s="1"/>
  <c r="E56" i="4"/>
  <c r="F65" i="3"/>
  <c r="K65" i="3" s="1"/>
  <c r="E42" i="4"/>
  <c r="E39" i="4"/>
  <c r="E29" i="4"/>
  <c r="E28" i="4"/>
  <c r="E25" i="4"/>
  <c r="E23" i="4"/>
  <c r="E17" i="4"/>
  <c r="E9" i="4"/>
  <c r="E8" i="4"/>
  <c r="F43" i="3"/>
  <c r="K43" i="3" s="1"/>
  <c r="F40" i="3"/>
  <c r="F30" i="3"/>
  <c r="F29" i="3"/>
  <c r="F26" i="3"/>
  <c r="F24" i="3"/>
  <c r="F18" i="3"/>
  <c r="F10" i="3"/>
  <c r="F9" i="3"/>
  <c r="E50" i="4"/>
  <c r="E46" i="4"/>
  <c r="E45" i="4"/>
  <c r="E41" i="4"/>
  <c r="E38" i="4"/>
  <c r="F55" i="3"/>
  <c r="F51" i="3"/>
  <c r="F50" i="3"/>
  <c r="F42" i="3"/>
  <c r="K42" i="3" s="1"/>
  <c r="F39" i="3"/>
  <c r="C10" i="12"/>
  <c r="L10" i="12" s="1"/>
  <c r="M10" i="12" s="1"/>
  <c r="C8" i="12"/>
  <c r="L8" i="12" s="1"/>
  <c r="M8" i="12" s="1"/>
  <c r="C6" i="12"/>
  <c r="L6" i="12" s="1"/>
  <c r="C10" i="11"/>
  <c r="K10" i="11" s="1"/>
  <c r="C8" i="11"/>
  <c r="K8" i="11" s="1"/>
  <c r="C6" i="11"/>
  <c r="K6" i="11" s="1"/>
  <c r="E35" i="4"/>
  <c r="E32" i="4"/>
  <c r="F36" i="3"/>
  <c r="F33" i="3"/>
  <c r="C10" i="10"/>
  <c r="K10" i="10" s="1"/>
  <c r="C9" i="10"/>
  <c r="K9" i="10" s="1"/>
  <c r="C8" i="10"/>
  <c r="K8" i="10" s="1"/>
  <c r="C6" i="10"/>
  <c r="K6" i="10" s="1"/>
  <c r="E52" i="4"/>
  <c r="E48" i="4"/>
  <c r="F57" i="3"/>
  <c r="F53" i="3"/>
  <c r="C7" i="10"/>
  <c r="K7" i="10" s="1"/>
  <c r="C11" i="8"/>
  <c r="K11" i="8" s="1"/>
  <c r="C10" i="8"/>
  <c r="K10" i="8" s="1"/>
  <c r="C9" i="8"/>
  <c r="K9" i="8" s="1"/>
  <c r="C8" i="8"/>
  <c r="K8" i="8" s="1"/>
  <c r="C7" i="8"/>
  <c r="K7" i="8" s="1"/>
  <c r="C14" i="12"/>
  <c r="L14" i="12" s="1"/>
  <c r="M14" i="12" s="1"/>
  <c r="C13" i="12"/>
  <c r="L13" i="12" s="1"/>
  <c r="M13" i="12" s="1"/>
  <c r="C12" i="12"/>
  <c r="L12" i="12" s="1"/>
  <c r="M12" i="12" s="1"/>
  <c r="C11" i="12"/>
  <c r="L11" i="12" s="1"/>
  <c r="M11" i="12" s="1"/>
  <c r="C9" i="12"/>
  <c r="L9" i="12" s="1"/>
  <c r="M9" i="12" s="1"/>
  <c r="C7" i="12"/>
  <c r="L7" i="12" s="1"/>
  <c r="M7" i="12" s="1"/>
  <c r="C14" i="11"/>
  <c r="K14" i="11" s="1"/>
  <c r="C13" i="11"/>
  <c r="K13" i="11" s="1"/>
  <c r="C12" i="11"/>
  <c r="K12" i="11" s="1"/>
  <c r="C11" i="11"/>
  <c r="K11" i="11" s="1"/>
  <c r="C9" i="11"/>
  <c r="K9" i="11" s="1"/>
  <c r="C7" i="11"/>
  <c r="K7" i="11" s="1"/>
  <c r="C6" i="8"/>
  <c r="K6" i="8" s="1"/>
  <c r="E40" i="4"/>
  <c r="E36" i="4"/>
  <c r="F41" i="3"/>
  <c r="F37" i="3"/>
  <c r="C16" i="8"/>
  <c r="K16" i="8" s="1"/>
  <c r="C15" i="8"/>
  <c r="K15" i="8" s="1"/>
  <c r="E34" i="4"/>
  <c r="E33" i="4"/>
  <c r="F35" i="3"/>
  <c r="F34" i="3"/>
  <c r="G5" i="4"/>
  <c r="K6" i="3"/>
  <c r="I5" i="4"/>
  <c r="L6" i="3"/>
  <c r="G6" i="4"/>
  <c r="K7" i="3"/>
  <c r="M7" i="3" s="1"/>
  <c r="N7" i="3" s="1"/>
  <c r="I6" i="4"/>
  <c r="L7" i="3"/>
  <c r="G7" i="4"/>
  <c r="K8" i="3"/>
  <c r="M8" i="3" s="1"/>
  <c r="N8" i="3" s="1"/>
  <c r="I7" i="4"/>
  <c r="L8" i="3"/>
  <c r="G8" i="4"/>
  <c r="K9" i="3"/>
  <c r="M9" i="3" s="1"/>
  <c r="N9" i="3" s="1"/>
  <c r="I8" i="4"/>
  <c r="L9" i="3"/>
  <c r="G9" i="4"/>
  <c r="K10" i="3"/>
  <c r="M10" i="3" s="1"/>
  <c r="N10" i="3" s="1"/>
  <c r="I9" i="4"/>
  <c r="L10" i="3"/>
  <c r="G10" i="4"/>
  <c r="K11" i="3"/>
  <c r="M11" i="3" s="1"/>
  <c r="N11" i="3" s="1"/>
  <c r="I10" i="4"/>
  <c r="L11" i="3"/>
  <c r="G11" i="4"/>
  <c r="K12" i="3"/>
  <c r="M12" i="3" s="1"/>
  <c r="N12" i="3" s="1"/>
  <c r="I11" i="4"/>
  <c r="L12" i="3"/>
  <c r="G12" i="4"/>
  <c r="K13" i="3"/>
  <c r="M13" i="3" s="1"/>
  <c r="N13" i="3" s="1"/>
  <c r="I12" i="4"/>
  <c r="L13" i="3"/>
  <c r="G13" i="4"/>
  <c r="K14" i="3"/>
  <c r="M14" i="3" s="1"/>
  <c r="N14" i="3" s="1"/>
  <c r="I13" i="4"/>
  <c r="L14" i="3"/>
  <c r="G14" i="4"/>
  <c r="K15" i="3"/>
  <c r="M15" i="3" s="1"/>
  <c r="N15" i="3" s="1"/>
  <c r="I14" i="4"/>
  <c r="L15" i="3"/>
  <c r="G15" i="4"/>
  <c r="K16" i="3"/>
  <c r="M16" i="3" s="1"/>
  <c r="N16" i="3" s="1"/>
  <c r="I15" i="4"/>
  <c r="L16" i="3"/>
  <c r="G16" i="4"/>
  <c r="K17" i="3"/>
  <c r="M17" i="3" s="1"/>
  <c r="N17" i="3" s="1"/>
  <c r="I16" i="4"/>
  <c r="L17" i="3"/>
  <c r="G17" i="4"/>
  <c r="K18" i="3"/>
  <c r="M18" i="3" s="1"/>
  <c r="N18" i="3" s="1"/>
  <c r="I17" i="4"/>
  <c r="L18" i="3"/>
  <c r="G18" i="4"/>
  <c r="K19" i="3"/>
  <c r="M19" i="3" s="1"/>
  <c r="N19" i="3" s="1"/>
  <c r="I18" i="4"/>
  <c r="L19" i="3"/>
  <c r="G19" i="4"/>
  <c r="K20" i="3"/>
  <c r="M20" i="3" s="1"/>
  <c r="N20" i="3" s="1"/>
  <c r="I19" i="4"/>
  <c r="L20" i="3"/>
  <c r="G20" i="4"/>
  <c r="K21" i="3"/>
  <c r="M21" i="3" s="1"/>
  <c r="N21" i="3" s="1"/>
  <c r="I20" i="4"/>
  <c r="L21" i="3"/>
  <c r="G21" i="4"/>
  <c r="K22" i="3"/>
  <c r="M22" i="3" s="1"/>
  <c r="N22" i="3" s="1"/>
  <c r="I21" i="4"/>
  <c r="L22" i="3"/>
  <c r="G22" i="4"/>
  <c r="K23" i="3"/>
  <c r="M23" i="3" s="1"/>
  <c r="N23" i="3" s="1"/>
  <c r="I22" i="4"/>
  <c r="L23" i="3"/>
  <c r="G23" i="4"/>
  <c r="K24" i="3"/>
  <c r="M24" i="3" s="1"/>
  <c r="N24" i="3" s="1"/>
  <c r="I23" i="4"/>
  <c r="L24" i="3"/>
  <c r="G24" i="4"/>
  <c r="K25" i="3"/>
  <c r="M25" i="3" s="1"/>
  <c r="N25" i="3" s="1"/>
  <c r="I24" i="4"/>
  <c r="L25" i="3"/>
  <c r="G25" i="4"/>
  <c r="K26" i="3"/>
  <c r="M26" i="3" s="1"/>
  <c r="N26" i="3" s="1"/>
  <c r="I25" i="4"/>
  <c r="L26" i="3"/>
  <c r="G26" i="4"/>
  <c r="K27" i="3"/>
  <c r="M27" i="3" s="1"/>
  <c r="N27" i="3" s="1"/>
  <c r="I26" i="4"/>
  <c r="L27" i="3"/>
  <c r="G27" i="4"/>
  <c r="K28" i="3"/>
  <c r="M28" i="3" s="1"/>
  <c r="N28" i="3" s="1"/>
  <c r="I27" i="4"/>
  <c r="L28" i="3"/>
  <c r="G28" i="4"/>
  <c r="K29" i="3"/>
  <c r="M29" i="3" s="1"/>
  <c r="N29" i="3" s="1"/>
  <c r="I28" i="4"/>
  <c r="L29" i="3"/>
  <c r="G29" i="4"/>
  <c r="K30" i="3"/>
  <c r="M30" i="3" s="1"/>
  <c r="N30" i="3" s="1"/>
  <c r="I29" i="4"/>
  <c r="L30" i="3"/>
  <c r="G30" i="4"/>
  <c r="K31" i="3"/>
  <c r="M31" i="3" s="1"/>
  <c r="N31" i="3" s="1"/>
  <c r="I30" i="4"/>
  <c r="L31" i="3"/>
  <c r="M32" i="3"/>
  <c r="N32" i="3" s="1"/>
  <c r="L32" i="3"/>
  <c r="M33" i="3"/>
  <c r="N33" i="3" s="1"/>
  <c r="L33" i="3"/>
  <c r="G33" i="4"/>
  <c r="K34" i="3"/>
  <c r="M34" i="3" s="1"/>
  <c r="N34" i="3" s="1"/>
  <c r="I33" i="4"/>
  <c r="L34" i="3"/>
  <c r="M35" i="3"/>
  <c r="N35" i="3" s="1"/>
  <c r="L35" i="3"/>
  <c r="M36" i="3"/>
  <c r="N36" i="3" s="1"/>
  <c r="L36" i="3"/>
  <c r="M37" i="3"/>
  <c r="N37" i="3" s="1"/>
  <c r="L37" i="3"/>
  <c r="M38" i="3"/>
  <c r="N38" i="3" s="1"/>
  <c r="L38" i="3"/>
  <c r="M39" i="3"/>
  <c r="N39" i="3" s="1"/>
  <c r="L39" i="3"/>
  <c r="M40" i="3"/>
  <c r="N40" i="3" s="1"/>
  <c r="L40" i="3"/>
  <c r="M41" i="3"/>
  <c r="N41" i="3" s="1"/>
  <c r="L41" i="3"/>
  <c r="G45" i="4"/>
  <c r="K50" i="3"/>
  <c r="I45" i="4"/>
  <c r="L50" i="3"/>
  <c r="G46" i="4"/>
  <c r="K51" i="3"/>
  <c r="M51" i="3" s="1"/>
  <c r="N51" i="3" s="1"/>
  <c r="I46" i="4"/>
  <c r="L51" i="3"/>
  <c r="G47" i="4"/>
  <c r="K52" i="3"/>
  <c r="M52" i="3" s="1"/>
  <c r="N52" i="3" s="1"/>
  <c r="I47" i="4"/>
  <c r="L52" i="3"/>
  <c r="G48" i="4"/>
  <c r="K53" i="3"/>
  <c r="M53" i="3" s="1"/>
  <c r="N53" i="3" s="1"/>
  <c r="I48" i="4"/>
  <c r="L53" i="3"/>
  <c r="G49" i="4"/>
  <c r="K54" i="3"/>
  <c r="M54" i="3" s="1"/>
  <c r="N54" i="3" s="1"/>
  <c r="I49" i="4"/>
  <c r="L54" i="3"/>
  <c r="G50" i="4"/>
  <c r="K55" i="3"/>
  <c r="M55" i="3" s="1"/>
  <c r="N55" i="3" s="1"/>
  <c r="I50" i="4"/>
  <c r="L55" i="3"/>
  <c r="G51" i="4"/>
  <c r="K56" i="3"/>
  <c r="M56" i="3" s="1"/>
  <c r="N56" i="3" s="1"/>
  <c r="I51" i="4"/>
  <c r="L56" i="3"/>
  <c r="G52" i="4"/>
  <c r="K57" i="3"/>
  <c r="M57" i="3" s="1"/>
  <c r="N57" i="3" s="1"/>
  <c r="I52" i="4"/>
  <c r="L57" i="3"/>
  <c r="G53" i="4"/>
  <c r="K58" i="3"/>
  <c r="M58" i="3" s="1"/>
  <c r="N58" i="3" s="1"/>
  <c r="I53" i="4"/>
  <c r="L58" i="3"/>
  <c r="H16" i="5"/>
  <c r="J16" i="5" s="1"/>
  <c r="O16" i="5" s="1"/>
  <c r="O17" i="5" s="1"/>
  <c r="H4" i="7"/>
  <c r="H6" i="7" s="1"/>
  <c r="H15" i="6"/>
  <c r="H44" i="6" s="1"/>
  <c r="D5" i="13" s="1"/>
  <c r="D10" i="13" s="1"/>
  <c r="J13" i="6"/>
  <c r="K8" i="6"/>
  <c r="K13" i="6" s="1"/>
  <c r="K15" i="6" s="1"/>
  <c r="J26" i="6"/>
  <c r="J28" i="6" s="1"/>
  <c r="K21" i="6"/>
  <c r="K26" i="6" s="1"/>
  <c r="K28" i="6" s="1"/>
  <c r="J39" i="6"/>
  <c r="J41" i="6" s="1"/>
  <c r="K34" i="6"/>
  <c r="K39" i="6" s="1"/>
  <c r="K41" i="6" s="1"/>
  <c r="K44" i="6" l="1"/>
  <c r="K46" i="6" s="1"/>
  <c r="I4" i="7"/>
  <c r="I6" i="7" s="1"/>
  <c r="J15" i="6"/>
  <c r="J44" i="6" s="1"/>
  <c r="L59" i="3"/>
  <c r="K59" i="3"/>
  <c r="M50" i="3"/>
  <c r="K44" i="3"/>
  <c r="M6" i="3"/>
  <c r="K17" i="8"/>
  <c r="L17" i="8" s="1"/>
  <c r="M15" i="8"/>
  <c r="L15" i="8"/>
  <c r="M16" i="8"/>
  <c r="L16" i="8"/>
  <c r="K12" i="8"/>
  <c r="M6" i="8"/>
  <c r="L6" i="8"/>
  <c r="M7" i="11"/>
  <c r="L7" i="11"/>
  <c r="M9" i="11"/>
  <c r="L9" i="11"/>
  <c r="M11" i="11"/>
  <c r="L11" i="11"/>
  <c r="M12" i="11"/>
  <c r="L12" i="11"/>
  <c r="M13" i="11"/>
  <c r="L13" i="11"/>
  <c r="M14" i="11"/>
  <c r="L14" i="11"/>
  <c r="M7" i="8"/>
  <c r="L7" i="8"/>
  <c r="M8" i="8"/>
  <c r="L8" i="8"/>
  <c r="M9" i="8"/>
  <c r="L9" i="8"/>
  <c r="M10" i="8"/>
  <c r="L10" i="8"/>
  <c r="M11" i="8"/>
  <c r="L11" i="8"/>
  <c r="M7" i="10"/>
  <c r="L7" i="10"/>
  <c r="K11" i="10"/>
  <c r="M6" i="10"/>
  <c r="L6" i="10"/>
  <c r="M8" i="10"/>
  <c r="L8" i="10"/>
  <c r="M9" i="10"/>
  <c r="L9" i="10"/>
  <c r="M10" i="10"/>
  <c r="L10" i="10"/>
  <c r="K15" i="11"/>
  <c r="M6" i="11"/>
  <c r="L6" i="11"/>
  <c r="M8" i="11"/>
  <c r="L8" i="11"/>
  <c r="M10" i="11"/>
  <c r="L10" i="11"/>
  <c r="L15" i="12"/>
  <c r="M15" i="12" s="1"/>
  <c r="M6" i="12"/>
  <c r="M42" i="3"/>
  <c r="N42" i="3" s="1"/>
  <c r="L42" i="3"/>
  <c r="M43" i="3"/>
  <c r="N43" i="3" s="1"/>
  <c r="L43" i="3"/>
  <c r="K66" i="3"/>
  <c r="M65" i="3"/>
  <c r="L65" i="3"/>
  <c r="L66" i="3" s="1"/>
  <c r="L16" i="5"/>
  <c r="G16" i="5"/>
  <c r="K16" i="5" s="1"/>
  <c r="P16" i="5" s="1"/>
  <c r="P17" i="5" s="1"/>
  <c r="M66" i="3" l="1"/>
  <c r="N65" i="3"/>
  <c r="N66" i="3" s="1"/>
  <c r="L44" i="3"/>
  <c r="M15" i="11"/>
  <c r="M17" i="11" s="1"/>
  <c r="B8" i="13" s="1"/>
  <c r="K17" i="11"/>
  <c r="L15" i="11"/>
  <c r="M11" i="10"/>
  <c r="M13" i="10" s="1"/>
  <c r="B7" i="13" s="1"/>
  <c r="K13" i="10"/>
  <c r="L11" i="10"/>
  <c r="M12" i="8"/>
  <c r="K19" i="8"/>
  <c r="L12" i="8"/>
  <c r="M17" i="8"/>
  <c r="M44" i="3"/>
  <c r="N6" i="3"/>
  <c r="N44" i="3" s="1"/>
  <c r="M59" i="3"/>
  <c r="J61" i="3" s="1"/>
  <c r="F11" i="5" s="1"/>
  <c r="M11" i="5" s="1"/>
  <c r="N50" i="3"/>
  <c r="N59" i="3" s="1"/>
  <c r="E5" i="13"/>
  <c r="F5" i="13" s="1"/>
  <c r="J46" i="6"/>
  <c r="N71" i="3" l="1"/>
  <c r="M71" i="3"/>
  <c r="J46" i="3"/>
  <c r="F6" i="5" s="1"/>
  <c r="M6" i="5" s="1"/>
  <c r="E6" i="13"/>
  <c r="F6" i="13" s="1"/>
  <c r="L19" i="8"/>
  <c r="M19" i="8"/>
  <c r="B6" i="13" s="1"/>
  <c r="E7" i="13"/>
  <c r="F7" i="13" s="1"/>
  <c r="L13" i="10"/>
  <c r="E8" i="13"/>
  <c r="F8" i="13" s="1"/>
  <c r="L17" i="11"/>
  <c r="J68" i="3"/>
  <c r="F16" i="5" s="1"/>
  <c r="M16" i="5" s="1"/>
  <c r="N16" i="5" s="1"/>
  <c r="Q16" i="5" s="1"/>
  <c r="Q17" i="5" l="1"/>
  <c r="R16" i="5"/>
  <c r="R17" i="5" s="1"/>
  <c r="L11" i="5"/>
  <c r="N11" i="5"/>
  <c r="Q11" i="5"/>
  <c r="R11" i="5"/>
  <c r="R12" i="5"/>
  <c r="Q12" i="5"/>
  <c r="H11" i="5"/>
  <c r="J11" i="5"/>
  <c r="O11" i="5"/>
  <c r="O12" i="5"/>
  <c r="G11" i="5"/>
  <c r="K11" i="5"/>
  <c r="P11" i="5"/>
  <c r="P12" i="5"/>
  <c r="L6" i="5"/>
  <c r="N6" i="5"/>
  <c r="Q6" i="5"/>
  <c r="R6" i="5"/>
  <c r="R7" i="5"/>
  <c r="R20" i="5"/>
  <c r="R22" i="5"/>
  <c r="Q7" i="5"/>
  <c r="Q20" i="5"/>
  <c r="Q22" i="5"/>
  <c r="G4" i="7"/>
  <c r="J4" i="7"/>
  <c r="K4" i="7"/>
  <c r="L4" i="7"/>
  <c r="L6" i="7"/>
  <c r="K6" i="7"/>
  <c r="J6" i="7"/>
  <c r="G6" i="7"/>
  <c r="E4" i="13"/>
  <c r="F4" i="13"/>
  <c r="E10" i="13"/>
  <c r="F10" i="13"/>
  <c r="H6" i="5"/>
  <c r="J6" i="5"/>
  <c r="O6" i="5"/>
  <c r="O7" i="5"/>
  <c r="O20" i="5"/>
  <c r="E4" i="7"/>
  <c r="E6" i="7"/>
  <c r="C4" i="13"/>
  <c r="C10" i="13"/>
  <c r="G6" i="5"/>
  <c r="K6" i="5"/>
  <c r="P6" i="5"/>
  <c r="P7" i="5"/>
  <c r="P20" i="5"/>
  <c r="F4" i="7"/>
  <c r="F6" i="7"/>
  <c r="B4" i="13"/>
  <c r="B10" i="13"/>
  <c r="B12" i="13"/>
</calcChain>
</file>

<file path=xl/sharedStrings.xml><?xml version="1.0" encoding="utf-8"?>
<sst xmlns="http://schemas.openxmlformats.org/spreadsheetml/2006/main" count="1268" uniqueCount="447">
  <si>
    <t>Blad 'Omreken'</t>
  </si>
  <si>
    <t>Dit blad mag niet worden gewijzigd!</t>
  </si>
  <si>
    <t>Type:</t>
  </si>
  <si>
    <t>Invultabel</t>
  </si>
  <si>
    <t>Werkdagen</t>
  </si>
  <si>
    <t xml:space="preserve">per jaar: </t>
  </si>
  <si>
    <t xml:space="preserve">per week: </t>
  </si>
  <si>
    <t>FREQ</t>
  </si>
  <si>
    <t>FACTOR</t>
  </si>
  <si>
    <t>5W</t>
  </si>
  <si>
    <t>200J</t>
  </si>
  <si>
    <t>4W</t>
  </si>
  <si>
    <t>195J</t>
  </si>
  <si>
    <t>156J</t>
  </si>
  <si>
    <t>3W</t>
  </si>
  <si>
    <t>117J</t>
  </si>
  <si>
    <t>2W</t>
  </si>
  <si>
    <t>50J</t>
  </si>
  <si>
    <t>1W</t>
  </si>
  <si>
    <t>40J</t>
  </si>
  <si>
    <t>39J</t>
  </si>
  <si>
    <t>26J</t>
  </si>
  <si>
    <t>20J</t>
  </si>
  <si>
    <t>12J</t>
  </si>
  <si>
    <t>10J</t>
  </si>
  <si>
    <t>6J</t>
  </si>
  <si>
    <t>4J</t>
  </si>
  <si>
    <t>3J</t>
  </si>
  <si>
    <t>2J</t>
  </si>
  <si>
    <t>1J</t>
  </si>
  <si>
    <t>NORM-CODE</t>
  </si>
  <si>
    <t>CATEGORIE</t>
  </si>
  <si>
    <t>DAGEN/JAAR</t>
  </si>
  <si>
    <t>OMSCHRIJVING</t>
  </si>
  <si>
    <t>PRODUCTIE-NORM</t>
  </si>
  <si>
    <t>% HOOG-FREQUENT</t>
  </si>
  <si>
    <t>EENHEID</t>
  </si>
  <si>
    <t>TARIEF (EURO)</t>
  </si>
  <si>
    <t xml:space="preserve">WERKDAG             </t>
  </si>
  <si>
    <t>BBHB</t>
  </si>
  <si>
    <t xml:space="preserve">B    </t>
  </si>
  <si>
    <t>Spreek-/overleg-/vergaderruimte/studio hard (basis)</t>
  </si>
  <si>
    <t>m²/uur</t>
  </si>
  <si>
    <t>BBHV</t>
  </si>
  <si>
    <t>Spreek-/overleg-/vergaderruimte/studio hard (volledig)</t>
  </si>
  <si>
    <t>BBZB</t>
  </si>
  <si>
    <t>Spreek-/overleg-/vergaderruimte/studio zacht (basis)</t>
  </si>
  <si>
    <t>BBZV</t>
  </si>
  <si>
    <t>Spreek-/overleg-/vergaderruimte/studio zacht (volledig)</t>
  </si>
  <si>
    <t>BHB</t>
  </si>
  <si>
    <t>Kantoor-/personeelsruimte hard (basis)</t>
  </si>
  <si>
    <t>BHV</t>
  </si>
  <si>
    <t>Kantoor-/personeelsruimte hard (volledig)</t>
  </si>
  <si>
    <t>BZB</t>
  </si>
  <si>
    <t>Kantoor-/personeelsruimte zacht (basis)</t>
  </si>
  <si>
    <t>BZV</t>
  </si>
  <si>
    <t>Kantoor-/personeelsruimte zacht (volledig)</t>
  </si>
  <si>
    <t>CHB</t>
  </si>
  <si>
    <t>College-/filmzaal/auditorium hard (basis)</t>
  </si>
  <si>
    <t>CHV</t>
  </si>
  <si>
    <t>College-/filmzaal/auditorium hard (volledig)</t>
  </si>
  <si>
    <t>CZB</t>
  </si>
  <si>
    <t>College-/filmzaal/auditorium zacht (basis)</t>
  </si>
  <si>
    <t>CZV</t>
  </si>
  <si>
    <t>College-/filmzaal/auditorium zacht (volledig)</t>
  </si>
  <si>
    <t>LHB</t>
  </si>
  <si>
    <t>Leslokalen/studieruimte hard (basis)</t>
  </si>
  <si>
    <t>LHV</t>
  </si>
  <si>
    <t>Leslokalen/studieruimte hard (volledig)</t>
  </si>
  <si>
    <t>LZB</t>
  </si>
  <si>
    <t>Leslokalen/studieruimte zacht (basis)</t>
  </si>
  <si>
    <t>LZV</t>
  </si>
  <si>
    <t>Leslokalen/studieruimte zacht (volledig)</t>
  </si>
  <si>
    <t>MHB</t>
  </si>
  <si>
    <t>Media-/bilbiotheek hard (basis)</t>
  </si>
  <si>
    <t>MHV</t>
  </si>
  <si>
    <t>Media-/bilbiotheek hard (volledig)</t>
  </si>
  <si>
    <t>RHB</t>
  </si>
  <si>
    <t>Receptie/ontvangstruimten hard (basis)</t>
  </si>
  <si>
    <t>RHV</t>
  </si>
  <si>
    <t>Receptie/ontvangstruimten hard (volledig)</t>
  </si>
  <si>
    <t>WHB</t>
  </si>
  <si>
    <t xml:space="preserve">P    </t>
  </si>
  <si>
    <t>Werkplaats hard (basis)</t>
  </si>
  <si>
    <t>WHHB</t>
  </si>
  <si>
    <t>Werkplaats hout hard (basis)</t>
  </si>
  <si>
    <t>WHV</t>
  </si>
  <si>
    <t>Werkplaats hard (volledig)</t>
  </si>
  <si>
    <t>WZB</t>
  </si>
  <si>
    <t>Werkplaats zacht (basis)</t>
  </si>
  <si>
    <t>WZV</t>
  </si>
  <si>
    <t>Werkplaats zacht (volledig)</t>
  </si>
  <si>
    <t>PAHB</t>
  </si>
  <si>
    <t xml:space="preserve">PEV  </t>
  </si>
  <si>
    <t>Atelier (werkplekken) hard (basis)</t>
  </si>
  <si>
    <t>PAHV</t>
  </si>
  <si>
    <t>Atelier (werkplekken) hard (volledig)</t>
  </si>
  <si>
    <t>WHIHV</t>
  </si>
  <si>
    <t xml:space="preserve">PI   </t>
  </si>
  <si>
    <t>Werkplaats hout hard  (intensief) (volledig)</t>
  </si>
  <si>
    <t>DHB</t>
  </si>
  <si>
    <t xml:space="preserve">S    </t>
  </si>
  <si>
    <t>Douche/wasruimte hard (basis)</t>
  </si>
  <si>
    <t>DHV</t>
  </si>
  <si>
    <t>Douche/wasruimte hard (volledig)</t>
  </si>
  <si>
    <t>SHB</t>
  </si>
  <si>
    <t>Sanitaire ruimte/toiletten hard (basis)</t>
  </si>
  <si>
    <t>SHV</t>
  </si>
  <si>
    <t>Sanitaire ruimte/toiletten hard (volledig)</t>
  </si>
  <si>
    <t>AHB</t>
  </si>
  <si>
    <t xml:space="preserve">V    </t>
  </si>
  <si>
    <t>Aula/kantine/restaurant hard (basis)</t>
  </si>
  <si>
    <t>AHV</t>
  </si>
  <si>
    <t>Aula/kantine/restaurant hard (volledig)</t>
  </si>
  <si>
    <t>FHB</t>
  </si>
  <si>
    <t>Lift hard (basis)</t>
  </si>
  <si>
    <t>FHV</t>
  </si>
  <si>
    <t>Lift hard (volledig)</t>
  </si>
  <si>
    <t>PHB</t>
  </si>
  <si>
    <t>Pantry/keuken hard (basis)</t>
  </si>
  <si>
    <t>PHV</t>
  </si>
  <si>
    <t>Pantry/keuken hard (volledig)</t>
  </si>
  <si>
    <t>THB</t>
  </si>
  <si>
    <t>Trap hard (basis)</t>
  </si>
  <si>
    <t>THV</t>
  </si>
  <si>
    <t>Trap hard (volledig)</t>
  </si>
  <si>
    <t>VHB</t>
  </si>
  <si>
    <t>Verkeersruimte/garderobe/reprografie hard (basis)</t>
  </si>
  <si>
    <t>VHV</t>
  </si>
  <si>
    <t>Verkeersruimte/garderobe/reprografie hard (volledig)</t>
  </si>
  <si>
    <t>VZB</t>
  </si>
  <si>
    <t>Verkeersruimte/garderobe/reprografie zacht (basis)</t>
  </si>
  <si>
    <t>VZV</t>
  </si>
  <si>
    <t>Verkeersruimte/garderobe/reprografie zacht (volledig)</t>
  </si>
  <si>
    <t>XBB</t>
  </si>
  <si>
    <t xml:space="preserve">X    </t>
  </si>
  <si>
    <t>Periodiek vloeren beschermd (basis)</t>
  </si>
  <si>
    <t xml:space="preserve">WERKDAG VAKANTIE    </t>
  </si>
  <si>
    <t>VBHB</t>
  </si>
  <si>
    <t>VBZB</t>
  </si>
  <si>
    <t>VBZV</t>
  </si>
  <si>
    <t>VRHB</t>
  </si>
  <si>
    <t>VSHB</t>
  </si>
  <si>
    <t>VSHV</t>
  </si>
  <si>
    <t>VFHB</t>
  </si>
  <si>
    <t>VPHB</t>
  </si>
  <si>
    <t>VPHV</t>
  </si>
  <si>
    <t>VVHB</t>
  </si>
  <si>
    <t>VVHV</t>
  </si>
  <si>
    <t>TAAK</t>
  </si>
  <si>
    <t>WERK- SOORT</t>
  </si>
  <si>
    <t>OPP OF AANTAL</t>
  </si>
  <si>
    <t>OPP OF AANTAL /DAG</t>
  </si>
  <si>
    <t>UREN/ DAG</t>
  </si>
  <si>
    <t>PRIJS/ DAG</t>
  </si>
  <si>
    <t>UREN/ JAAR</t>
  </si>
  <si>
    <t>PRIJS/ JAAR</t>
  </si>
  <si>
    <t>AH</t>
  </si>
  <si>
    <t>interieur</t>
  </si>
  <si>
    <t>Aula/kantine/restaurant harde vloeren</t>
  </si>
  <si>
    <t>BBH</t>
  </si>
  <si>
    <t>Spreek-/overleg-/vergaderruimte/studio harde vloer</t>
  </si>
  <si>
    <t>BBZ</t>
  </si>
  <si>
    <t>Spreek-/overleg-/vergaderruimte/studio zachte vloer</t>
  </si>
  <si>
    <t>BH</t>
  </si>
  <si>
    <t>Kantoor/personeelsruimte harde vloer</t>
  </si>
  <si>
    <t>BZ</t>
  </si>
  <si>
    <t>Kantoor/personeelsruimte zachte vloer</t>
  </si>
  <si>
    <t>CH</t>
  </si>
  <si>
    <t>College-/filmzaal/auditorium harde vloeren</t>
  </si>
  <si>
    <t>CZ</t>
  </si>
  <si>
    <t>College-/filmzaal/auditorium zachte vloeren</t>
  </si>
  <si>
    <t>DH</t>
  </si>
  <si>
    <t>Douche/wasruimte harde vloer</t>
  </si>
  <si>
    <t>FH</t>
  </si>
  <si>
    <t>Lift harde vloer</t>
  </si>
  <si>
    <t>LH</t>
  </si>
  <si>
    <t>Leslokaal/studieruimte hardev loer</t>
  </si>
  <si>
    <t>LZ</t>
  </si>
  <si>
    <t>Leslokaal/studieruimte zachte vloer</t>
  </si>
  <si>
    <t>MH</t>
  </si>
  <si>
    <t>Media-/bibliotheek harde vloer</t>
  </si>
  <si>
    <t>PAH</t>
  </si>
  <si>
    <t>Atelier (werkplekken) harde vloer</t>
  </si>
  <si>
    <t>PH</t>
  </si>
  <si>
    <t>Pantry/keuken/koffiehoek harde vloer</t>
  </si>
  <si>
    <t>RH</t>
  </si>
  <si>
    <t>Receptie/ontvangstruimte harde vloer</t>
  </si>
  <si>
    <t>SH</t>
  </si>
  <si>
    <t>Sanitaire ruimte/toiletten harde vloer</t>
  </si>
  <si>
    <t>SHN</t>
  </si>
  <si>
    <t>Sanitaire ruimte/toiletten harde vloer naloop</t>
  </si>
  <si>
    <t>TH</t>
  </si>
  <si>
    <t>Trap harde vloer</t>
  </si>
  <si>
    <t>VH</t>
  </si>
  <si>
    <t>Verkeersruimte/garderobe/reprografie harde vloer</t>
  </si>
  <si>
    <t>VZ</t>
  </si>
  <si>
    <t>Verkeersruimte/garderobe/reprografie zachte vloer</t>
  </si>
  <si>
    <t>WH</t>
  </si>
  <si>
    <t>Werkplaats harde vloer</t>
  </si>
  <si>
    <t>WHIH</t>
  </si>
  <si>
    <t>Werkplaats hout harde vloer (intensief)</t>
  </si>
  <si>
    <t>WZ</t>
  </si>
  <si>
    <t>Werkplaats zachte vloer</t>
  </si>
  <si>
    <t>Z003</t>
  </si>
  <si>
    <t>Entree-buiten (beton)steen</t>
  </si>
  <si>
    <t>Z014</t>
  </si>
  <si>
    <t>Fietsenberging steen</t>
  </si>
  <si>
    <t>XB</t>
  </si>
  <si>
    <t>vloer</t>
  </si>
  <si>
    <t>Periodiek vloeren beschermd</t>
  </si>
  <si>
    <t>Z004</t>
  </si>
  <si>
    <t>Hout vloeren (hoog periodiek)</t>
  </si>
  <si>
    <t>Z006</t>
  </si>
  <si>
    <t>Beton/Steen vloeren (laag)</t>
  </si>
  <si>
    <t>Z013</t>
  </si>
  <si>
    <t>Beton vloeren</t>
  </si>
  <si>
    <t>Z001</t>
  </si>
  <si>
    <t>extra</t>
  </si>
  <si>
    <t>Buiten/binnenterrein (afvalbakken/asbak)</t>
  </si>
  <si>
    <t>Buiten/binnenterrein (afvalbakken)</t>
  </si>
  <si>
    <t>Z007</t>
  </si>
  <si>
    <t>Afvalbakken legen</t>
  </si>
  <si>
    <t>Z010</t>
  </si>
  <si>
    <t>Houtwerkplaats</t>
  </si>
  <si>
    <t>Z011</t>
  </si>
  <si>
    <t>Medewerkers tbv examenperiode</t>
  </si>
  <si>
    <t>uur</t>
  </si>
  <si>
    <t>Z015</t>
  </si>
  <si>
    <t>Koelkasten leeg halen</t>
  </si>
  <si>
    <t>min./stuk</t>
  </si>
  <si>
    <t xml:space="preserve">Totaal werkdag             </t>
  </si>
  <si>
    <t xml:space="preserve">Gemiddeld uurtarief werkdag             </t>
  </si>
  <si>
    <t>VBH</t>
  </si>
  <si>
    <t>VBZ</t>
  </si>
  <si>
    <t>VFH</t>
  </si>
  <si>
    <t>VPH</t>
  </si>
  <si>
    <t>VRH</t>
  </si>
  <si>
    <t>VSH</t>
  </si>
  <si>
    <t>VVH</t>
  </si>
  <si>
    <t xml:space="preserve">Totaal werkdag vakantie    </t>
  </si>
  <si>
    <t xml:space="preserve">Gemiddeld uurtarief werkdag vakantie    </t>
  </si>
  <si>
    <t xml:space="preserve">WEEKENDDAG          </t>
  </si>
  <si>
    <t>WZ013</t>
  </si>
  <si>
    <t>Extra werkzaamheden zaterdag</t>
  </si>
  <si>
    <t xml:space="preserve">Totaal weekenddag          </t>
  </si>
  <si>
    <t xml:space="preserve">Gemiddeld uurtarief weekenddag          </t>
  </si>
  <si>
    <t>Totaal regulier werk excl. BTW</t>
  </si>
  <si>
    <t>Omrekentabel t.b.v. Invultabel Objecten (niet afdrukken)</t>
  </si>
  <si>
    <t>DAGSOORT</t>
  </si>
  <si>
    <t>WERKSOORT</t>
  </si>
  <si>
    <t>FREQ DECIMAAL</t>
  </si>
  <si>
    <t>UURFACTOR</t>
  </si>
  <si>
    <t>KENGETAL</t>
  </si>
  <si>
    <t>TARIEF</t>
  </si>
  <si>
    <t xml:space="preserve">    0001</t>
  </si>
  <si>
    <t>werkdag</t>
  </si>
  <si>
    <t>werkdag vakantie</t>
  </si>
  <si>
    <t>weekenddag</t>
  </si>
  <si>
    <t>OBJECT</t>
  </si>
  <si>
    <t>NAAM</t>
  </si>
  <si>
    <t>ADRES</t>
  </si>
  <si>
    <t>PLAATS</t>
  </si>
  <si>
    <t>BASIS UUR- TARIEF</t>
  </si>
  <si>
    <t>UREN/ UITVOERING</t>
  </si>
  <si>
    <t>UREN HOOG-FREQUENT/ UITVOERING</t>
  </si>
  <si>
    <t>UREN HOOG-FREQUENT SUPPLETIE/ UITVOERING</t>
  </si>
  <si>
    <t>UREN HOOG-FREQUENT TOTAAL/ UITVOERING</t>
  </si>
  <si>
    <t>UREN TOTAAL/ UITVOERING</t>
  </si>
  <si>
    <t>PRIJS/ UITVOERING</t>
  </si>
  <si>
    <t>PRIJS SUPPLETIE/ UITVOERING</t>
  </si>
  <si>
    <t>PRIJS TOTAAL/ UITVOERING</t>
  </si>
  <si>
    <t>UREN HOOG-FREQUENT/ JAAR</t>
  </si>
  <si>
    <t>PRIJS/ JAAR (EURO)</t>
  </si>
  <si>
    <t>PRIJS/ MAAND (EURO)</t>
  </si>
  <si>
    <t>0001</t>
  </si>
  <si>
    <t>Kon. Academie van Beeldende kunsten</t>
  </si>
  <si>
    <t>Prinsessegracht 4</t>
  </si>
  <si>
    <t>Den Haag</t>
  </si>
  <si>
    <t>Totaal regulier werk incl. suppleties (excl. BTW)</t>
  </si>
  <si>
    <t>Totaal regulier werk incl. suppleties (incl. BTW)</t>
  </si>
  <si>
    <t>CODE</t>
  </si>
  <si>
    <t>FREQ (dagen)</t>
  </si>
  <si>
    <t>FUNCTIENAAM</t>
  </si>
  <si>
    <t>UURTARIEF (euro)</t>
  </si>
  <si>
    <t>PERC. VAN UREN/JAAR REGULIER WERK</t>
  </si>
  <si>
    <t>VASTE UREN/KEER (decimaal)</t>
  </si>
  <si>
    <t>UREN/ KEER</t>
  </si>
  <si>
    <t>PRIJS/ JAAR (euro)</t>
  </si>
  <si>
    <t>PRIJS/ MAAND (euro)</t>
  </si>
  <si>
    <t>0001 - Kon. Academie van Beeldende kunsten, Prinsessegracht 4, Den Haag</t>
  </si>
  <si>
    <t>1000</t>
  </si>
  <si>
    <t>Niet meewerkende objectleiding</t>
  </si>
  <si>
    <t>&lt;invullen functie afh. van uren uitvoering per jaar&gt;</t>
  </si>
  <si>
    <t>&lt;invullen functie met vaste uren per dag&gt;</t>
  </si>
  <si>
    <t>Totaal 0001 - Kon. Academie van Beeldende kunsten, Prinsessegracht 4, Den Haag</t>
  </si>
  <si>
    <t>V1000</t>
  </si>
  <si>
    <t>W1000</t>
  </si>
  <si>
    <t>Totaal niet-meewerkende objectleiding</t>
  </si>
  <si>
    <t>Totaal niet-meewerkende objectleiding (incl. BTW)</t>
  </si>
  <si>
    <t>PRIJS UITVOEREND/ JAAR</t>
  </si>
  <si>
    <t>UREN LEIDING/ JAAR</t>
  </si>
  <si>
    <t>PRIJS LEIDING/ JAAR</t>
  </si>
  <si>
    <t>PRIJS MET LEIDING/ JAAR</t>
  </si>
  <si>
    <t>PRIJS/ MAAND EXCL.BTW</t>
  </si>
  <si>
    <t>PRIJS/ MAAND INCL.BTW</t>
  </si>
  <si>
    <t>Totaal van alle objecten</t>
  </si>
  <si>
    <t>BEURT</t>
  </si>
  <si>
    <t>FREQ (DAGEN)</t>
  </si>
  <si>
    <t>HOEVEELHEID /KEER</t>
  </si>
  <si>
    <t>UURTARIEF (EURO)</t>
  </si>
  <si>
    <t>NORM</t>
  </si>
  <si>
    <t>PRIJS/ EENHEID (EURO)</t>
  </si>
  <si>
    <t>PRIJS/ KEER</t>
  </si>
  <si>
    <t>9200</t>
  </si>
  <si>
    <t>Vloer schrobben/waterzuigen</t>
  </si>
  <si>
    <t>tijdsnorm in vloer m²/uur</t>
  </si>
  <si>
    <t>9210</t>
  </si>
  <si>
    <t>Gehele ruimte reinigen conform werkprogramma Bureaukamers</t>
  </si>
  <si>
    <t>9211</t>
  </si>
  <si>
    <t>Gehele ruimte reinigen conform werkprogramma Verkeersruimten</t>
  </si>
  <si>
    <t>9212</t>
  </si>
  <si>
    <t>Gehele ruimte reinigen conform werkprogramma Praktijklokaal PU</t>
  </si>
  <si>
    <t>9213</t>
  </si>
  <si>
    <t>Gehele ruimte reinigen conform werkprogramma Leslokaal/studieruimte</t>
  </si>
  <si>
    <t>W2002</t>
  </si>
  <si>
    <t>Medewerkers tbv opendag op zaterdag</t>
  </si>
  <si>
    <t>prijs per uur</t>
  </si>
  <si>
    <t>W2003</t>
  </si>
  <si>
    <t>Medewerkers tbv diploma uitreiking</t>
  </si>
  <si>
    <t>Totaal afroep excl. BTW</t>
  </si>
  <si>
    <t>STAFFEL</t>
  </si>
  <si>
    <t>2000A</t>
  </si>
  <si>
    <t>Systeemkast/monitor reinigen</t>
  </si>
  <si>
    <t>prijs per stuk</t>
  </si>
  <si>
    <t>&lt; 25 stuks</t>
  </si>
  <si>
    <t>2000B</t>
  </si>
  <si>
    <t>25 tot 100 stuks</t>
  </si>
  <si>
    <t>2000C</t>
  </si>
  <si>
    <t>100 tot 500 stuks</t>
  </si>
  <si>
    <t>2000D</t>
  </si>
  <si>
    <t>&gt;= 500 stuks</t>
  </si>
  <si>
    <t>2010A</t>
  </si>
  <si>
    <t>Printer uitwendig reinigen</t>
  </si>
  <si>
    <t>2010B</t>
  </si>
  <si>
    <t>2010C</t>
  </si>
  <si>
    <t>2010D</t>
  </si>
  <si>
    <t>2030A</t>
  </si>
  <si>
    <t>Toetsenbord reinigen</t>
  </si>
  <si>
    <t>2030B</t>
  </si>
  <si>
    <t>2030C</t>
  </si>
  <si>
    <t>2030D</t>
  </si>
  <si>
    <t>4000A</t>
  </si>
  <si>
    <t>prijs per m²</t>
  </si>
  <si>
    <t>&lt; 500 m²</t>
  </si>
  <si>
    <t>4000B</t>
  </si>
  <si>
    <t>500 &lt; 1000 m²</t>
  </si>
  <si>
    <t>4000C</t>
  </si>
  <si>
    <t>1000 &lt; 2000 m²</t>
  </si>
  <si>
    <t>4000D</t>
  </si>
  <si>
    <t>&gt;= 2000 m²</t>
  </si>
  <si>
    <t>4010A</t>
  </si>
  <si>
    <t>Sure step vloeren opwrijven</t>
  </si>
  <si>
    <t>4010B</t>
  </si>
  <si>
    <t>4010C</t>
  </si>
  <si>
    <t>4010D</t>
  </si>
  <si>
    <t>4020A</t>
  </si>
  <si>
    <t>Linoleum sprayen /opwrijven</t>
  </si>
  <si>
    <t>4020B</t>
  </si>
  <si>
    <t>4020C</t>
  </si>
  <si>
    <t>4020D</t>
  </si>
  <si>
    <t>4030A</t>
  </si>
  <si>
    <t>Linoleum vloeren strippen/conserveren</t>
  </si>
  <si>
    <t>4030B</t>
  </si>
  <si>
    <t>4030C</t>
  </si>
  <si>
    <t>4030D</t>
  </si>
  <si>
    <t>4040A</t>
  </si>
  <si>
    <t>Tapijt reinigen droge methode (Host)</t>
  </si>
  <si>
    <t>4040B</t>
  </si>
  <si>
    <t>4040C</t>
  </si>
  <si>
    <t>4040D</t>
  </si>
  <si>
    <t>4050A</t>
  </si>
  <si>
    <t>Tapijt reinigen op koolzuur basis</t>
  </si>
  <si>
    <t>4050B</t>
  </si>
  <si>
    <t>4050C</t>
  </si>
  <si>
    <t>4050D</t>
  </si>
  <si>
    <t>4060A</t>
  </si>
  <si>
    <t>Tapijt reinigen sproei/extractie methode</t>
  </si>
  <si>
    <t>4060B</t>
  </si>
  <si>
    <t>4060C</t>
  </si>
  <si>
    <t>4060D</t>
  </si>
  <si>
    <t>4070A</t>
  </si>
  <si>
    <t>Tapijt borstelzuigen</t>
  </si>
  <si>
    <t>4070B</t>
  </si>
  <si>
    <t>4070C</t>
  </si>
  <si>
    <t>4070D</t>
  </si>
  <si>
    <t>4080A</t>
  </si>
  <si>
    <t>Sanitair reinigen d.m.v. "stomen"</t>
  </si>
  <si>
    <t>4080B</t>
  </si>
  <si>
    <t>Sanitair  reinigen d.m.v. "stomen"</t>
  </si>
  <si>
    <t>4080C</t>
  </si>
  <si>
    <t>4080D</t>
  </si>
  <si>
    <t>4090A</t>
  </si>
  <si>
    <t>Inloopmatten uitkloppen</t>
  </si>
  <si>
    <t>4090B</t>
  </si>
  <si>
    <t>4090C</t>
  </si>
  <si>
    <t>4090D</t>
  </si>
  <si>
    <t>Totaal afroep incidenteel excl. BTW</t>
  </si>
  <si>
    <t>9000</t>
  </si>
  <si>
    <t>Medewerker Regiewerkzaamheden</t>
  </si>
  <si>
    <t>9022</t>
  </si>
  <si>
    <t>9100</t>
  </si>
  <si>
    <t>Medewerker specialistische werkzaamheden</t>
  </si>
  <si>
    <t>9500</t>
  </si>
  <si>
    <t>Uurtarief medewerker bouwschoonmaak</t>
  </si>
  <si>
    <t>9501</t>
  </si>
  <si>
    <t>Uurtarief medewerker specialitisch bouwschoonmaak</t>
  </si>
  <si>
    <t>Totaal regiewerk excl. BTW</t>
  </si>
  <si>
    <t>8000</t>
  </si>
  <si>
    <t>Gevelglas buitenzijde</t>
  </si>
  <si>
    <t>8010</t>
  </si>
  <si>
    <t>Gevelglas binnenzijde</t>
  </si>
  <si>
    <t>8020</t>
  </si>
  <si>
    <t>Separatieglas (m ² is totaal)</t>
  </si>
  <si>
    <t>8025</t>
  </si>
  <si>
    <t>Lichtkoepels buitenzijde</t>
  </si>
  <si>
    <t>8050</t>
  </si>
  <si>
    <t>Inzet hoogwerker tbv KABK</t>
  </si>
  <si>
    <t>totaalprijs</t>
  </si>
  <si>
    <t>8061</t>
  </si>
  <si>
    <t>Tuckerpool tbv KABK</t>
  </si>
  <si>
    <t>Totaal glas excl. BTW</t>
  </si>
  <si>
    <t>Soort werk</t>
  </si>
  <si>
    <t>Uren per jaar uitvoering</t>
  </si>
  <si>
    <t>Uren hoogfrequent per jaar uitvoering</t>
  </si>
  <si>
    <t>Uren per jaar leiding</t>
  </si>
  <si>
    <t>Bedrag per jaar excl. BTW (euro)</t>
  </si>
  <si>
    <t>Bedrag per jaar incl. BTW (euro)</t>
  </si>
  <si>
    <t>Regulier werk</t>
  </si>
  <si>
    <t>Objectleiding</t>
  </si>
  <si>
    <t>Afroepwerk (geschatte frequenties)</t>
  </si>
  <si>
    <t>Regie (geschat)</t>
  </si>
  <si>
    <t>Glas</t>
  </si>
  <si>
    <t>Totaal generaal</t>
  </si>
  <si>
    <t>Percentage objectleiding</t>
  </si>
  <si>
    <t>BEGROOT BEDRAG REGULIERE WERKZAAMHEDEN (NIET HOGER DAN BUDGET)</t>
  </si>
  <si>
    <t>VERGELIJKINGSBEDRAG GLASBEWASSING/ADITIONEEL/AFROEP/REGIE WERK (GESCHAT) VOOR PRIJSCRITERIUM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</si>
</sst>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€-2]\ * #,##0.00_-;_-[$€-2]\ * #,##0.00\-;_-[$€-2]\ * &quot;-&quot;??_-;_-@_-"/>
    <numFmt numFmtId="165" formatCode="#,##0.0000"/>
  </numFmts>
  <fonts count="5" x14ac:knownFonts="1"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69696"/>
        <bgColor rgb="FF000000"/>
      </patternFill>
    </fill>
    <fill>
      <patternFill patternType="solid">
        <fgColor rgb="FFCCFF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3">
    <xf numFmtId="0" fontId="0" fillId="0" borderId="0" xfId="0"/>
    <xf numFmtId="0" fontId="1" fillId="0" borderId="0" xfId="0" applyFont="1"/>
    <xf numFmtId="0" fontId="0" fillId="2" borderId="1" xfId="0" applyFill="1" applyBorder="1"/>
    <xf numFmtId="0" fontId="0" fillId="2" borderId="2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7" xfId="0" applyFill="1" applyBorder="1"/>
    <xf numFmtId="0" fontId="0" fillId="2" borderId="8" xfId="0" applyFill="1" applyBorder="1"/>
    <xf numFmtId="49" fontId="0" fillId="3" borderId="6" xfId="0" applyNumberFormat="1" applyFill="1" applyBorder="1" applyAlignment="1">
      <alignment wrapText="1"/>
    </xf>
    <xf numFmtId="0" fontId="0" fillId="3" borderId="4" xfId="0" applyFill="1" applyBorder="1"/>
    <xf numFmtId="0" fontId="0" fillId="3" borderId="9" xfId="0" applyFill="1" applyBorder="1"/>
    <xf numFmtId="0" fontId="0" fillId="3" borderId="5" xfId="0" applyFill="1" applyBorder="1"/>
    <xf numFmtId="0" fontId="0" fillId="3" borderId="7" xfId="0" applyFill="1" applyBorder="1"/>
    <xf numFmtId="0" fontId="0" fillId="3" borderId="13" xfId="0" applyFill="1" applyBorder="1"/>
    <xf numFmtId="0" fontId="0" fillId="3" borderId="8" xfId="0" applyFill="1" applyBorder="1"/>
    <xf numFmtId="49" fontId="0" fillId="2" borderId="14" xfId="0" applyNumberFormat="1" applyFill="1" applyBorder="1"/>
    <xf numFmtId="1" fontId="0" fillId="2" borderId="14" xfId="0" applyNumberFormat="1" applyFill="1" applyBorder="1"/>
    <xf numFmtId="4" fontId="0" fillId="0" borderId="14" xfId="0" applyNumberFormat="1" applyBorder="1" applyProtection="1">
      <protection locked="0"/>
    </xf>
    <xf numFmtId="10" fontId="0" fillId="0" borderId="14" xfId="0" applyNumberFormat="1" applyBorder="1" applyProtection="1">
      <protection locked="0"/>
    </xf>
    <xf numFmtId="164" fontId="0" fillId="0" borderId="14" xfId="0" applyNumberFormat="1" applyBorder="1" applyProtection="1">
      <protection locked="0"/>
    </xf>
    <xf numFmtId="49" fontId="0" fillId="2" borderId="15" xfId="0" applyNumberFormat="1" applyFill="1" applyBorder="1"/>
    <xf numFmtId="1" fontId="0" fillId="2" borderId="15" xfId="0" applyNumberFormat="1" applyFill="1" applyBorder="1"/>
    <xf numFmtId="4" fontId="0" fillId="0" borderId="15" xfId="0" applyNumberFormat="1" applyBorder="1" applyProtection="1">
      <protection locked="0"/>
    </xf>
    <xf numFmtId="10" fontId="0" fillId="0" borderId="15" xfId="0" applyNumberFormat="1" applyBorder="1" applyProtection="1">
      <protection locked="0"/>
    </xf>
    <xf numFmtId="164" fontId="0" fillId="0" borderId="15" xfId="0" applyNumberFormat="1" applyBorder="1" applyProtection="1">
      <protection locked="0"/>
    </xf>
    <xf numFmtId="49" fontId="0" fillId="2" borderId="16" xfId="0" applyNumberFormat="1" applyFill="1" applyBorder="1"/>
    <xf numFmtId="1" fontId="0" fillId="2" borderId="16" xfId="0" applyNumberFormat="1" applyFill="1" applyBorder="1"/>
    <xf numFmtId="4" fontId="0" fillId="0" borderId="16" xfId="0" applyNumberFormat="1" applyBorder="1" applyProtection="1">
      <protection locked="0"/>
    </xf>
    <xf numFmtId="10" fontId="0" fillId="0" borderId="16" xfId="0" applyNumberFormat="1" applyBorder="1" applyProtection="1">
      <protection locked="0"/>
    </xf>
    <xf numFmtId="164" fontId="0" fillId="0" borderId="16" xfId="0" applyNumberFormat="1" applyBorder="1" applyProtection="1">
      <protection locked="0"/>
    </xf>
    <xf numFmtId="4" fontId="0" fillId="2" borderId="14" xfId="0" applyNumberFormat="1" applyFill="1" applyBorder="1"/>
    <xf numFmtId="165" fontId="0" fillId="2" borderId="14" xfId="0" applyNumberFormat="1" applyFill="1" applyBorder="1"/>
    <xf numFmtId="10" fontId="0" fillId="2" borderId="14" xfId="0" applyNumberFormat="1" applyFill="1" applyBorder="1"/>
    <xf numFmtId="164" fontId="0" fillId="2" borderId="14" xfId="0" applyNumberFormat="1" applyFill="1" applyBorder="1"/>
    <xf numFmtId="4" fontId="0" fillId="2" borderId="15" xfId="0" applyNumberFormat="1" applyFill="1" applyBorder="1"/>
    <xf numFmtId="165" fontId="0" fillId="2" borderId="15" xfId="0" applyNumberFormat="1" applyFill="1" applyBorder="1"/>
    <xf numFmtId="10" fontId="0" fillId="2" borderId="15" xfId="0" applyNumberFormat="1" applyFill="1" applyBorder="1"/>
    <xf numFmtId="164" fontId="0" fillId="2" borderId="15" xfId="0" applyNumberFormat="1" applyFill="1" applyBorder="1"/>
    <xf numFmtId="165" fontId="0" fillId="0" borderId="15" xfId="0" applyNumberFormat="1" applyBorder="1" applyProtection="1">
      <protection locked="0"/>
    </xf>
    <xf numFmtId="4" fontId="0" fillId="2" borderId="16" xfId="0" applyNumberFormat="1" applyFill="1" applyBorder="1"/>
    <xf numFmtId="165" fontId="0" fillId="0" borderId="16" xfId="0" applyNumberFormat="1" applyBorder="1" applyProtection="1">
      <protection locked="0"/>
    </xf>
    <xf numFmtId="164" fontId="0" fillId="2" borderId="16" xfId="0" applyNumberFormat="1" applyFill="1" applyBorder="1"/>
    <xf numFmtId="49" fontId="0" fillId="3" borderId="10" xfId="0" applyNumberFormat="1" applyFill="1" applyBorder="1"/>
    <xf numFmtId="0" fontId="0" fillId="3" borderId="11" xfId="0" applyFill="1" applyBorder="1"/>
    <xf numFmtId="4" fontId="0" fillId="3" borderId="6" xfId="0" applyNumberFormat="1" applyFill="1" applyBorder="1"/>
    <xf numFmtId="164" fontId="0" fillId="3" borderId="6" xfId="0" applyNumberFormat="1" applyFill="1" applyBorder="1"/>
    <xf numFmtId="164" fontId="0" fillId="3" borderId="17" xfId="0" applyNumberFormat="1" applyFill="1" applyBorder="1"/>
    <xf numFmtId="0" fontId="0" fillId="3" borderId="10" xfId="0" applyFill="1" applyBorder="1"/>
    <xf numFmtId="0" fontId="0" fillId="3" borderId="18" xfId="0" applyFill="1" applyBorder="1"/>
    <xf numFmtId="165" fontId="0" fillId="2" borderId="16" xfId="0" applyNumberFormat="1" applyFill="1" applyBorder="1"/>
    <xf numFmtId="10" fontId="0" fillId="2" borderId="16" xfId="0" applyNumberFormat="1" applyFill="1" applyBorder="1"/>
    <xf numFmtId="49" fontId="0" fillId="2" borderId="6" xfId="0" applyNumberFormat="1" applyFill="1" applyBorder="1"/>
    <xf numFmtId="4" fontId="0" fillId="2" borderId="6" xfId="0" applyNumberFormat="1" applyFill="1" applyBorder="1"/>
    <xf numFmtId="165" fontId="0" fillId="2" borderId="6" xfId="0" applyNumberFormat="1" applyFill="1" applyBorder="1"/>
    <xf numFmtId="10" fontId="0" fillId="0" borderId="6" xfId="0" applyNumberFormat="1" applyBorder="1" applyProtection="1">
      <protection locked="0"/>
    </xf>
    <xf numFmtId="164" fontId="0" fillId="0" borderId="6" xfId="0" applyNumberFormat="1" applyBorder="1" applyProtection="1">
      <protection locked="0"/>
    </xf>
    <xf numFmtId="164" fontId="0" fillId="2" borderId="6" xfId="0" applyNumberFormat="1" applyFill="1" applyBorder="1"/>
    <xf numFmtId="49" fontId="0" fillId="3" borderId="3" xfId="0" applyNumberFormat="1" applyFill="1" applyBorder="1"/>
    <xf numFmtId="0" fontId="0" fillId="3" borderId="19" xfId="0" applyFill="1" applyBorder="1"/>
    <xf numFmtId="49" fontId="0" fillId="3" borderId="19" xfId="0" applyNumberFormat="1" applyFill="1" applyBorder="1"/>
    <xf numFmtId="0" fontId="0" fillId="3" borderId="6" xfId="0" applyFill="1" applyBorder="1"/>
    <xf numFmtId="10" fontId="0" fillId="2" borderId="6" xfId="0" applyNumberFormat="1" applyFill="1" applyBorder="1"/>
    <xf numFmtId="49" fontId="0" fillId="4" borderId="6" xfId="0" applyNumberFormat="1" applyFill="1" applyBorder="1" applyProtection="1">
      <protection locked="0"/>
    </xf>
    <xf numFmtId="164" fontId="0" fillId="4" borderId="6" xfId="0" applyNumberFormat="1" applyFill="1" applyBorder="1" applyProtection="1">
      <protection locked="0"/>
    </xf>
    <xf numFmtId="4" fontId="0" fillId="0" borderId="6" xfId="0" applyNumberFormat="1" applyBorder="1"/>
    <xf numFmtId="0" fontId="0" fillId="0" borderId="4" xfId="0" applyBorder="1"/>
    <xf numFmtId="0" fontId="0" fillId="0" borderId="9" xfId="0" applyBorder="1"/>
    <xf numFmtId="0" fontId="0" fillId="0" borderId="5" xfId="0" applyBorder="1"/>
    <xf numFmtId="0" fontId="0" fillId="3" borderId="7" xfId="0" applyFill="1" applyBorder="1" applyAlignment="1"/>
    <xf numFmtId="4" fontId="0" fillId="3" borderId="14" xfId="0" applyNumberFormat="1" applyFill="1" applyBorder="1"/>
    <xf numFmtId="1" fontId="0" fillId="0" borderId="15" xfId="0" applyNumberFormat="1" applyBorder="1"/>
    <xf numFmtId="49" fontId="0" fillId="0" borderId="15" xfId="0" applyNumberFormat="1" applyBorder="1"/>
    <xf numFmtId="4" fontId="0" fillId="3" borderId="15" xfId="0" applyNumberFormat="1" applyFill="1" applyBorder="1"/>
    <xf numFmtId="10" fontId="0" fillId="3" borderId="15" xfId="0" applyNumberFormat="1" applyFill="1" applyBorder="1"/>
    <xf numFmtId="1" fontId="0" fillId="0" borderId="16" xfId="0" applyNumberFormat="1" applyBorder="1"/>
    <xf numFmtId="49" fontId="0" fillId="0" borderId="16" xfId="0" applyNumberFormat="1" applyBorder="1"/>
    <xf numFmtId="10" fontId="0" fillId="3" borderId="16" xfId="0" applyNumberFormat="1" applyFill="1" applyBorder="1"/>
    <xf numFmtId="49" fontId="0" fillId="3" borderId="10" xfId="0" applyNumberFormat="1" applyFill="1" applyBorder="1" applyAlignment="1"/>
    <xf numFmtId="4" fontId="0" fillId="4" borderId="14" xfId="0" applyNumberFormat="1" applyFill="1" applyBorder="1" applyProtection="1">
      <protection locked="0"/>
    </xf>
    <xf numFmtId="164" fontId="0" fillId="3" borderId="14" xfId="0" applyNumberFormat="1" applyFill="1" applyBorder="1" applyProtection="1">
      <protection locked="0"/>
    </xf>
    <xf numFmtId="164" fontId="0" fillId="3" borderId="15" xfId="0" applyNumberFormat="1" applyFill="1" applyBorder="1" applyProtection="1">
      <protection locked="0"/>
    </xf>
    <xf numFmtId="4" fontId="0" fillId="4" borderId="15" xfId="0" applyNumberFormat="1" applyFill="1" applyBorder="1" applyProtection="1">
      <protection locked="0"/>
    </xf>
    <xf numFmtId="164" fontId="0" fillId="3" borderId="16" xfId="0" applyNumberFormat="1" applyFill="1" applyBorder="1" applyProtection="1">
      <protection locked="0"/>
    </xf>
    <xf numFmtId="164" fontId="0" fillId="3" borderId="11" xfId="0" applyNumberFormat="1" applyFill="1" applyBorder="1"/>
    <xf numFmtId="4" fontId="0" fillId="3" borderId="14" xfId="0" applyNumberFormat="1" applyFill="1" applyBorder="1" applyProtection="1">
      <protection locked="0"/>
    </xf>
    <xf numFmtId="4" fontId="0" fillId="4" borderId="16" xfId="0" applyNumberFormat="1" applyFill="1" applyBorder="1" applyProtection="1">
      <protection locked="0"/>
    </xf>
    <xf numFmtId="4" fontId="0" fillId="3" borderId="16" xfId="0" applyNumberFormat="1" applyFill="1" applyBorder="1" applyProtection="1">
      <protection locked="0"/>
    </xf>
    <xf numFmtId="0" fontId="0" fillId="3" borderId="12" xfId="0" applyFill="1" applyBorder="1"/>
    <xf numFmtId="4" fontId="0" fillId="3" borderId="15" xfId="0" applyNumberFormat="1" applyFill="1" applyBorder="1" applyProtection="1">
      <protection locked="0"/>
    </xf>
    <xf numFmtId="0" fontId="0" fillId="3" borderId="10" xfId="0" applyFill="1" applyBorder="1" applyAlignment="1"/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3" borderId="12" xfId="0" applyNumberFormat="1" applyFill="1" applyBorder="1"/>
    <xf numFmtId="49" fontId="0" fillId="3" borderId="14" xfId="0" applyNumberFormat="1" applyFill="1" applyBorder="1" applyAlignment="1">
      <alignment wrapText="1"/>
    </xf>
    <xf numFmtId="49" fontId="0" fillId="3" borderId="15" xfId="0" applyNumberFormat="1" applyFill="1" applyBorder="1" applyAlignment="1">
      <alignment wrapText="1"/>
    </xf>
    <xf numFmtId="49" fontId="0" fillId="3" borderId="16" xfId="0" applyNumberFormat="1" applyFill="1" applyBorder="1" applyAlignment="1">
      <alignment wrapText="1"/>
    </xf>
    <xf numFmtId="4" fontId="0" fillId="3" borderId="16" xfId="0" applyNumberFormat="1" applyFill="1" applyBorder="1"/>
    <xf numFmtId="10" fontId="0" fillId="3" borderId="6" xfId="0" applyNumberFormat="1" applyFill="1" applyBorder="1"/>
    <xf numFmtId="4" fontId="0" fillId="4" borderId="15" xfId="0" applyNumberFormat="1" applyFill="1" applyBorder="1" applyProtection="1">
      <protection locked="0"/>
    </xf>
    <xf numFmtId="0" fontId="3" fillId="5" borderId="17" xfId="1" applyFont="1" applyFill="1" applyBorder="1"/>
    <xf numFmtId="0" fontId="4" fillId="5" borderId="17" xfId="1" applyFont="1" applyFill="1" applyBorder="1"/>
    <xf numFmtId="164" fontId="3" fillId="6" borderId="17" xfId="1" applyNumberFormat="1" applyFont="1" applyFill="1" applyBorder="1"/>
  </cellXfs>
  <cellStyles count="2">
    <cellStyle name="Standaard" xfId="0" builtinId="0"/>
    <cellStyle name="Standaard 2" xfId="1" xr:uid="{05B3F35A-A9D2-4C15-B62C-DE847A07596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ED60C-332A-45B5-B48A-59311A67D72D}">
  <dimension ref="A1:B33"/>
  <sheetViews>
    <sheetView workbookViewId="0"/>
  </sheetViews>
  <sheetFormatPr defaultRowHeight="12.75" x14ac:dyDescent="0.2"/>
  <sheetData>
    <row r="1" spans="1:2" x14ac:dyDescent="0.2">
      <c r="A1" s="1" t="s">
        <v>0</v>
      </c>
    </row>
    <row r="3" spans="1:2" x14ac:dyDescent="0.2">
      <c r="A3" t="s">
        <v>1</v>
      </c>
    </row>
    <row r="5" spans="1:2" x14ac:dyDescent="0.2">
      <c r="A5" t="s">
        <v>2</v>
      </c>
      <c r="B5" t="s">
        <v>3</v>
      </c>
    </row>
    <row r="7" spans="1:2" x14ac:dyDescent="0.2">
      <c r="A7" s="4" t="s">
        <v>4</v>
      </c>
      <c r="B7" s="5"/>
    </row>
    <row r="8" spans="1:2" x14ac:dyDescent="0.2">
      <c r="A8" s="2"/>
      <c r="B8" s="3"/>
    </row>
    <row r="9" spans="1:2" x14ac:dyDescent="0.2">
      <c r="A9" s="2" t="s">
        <v>5</v>
      </c>
      <c r="B9" s="3">
        <v>245</v>
      </c>
    </row>
    <row r="10" spans="1:2" x14ac:dyDescent="0.2">
      <c r="A10" s="2" t="s">
        <v>6</v>
      </c>
      <c r="B10" s="3">
        <v>5</v>
      </c>
    </row>
    <row r="11" spans="1:2" x14ac:dyDescent="0.2">
      <c r="A11" s="2"/>
      <c r="B11" s="3"/>
    </row>
    <row r="12" spans="1:2" x14ac:dyDescent="0.2">
      <c r="A12" s="2" t="s">
        <v>7</v>
      </c>
      <c r="B12" s="3" t="s">
        <v>8</v>
      </c>
    </row>
    <row r="13" spans="1:2" x14ac:dyDescent="0.2">
      <c r="A13" s="2" t="s">
        <v>9</v>
      </c>
      <c r="B13" s="3">
        <f t="shared" ref="B13:B33" si="0">IF(A13="2½W",2.5/dagenperweek1,IF(RIGHT(A13,1)="W",VALUE(LEFT(A13,LEN(A13)-1))/dagenperweek1,IF(RIGHT(A13,1)="J",VALUE(LEFT(A13,LEN(A13)-1))/dagenperjaar1,"handmatig!")))</f>
        <v>1</v>
      </c>
    </row>
    <row r="14" spans="1:2" x14ac:dyDescent="0.2">
      <c r="A14" s="2" t="s">
        <v>10</v>
      </c>
      <c r="B14" s="3">
        <f t="shared" si="0"/>
        <v>0.81632653061224492</v>
      </c>
    </row>
    <row r="15" spans="1:2" x14ac:dyDescent="0.2">
      <c r="A15" s="2" t="s">
        <v>11</v>
      </c>
      <c r="B15" s="3">
        <f t="shared" si="0"/>
        <v>0.8</v>
      </c>
    </row>
    <row r="16" spans="1:2" x14ac:dyDescent="0.2">
      <c r="A16" s="2" t="s">
        <v>12</v>
      </c>
      <c r="B16" s="3">
        <f t="shared" si="0"/>
        <v>0.79591836734693877</v>
      </c>
    </row>
    <row r="17" spans="1:2" x14ac:dyDescent="0.2">
      <c r="A17" s="2" t="s">
        <v>13</v>
      </c>
      <c r="B17" s="3">
        <f t="shared" si="0"/>
        <v>0.63673469387755099</v>
      </c>
    </row>
    <row r="18" spans="1:2" x14ac:dyDescent="0.2">
      <c r="A18" s="2" t="s">
        <v>14</v>
      </c>
      <c r="B18" s="3">
        <f t="shared" si="0"/>
        <v>0.6</v>
      </c>
    </row>
    <row r="19" spans="1:2" x14ac:dyDescent="0.2">
      <c r="A19" s="2" t="s">
        <v>15</v>
      </c>
      <c r="B19" s="3">
        <f t="shared" si="0"/>
        <v>0.47755102040816327</v>
      </c>
    </row>
    <row r="20" spans="1:2" x14ac:dyDescent="0.2">
      <c r="A20" s="2" t="s">
        <v>16</v>
      </c>
      <c r="B20" s="3">
        <f t="shared" si="0"/>
        <v>0.4</v>
      </c>
    </row>
    <row r="21" spans="1:2" x14ac:dyDescent="0.2">
      <c r="A21" s="2" t="s">
        <v>17</v>
      </c>
      <c r="B21" s="3">
        <f t="shared" si="0"/>
        <v>0.20408163265306123</v>
      </c>
    </row>
    <row r="22" spans="1:2" x14ac:dyDescent="0.2">
      <c r="A22" s="2" t="s">
        <v>18</v>
      </c>
      <c r="B22" s="3">
        <f t="shared" si="0"/>
        <v>0.2</v>
      </c>
    </row>
    <row r="23" spans="1:2" x14ac:dyDescent="0.2">
      <c r="A23" s="2" t="s">
        <v>19</v>
      </c>
      <c r="B23" s="3">
        <f t="shared" si="0"/>
        <v>0.16326530612244897</v>
      </c>
    </row>
    <row r="24" spans="1:2" x14ac:dyDescent="0.2">
      <c r="A24" s="2" t="s">
        <v>20</v>
      </c>
      <c r="B24" s="3">
        <f t="shared" si="0"/>
        <v>0.15918367346938775</v>
      </c>
    </row>
    <row r="25" spans="1:2" x14ac:dyDescent="0.2">
      <c r="A25" s="2" t="s">
        <v>21</v>
      </c>
      <c r="B25" s="3">
        <f t="shared" si="0"/>
        <v>0.10612244897959183</v>
      </c>
    </row>
    <row r="26" spans="1:2" x14ac:dyDescent="0.2">
      <c r="A26" s="2" t="s">
        <v>22</v>
      </c>
      <c r="B26" s="3">
        <f t="shared" si="0"/>
        <v>8.1632653061224483E-2</v>
      </c>
    </row>
    <row r="27" spans="1:2" x14ac:dyDescent="0.2">
      <c r="A27" s="2" t="s">
        <v>23</v>
      </c>
      <c r="B27" s="3">
        <f t="shared" si="0"/>
        <v>4.8979591836734691E-2</v>
      </c>
    </row>
    <row r="28" spans="1:2" x14ac:dyDescent="0.2">
      <c r="A28" s="2" t="s">
        <v>24</v>
      </c>
      <c r="B28" s="3">
        <f t="shared" si="0"/>
        <v>4.0816326530612242E-2</v>
      </c>
    </row>
    <row r="29" spans="1:2" x14ac:dyDescent="0.2">
      <c r="A29" s="2" t="s">
        <v>25</v>
      </c>
      <c r="B29" s="3">
        <f t="shared" si="0"/>
        <v>2.4489795918367346E-2</v>
      </c>
    </row>
    <row r="30" spans="1:2" x14ac:dyDescent="0.2">
      <c r="A30" s="2" t="s">
        <v>26</v>
      </c>
      <c r="B30" s="3">
        <f t="shared" si="0"/>
        <v>1.6326530612244899E-2</v>
      </c>
    </row>
    <row r="31" spans="1:2" x14ac:dyDescent="0.2">
      <c r="A31" s="2" t="s">
        <v>27</v>
      </c>
      <c r="B31" s="3">
        <f t="shared" si="0"/>
        <v>1.2244897959183673E-2</v>
      </c>
    </row>
    <row r="32" spans="1:2" x14ac:dyDescent="0.2">
      <c r="A32" s="2" t="s">
        <v>28</v>
      </c>
      <c r="B32" s="3">
        <f t="shared" si="0"/>
        <v>8.1632653061224497E-3</v>
      </c>
    </row>
    <row r="33" spans="1:2" x14ac:dyDescent="0.2">
      <c r="A33" s="6" t="s">
        <v>29</v>
      </c>
      <c r="B33" s="7">
        <f t="shared" si="0"/>
        <v>4.0816326530612249E-3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15C36-D9A0-4BE2-94F9-9D58D3173E6C}">
  <dimension ref="A1:M13"/>
  <sheetViews>
    <sheetView workbookViewId="0">
      <selection activeCell="F9" sqref="F9"/>
    </sheetView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50.625" customWidth="1"/>
    <col min="5" max="6" width="14.625" customWidth="1"/>
    <col min="7" max="9" width="11.625" customWidth="1"/>
    <col min="10" max="10" width="12.625" customWidth="1"/>
    <col min="11" max="11" width="14.625" customWidth="1"/>
    <col min="12" max="13" width="13.625" customWidth="1"/>
  </cols>
  <sheetData>
    <row r="1" spans="1:13" x14ac:dyDescent="0.2">
      <c r="A1" s="1" t="str">
        <f>CONCATENATE("Bijlage I.8: ",tabeltype," regiewerk")</f>
        <v>Bijlage I.8: Invultabel regiewerk</v>
      </c>
    </row>
    <row r="3" spans="1:13" ht="38.25" x14ac:dyDescent="0.2">
      <c r="A3" s="8" t="s">
        <v>307</v>
      </c>
      <c r="B3" s="8" t="s">
        <v>7</v>
      </c>
      <c r="C3" s="8" t="s">
        <v>308</v>
      </c>
      <c r="D3" s="8" t="s">
        <v>33</v>
      </c>
      <c r="E3" s="8" t="s">
        <v>36</v>
      </c>
      <c r="F3" s="8" t="s">
        <v>309</v>
      </c>
      <c r="G3" s="8" t="s">
        <v>310</v>
      </c>
      <c r="H3" s="8" t="s">
        <v>311</v>
      </c>
      <c r="I3" s="8" t="s">
        <v>312</v>
      </c>
      <c r="J3" s="8" t="s">
        <v>313</v>
      </c>
      <c r="K3" s="8" t="s">
        <v>156</v>
      </c>
      <c r="L3" s="8" t="s">
        <v>274</v>
      </c>
      <c r="M3" s="8" t="s">
        <v>155</v>
      </c>
    </row>
    <row r="4" spans="1:13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1"/>
    </row>
    <row r="5" spans="1:13" x14ac:dyDescent="0.2">
      <c r="A5" s="12" t="s">
        <v>38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4"/>
    </row>
    <row r="6" spans="1:13" x14ac:dyDescent="0.2">
      <c r="A6" s="15" t="s">
        <v>408</v>
      </c>
      <c r="B6" s="15" t="s">
        <v>24</v>
      </c>
      <c r="C6" s="16">
        <f>IF(ISBLANK(B6),0,IF(ISERROR(VALUE(B6)),VLOOKUP(B6,dagsoorttabel1,2,FALSE)*dagenperjaar1,VALUE(B6)))</f>
        <v>10</v>
      </c>
      <c r="D6" s="15" t="s">
        <v>409</v>
      </c>
      <c r="E6" s="15" t="s">
        <v>327</v>
      </c>
      <c r="F6" s="78">
        <v>15</v>
      </c>
      <c r="G6" s="19"/>
      <c r="H6" s="84"/>
      <c r="I6" s="19"/>
      <c r="J6" s="33">
        <f>IF(ISBLANK(F6),0,F6)*I6</f>
        <v>0</v>
      </c>
      <c r="K6" s="33">
        <f>C6*J6</f>
        <v>0</v>
      </c>
      <c r="L6" s="33">
        <f t="shared" ref="L6:L11" si="0">K6/12</f>
        <v>0</v>
      </c>
      <c r="M6" s="30" t="str">
        <f>IF(AND(SUM(K6)&gt;0,SUM(G6)&lt;=0),"INCOMPLEET",IF(SUM(G6)&gt;0,K6/G6,""))</f>
        <v/>
      </c>
    </row>
    <row r="7" spans="1:13" x14ac:dyDescent="0.2">
      <c r="A7" s="20" t="s">
        <v>410</v>
      </c>
      <c r="B7" s="20" t="s">
        <v>26</v>
      </c>
      <c r="C7" s="21">
        <f>IF(ISBLANK(B7),0,IF(ISERROR(VALUE(B7)),VLOOKUP(B7,dagsoorttabel1,2,FALSE)*dagenperjaar1,VALUE(B7)))</f>
        <v>4</v>
      </c>
      <c r="D7" s="20" t="s">
        <v>220</v>
      </c>
      <c r="E7" s="20" t="s">
        <v>316</v>
      </c>
      <c r="F7" s="99">
        <v>1500</v>
      </c>
      <c r="G7" s="24"/>
      <c r="H7" s="22"/>
      <c r="I7" s="80"/>
      <c r="J7" s="37">
        <f>IF(ISBLANK(H7),0,F7 / H7 * G7)</f>
        <v>0</v>
      </c>
      <c r="K7" s="37">
        <f>C7*J7</f>
        <v>0</v>
      </c>
      <c r="L7" s="37">
        <f t="shared" si="0"/>
        <v>0</v>
      </c>
      <c r="M7" s="34" t="str">
        <f>IF(AND(SUM(K7)&gt;0,SUM(G7)&lt;=0),"INCOMPLEET",IF(SUM(G7)&gt;0,K7/G7,""))</f>
        <v/>
      </c>
    </row>
    <row r="8" spans="1:13" x14ac:dyDescent="0.2">
      <c r="A8" s="20" t="s">
        <v>411</v>
      </c>
      <c r="B8" s="20" t="s">
        <v>24</v>
      </c>
      <c r="C8" s="21">
        <f>IF(ISBLANK(B8),0,IF(ISERROR(VALUE(B8)),VLOOKUP(B8,dagsoorttabel1,2,FALSE)*dagenperjaar1,VALUE(B8)))</f>
        <v>10</v>
      </c>
      <c r="D8" s="20" t="s">
        <v>412</v>
      </c>
      <c r="E8" s="20" t="s">
        <v>327</v>
      </c>
      <c r="F8" s="81">
        <v>8</v>
      </c>
      <c r="G8" s="24"/>
      <c r="H8" s="88"/>
      <c r="I8" s="24"/>
      <c r="J8" s="37">
        <f>IF(ISBLANK(F8),0,F8)*I8</f>
        <v>0</v>
      </c>
      <c r="K8" s="37">
        <f>C8*J8</f>
        <v>0</v>
      </c>
      <c r="L8" s="37">
        <f t="shared" si="0"/>
        <v>0</v>
      </c>
      <c r="M8" s="34" t="str">
        <f>IF(AND(SUM(K8)&gt;0,SUM(G8)&lt;=0),"INCOMPLEET",IF(SUM(G8)&gt;0,K8/G8,""))</f>
        <v/>
      </c>
    </row>
    <row r="9" spans="1:13" x14ac:dyDescent="0.2">
      <c r="A9" s="20" t="s">
        <v>413</v>
      </c>
      <c r="B9" s="20" t="s">
        <v>24</v>
      </c>
      <c r="C9" s="21">
        <f>IF(ISBLANK(B9),0,IF(ISERROR(VALUE(B9)),VLOOKUP(B9,dagsoorttabel1,2,FALSE)*dagenperjaar1,VALUE(B9)))</f>
        <v>10</v>
      </c>
      <c r="D9" s="20" t="s">
        <v>414</v>
      </c>
      <c r="E9" s="20" t="s">
        <v>327</v>
      </c>
      <c r="F9" s="81">
        <v>10</v>
      </c>
      <c r="G9" s="24"/>
      <c r="H9" s="88"/>
      <c r="I9" s="24"/>
      <c r="J9" s="37">
        <f>IF(ISBLANK(F9),0,F9)*I9</f>
        <v>0</v>
      </c>
      <c r="K9" s="37">
        <f>C9*J9</f>
        <v>0</v>
      </c>
      <c r="L9" s="37">
        <f t="shared" si="0"/>
        <v>0</v>
      </c>
      <c r="M9" s="34" t="str">
        <f>IF(AND(SUM(K9)&gt;0,SUM(G9)&lt;=0),"INCOMPLEET",IF(SUM(G9)&gt;0,K9/G9,""))</f>
        <v/>
      </c>
    </row>
    <row r="10" spans="1:13" x14ac:dyDescent="0.2">
      <c r="A10" s="25" t="s">
        <v>415</v>
      </c>
      <c r="B10" s="25" t="s">
        <v>24</v>
      </c>
      <c r="C10" s="26">
        <f>IF(ISBLANK(B10),0,IF(ISERROR(VALUE(B10)),VLOOKUP(B10,dagsoorttabel1,2,FALSE)*dagenperjaar1,VALUE(B10)))</f>
        <v>10</v>
      </c>
      <c r="D10" s="25" t="s">
        <v>416</v>
      </c>
      <c r="E10" s="25" t="s">
        <v>327</v>
      </c>
      <c r="F10" s="85">
        <v>4</v>
      </c>
      <c r="G10" s="29"/>
      <c r="H10" s="86"/>
      <c r="I10" s="29"/>
      <c r="J10" s="41">
        <f>IF(ISBLANK(F10),0,F10)*I10</f>
        <v>0</v>
      </c>
      <c r="K10" s="41">
        <f>C10*J10</f>
        <v>0</v>
      </c>
      <c r="L10" s="41">
        <f t="shared" si="0"/>
        <v>0</v>
      </c>
      <c r="M10" s="39" t="str">
        <f>IF(AND(SUM(K10)&gt;0,SUM(G10)&lt;=0),"INCOMPLEET",IF(SUM(G10)&gt;0,K10/G10,""))</f>
        <v/>
      </c>
    </row>
    <row r="11" spans="1:13" x14ac:dyDescent="0.2">
      <c r="A11" s="42" t="s">
        <v>231</v>
      </c>
      <c r="B11" s="43"/>
      <c r="C11" s="43"/>
      <c r="D11" s="43"/>
      <c r="E11" s="43"/>
      <c r="F11" s="43"/>
      <c r="G11" s="43"/>
      <c r="H11" s="43"/>
      <c r="I11" s="43"/>
      <c r="J11" s="43"/>
      <c r="K11" s="45">
        <f>SUM(K6:K10)</f>
        <v>0</v>
      </c>
      <c r="L11" s="83">
        <f t="shared" si="0"/>
        <v>0</v>
      </c>
      <c r="M11" s="44">
        <f>SUM(M6:M10)</f>
        <v>0</v>
      </c>
    </row>
    <row r="13" spans="1:13" x14ac:dyDescent="0.2">
      <c r="A13" s="42" t="s">
        <v>417</v>
      </c>
      <c r="B13" s="43"/>
      <c r="C13" s="43"/>
      <c r="D13" s="43"/>
      <c r="E13" s="43"/>
      <c r="F13" s="43"/>
      <c r="G13" s="43"/>
      <c r="H13" s="43"/>
      <c r="I13" s="43"/>
      <c r="J13" s="43"/>
      <c r="K13" s="45">
        <f>prijsjaarregie1</f>
        <v>0</v>
      </c>
      <c r="L13" s="83">
        <f>K13/12</f>
        <v>0</v>
      </c>
      <c r="M13" s="44">
        <f>urenjaarregie1</f>
        <v>0</v>
      </c>
    </row>
  </sheetData>
  <pageMargins left="0.7" right="0.7" top="0.75" bottom="0.75" header="0.3" footer="0.3"/>
  <pageSetup paperSize="9" scale="65" orientation="landscape" r:id="rId1"/>
  <headerFooter>
    <oddFooter>&amp;LHogeschool der Kunsten Den Haag EA 2023                     &amp;ROpmaakdatum: 13-03-2023
Intexso - De Start 5 - Leusden
+31 (33) 2778485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6CF2D-43B7-4A3C-9C5E-4E1C4C62F8DE}">
  <dimension ref="A1:M17"/>
  <sheetViews>
    <sheetView workbookViewId="0">
      <selection activeCell="A14" sqref="A14:XFD14"/>
    </sheetView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50.625" customWidth="1"/>
    <col min="5" max="6" width="14.625" customWidth="1"/>
    <col min="7" max="9" width="11.625" customWidth="1"/>
    <col min="10" max="10" width="12.625" customWidth="1"/>
    <col min="11" max="11" width="14.625" customWidth="1"/>
    <col min="12" max="13" width="13.625" customWidth="1"/>
  </cols>
  <sheetData>
    <row r="1" spans="1:13" x14ac:dyDescent="0.2">
      <c r="A1" s="1" t="str">
        <f>CONCATENATE("Bijlage I.9: ",tabeltype," glas")</f>
        <v>Bijlage I.9: Invultabel glas</v>
      </c>
    </row>
    <row r="3" spans="1:13" ht="38.25" x14ac:dyDescent="0.2">
      <c r="A3" s="8" t="s">
        <v>307</v>
      </c>
      <c r="B3" s="8" t="s">
        <v>7</v>
      </c>
      <c r="C3" s="8" t="s">
        <v>308</v>
      </c>
      <c r="D3" s="8" t="s">
        <v>33</v>
      </c>
      <c r="E3" s="8" t="s">
        <v>36</v>
      </c>
      <c r="F3" s="8" t="s">
        <v>309</v>
      </c>
      <c r="G3" s="8" t="s">
        <v>310</v>
      </c>
      <c r="H3" s="8" t="s">
        <v>311</v>
      </c>
      <c r="I3" s="8" t="s">
        <v>312</v>
      </c>
      <c r="J3" s="8" t="s">
        <v>313</v>
      </c>
      <c r="K3" s="8" t="s">
        <v>156</v>
      </c>
      <c r="L3" s="8" t="s">
        <v>274</v>
      </c>
      <c r="M3" s="8" t="s">
        <v>155</v>
      </c>
    </row>
    <row r="4" spans="1:13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1"/>
    </row>
    <row r="5" spans="1:13" x14ac:dyDescent="0.2">
      <c r="A5" s="12" t="s">
        <v>38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4"/>
    </row>
    <row r="6" spans="1:13" x14ac:dyDescent="0.2">
      <c r="A6" s="15" t="s">
        <v>418</v>
      </c>
      <c r="B6" s="15" t="s">
        <v>23</v>
      </c>
      <c r="C6" s="16">
        <f t="shared" ref="C6:C14" si="0">IF(ISBLANK(B6),0,IF(ISERROR(VALUE(B6)),VLOOKUP(B6,dagsoorttabel1,2,FALSE)*dagenperjaar1,VALUE(B6)))</f>
        <v>12</v>
      </c>
      <c r="D6" s="15" t="s">
        <v>419</v>
      </c>
      <c r="E6" s="15" t="s">
        <v>353</v>
      </c>
      <c r="F6" s="78">
        <v>112.7</v>
      </c>
      <c r="G6" s="19"/>
      <c r="H6" s="84"/>
      <c r="I6" s="19"/>
      <c r="J6" s="33">
        <f t="shared" ref="J6:J12" si="1">IF(ISBLANK(F6),0,F6)*I6</f>
        <v>0</v>
      </c>
      <c r="K6" s="33">
        <f t="shared" ref="K6:K14" si="2">C6*J6</f>
        <v>0</v>
      </c>
      <c r="L6" s="33">
        <f t="shared" ref="L6:L15" si="3">K6/12</f>
        <v>0</v>
      </c>
      <c r="M6" s="30" t="str">
        <f t="shared" ref="M6:M14" si="4">IF(AND(SUM(K6)&gt;0,SUM(G6)&lt;=0),"INCOMPLEET",IF(SUM(G6)&gt;0,K6/G6,""))</f>
        <v/>
      </c>
    </row>
    <row r="7" spans="1:13" x14ac:dyDescent="0.2">
      <c r="A7" s="20" t="s">
        <v>418</v>
      </c>
      <c r="B7" s="20" t="s">
        <v>28</v>
      </c>
      <c r="C7" s="21">
        <f t="shared" si="0"/>
        <v>2</v>
      </c>
      <c r="D7" s="20" t="s">
        <v>419</v>
      </c>
      <c r="E7" s="20" t="s">
        <v>353</v>
      </c>
      <c r="F7" s="81">
        <v>3050</v>
      </c>
      <c r="G7" s="24"/>
      <c r="H7" s="88"/>
      <c r="I7" s="24"/>
      <c r="J7" s="37">
        <f t="shared" si="1"/>
        <v>0</v>
      </c>
      <c r="K7" s="37">
        <f t="shared" si="2"/>
        <v>0</v>
      </c>
      <c r="L7" s="37">
        <f t="shared" si="3"/>
        <v>0</v>
      </c>
      <c r="M7" s="34" t="str">
        <f t="shared" si="4"/>
        <v/>
      </c>
    </row>
    <row r="8" spans="1:13" x14ac:dyDescent="0.2">
      <c r="A8" s="20" t="s">
        <v>420</v>
      </c>
      <c r="B8" s="20" t="s">
        <v>23</v>
      </c>
      <c r="C8" s="21">
        <f t="shared" si="0"/>
        <v>12</v>
      </c>
      <c r="D8" s="20" t="s">
        <v>421</v>
      </c>
      <c r="E8" s="20" t="s">
        <v>353</v>
      </c>
      <c r="F8" s="81">
        <v>112.7</v>
      </c>
      <c r="G8" s="24"/>
      <c r="H8" s="88"/>
      <c r="I8" s="24"/>
      <c r="J8" s="37">
        <f t="shared" si="1"/>
        <v>0</v>
      </c>
      <c r="K8" s="37">
        <f t="shared" si="2"/>
        <v>0</v>
      </c>
      <c r="L8" s="37">
        <f t="shared" si="3"/>
        <v>0</v>
      </c>
      <c r="M8" s="34" t="str">
        <f t="shared" si="4"/>
        <v/>
      </c>
    </row>
    <row r="9" spans="1:13" x14ac:dyDescent="0.2">
      <c r="A9" s="20" t="s">
        <v>420</v>
      </c>
      <c r="B9" s="20" t="s">
        <v>28</v>
      </c>
      <c r="C9" s="21">
        <f t="shared" si="0"/>
        <v>2</v>
      </c>
      <c r="D9" s="20" t="s">
        <v>421</v>
      </c>
      <c r="E9" s="20" t="s">
        <v>353</v>
      </c>
      <c r="F9" s="81">
        <v>3050</v>
      </c>
      <c r="G9" s="24"/>
      <c r="H9" s="88"/>
      <c r="I9" s="24"/>
      <c r="J9" s="37">
        <f t="shared" si="1"/>
        <v>0</v>
      </c>
      <c r="K9" s="37">
        <f t="shared" si="2"/>
        <v>0</v>
      </c>
      <c r="L9" s="37">
        <f t="shared" si="3"/>
        <v>0</v>
      </c>
      <c r="M9" s="34" t="str">
        <f t="shared" si="4"/>
        <v/>
      </c>
    </row>
    <row r="10" spans="1:13" x14ac:dyDescent="0.2">
      <c r="A10" s="20" t="s">
        <v>422</v>
      </c>
      <c r="B10" s="20" t="s">
        <v>23</v>
      </c>
      <c r="C10" s="21">
        <f t="shared" si="0"/>
        <v>12</v>
      </c>
      <c r="D10" s="20" t="s">
        <v>423</v>
      </c>
      <c r="E10" s="20" t="s">
        <v>353</v>
      </c>
      <c r="F10" s="81">
        <v>75.81</v>
      </c>
      <c r="G10" s="24"/>
      <c r="H10" s="88"/>
      <c r="I10" s="24"/>
      <c r="J10" s="37">
        <f t="shared" si="1"/>
        <v>0</v>
      </c>
      <c r="K10" s="37">
        <f t="shared" si="2"/>
        <v>0</v>
      </c>
      <c r="L10" s="37">
        <f t="shared" si="3"/>
        <v>0</v>
      </c>
      <c r="M10" s="34" t="str">
        <f t="shared" si="4"/>
        <v/>
      </c>
    </row>
    <row r="11" spans="1:13" x14ac:dyDescent="0.2">
      <c r="A11" s="20" t="s">
        <v>422</v>
      </c>
      <c r="B11" s="20" t="s">
        <v>28</v>
      </c>
      <c r="C11" s="21">
        <f t="shared" si="0"/>
        <v>2</v>
      </c>
      <c r="D11" s="20" t="s">
        <v>423</v>
      </c>
      <c r="E11" s="20" t="s">
        <v>353</v>
      </c>
      <c r="F11" s="81">
        <v>1850</v>
      </c>
      <c r="G11" s="24"/>
      <c r="H11" s="88"/>
      <c r="I11" s="24"/>
      <c r="J11" s="37">
        <f t="shared" si="1"/>
        <v>0</v>
      </c>
      <c r="K11" s="37">
        <f t="shared" si="2"/>
        <v>0</v>
      </c>
      <c r="L11" s="37">
        <f t="shared" si="3"/>
        <v>0</v>
      </c>
      <c r="M11" s="34" t="str">
        <f t="shared" si="4"/>
        <v/>
      </c>
    </row>
    <row r="12" spans="1:13" x14ac:dyDescent="0.2">
      <c r="A12" s="20" t="s">
        <v>424</v>
      </c>
      <c r="B12" s="20" t="s">
        <v>28</v>
      </c>
      <c r="C12" s="21">
        <f t="shared" si="0"/>
        <v>2</v>
      </c>
      <c r="D12" s="20" t="s">
        <v>425</v>
      </c>
      <c r="E12" s="20" t="s">
        <v>353</v>
      </c>
      <c r="F12" s="81">
        <v>400</v>
      </c>
      <c r="G12" s="24"/>
      <c r="H12" s="88"/>
      <c r="I12" s="24"/>
      <c r="J12" s="37">
        <f t="shared" si="1"/>
        <v>0</v>
      </c>
      <c r="K12" s="37">
        <f t="shared" si="2"/>
        <v>0</v>
      </c>
      <c r="L12" s="37">
        <f t="shared" si="3"/>
        <v>0</v>
      </c>
      <c r="M12" s="34" t="str">
        <f t="shared" si="4"/>
        <v/>
      </c>
    </row>
    <row r="13" spans="1:13" x14ac:dyDescent="0.2">
      <c r="A13" s="20" t="s">
        <v>426</v>
      </c>
      <c r="B13" s="20" t="s">
        <v>28</v>
      </c>
      <c r="C13" s="21">
        <f t="shared" si="0"/>
        <v>2</v>
      </c>
      <c r="D13" s="20" t="s">
        <v>427</v>
      </c>
      <c r="E13" s="20" t="s">
        <v>428</v>
      </c>
      <c r="F13" s="81">
        <v>1</v>
      </c>
      <c r="G13" s="24"/>
      <c r="H13" s="88"/>
      <c r="I13" s="24"/>
      <c r="J13" s="37">
        <f>IF(ISBLANK(F13),1,F13)*I13</f>
        <v>0</v>
      </c>
      <c r="K13" s="37">
        <f t="shared" si="2"/>
        <v>0</v>
      </c>
      <c r="L13" s="37">
        <f t="shared" si="3"/>
        <v>0</v>
      </c>
      <c r="M13" s="34" t="str">
        <f t="shared" si="4"/>
        <v/>
      </c>
    </row>
    <row r="14" spans="1:13" x14ac:dyDescent="0.2">
      <c r="A14" s="25" t="s">
        <v>429</v>
      </c>
      <c r="B14" s="25" t="s">
        <v>28</v>
      </c>
      <c r="C14" s="26">
        <f t="shared" si="0"/>
        <v>2</v>
      </c>
      <c r="D14" s="25" t="s">
        <v>430</v>
      </c>
      <c r="E14" s="25" t="s">
        <v>428</v>
      </c>
      <c r="F14" s="85">
        <v>1</v>
      </c>
      <c r="G14" s="29"/>
      <c r="H14" s="86"/>
      <c r="I14" s="29"/>
      <c r="J14" s="41">
        <f>IF(ISBLANK(F14),1,F14)*I14</f>
        <v>0</v>
      </c>
      <c r="K14" s="41">
        <f t="shared" si="2"/>
        <v>0</v>
      </c>
      <c r="L14" s="41">
        <f t="shared" si="3"/>
        <v>0</v>
      </c>
      <c r="M14" s="39" t="str">
        <f t="shared" si="4"/>
        <v/>
      </c>
    </row>
    <row r="15" spans="1:13" x14ac:dyDescent="0.2">
      <c r="A15" s="42" t="s">
        <v>231</v>
      </c>
      <c r="B15" s="43"/>
      <c r="C15" s="43"/>
      <c r="D15" s="43"/>
      <c r="E15" s="43"/>
      <c r="F15" s="43"/>
      <c r="G15" s="43"/>
      <c r="H15" s="43"/>
      <c r="I15" s="43"/>
      <c r="J15" s="43"/>
      <c r="K15" s="45">
        <f>SUM(K6:K14)</f>
        <v>0</v>
      </c>
      <c r="L15" s="83">
        <f t="shared" si="3"/>
        <v>0</v>
      </c>
      <c r="M15" s="44">
        <f>SUM(M6:M14)</f>
        <v>0</v>
      </c>
    </row>
    <row r="17" spans="1:13" x14ac:dyDescent="0.2">
      <c r="A17" s="42" t="s">
        <v>431</v>
      </c>
      <c r="B17" s="43"/>
      <c r="C17" s="43"/>
      <c r="D17" s="43"/>
      <c r="E17" s="43"/>
      <c r="F17" s="43"/>
      <c r="G17" s="43"/>
      <c r="H17" s="43"/>
      <c r="I17" s="43"/>
      <c r="J17" s="43"/>
      <c r="K17" s="45">
        <f>prijsjaarglas1</f>
        <v>0</v>
      </c>
      <c r="L17" s="83">
        <f>K17/12</f>
        <v>0</v>
      </c>
      <c r="M17" s="44">
        <f>urenjaarglas1</f>
        <v>0</v>
      </c>
    </row>
  </sheetData>
  <pageMargins left="0.7" right="0.7" top="0.75" bottom="0.75" header="0.3" footer="0.3"/>
  <pageSetup paperSize="9" scale="65" orientation="landscape" r:id="rId1"/>
  <headerFooter>
    <oddFooter>&amp;LHogeschool der Kunsten Den Haag EA 2023                     &amp;ROpmaakdatum: 13-03-2023
Intexso - De Start 5 - Leusden
+31 (33) 2778485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8DCD1-6F21-41C0-AA41-C7E11D048A49}">
  <dimension ref="A1:M15"/>
  <sheetViews>
    <sheetView workbookViewId="0">
      <selection activeCell="E18" sqref="E18"/>
    </sheetView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11.625" customWidth="1"/>
    <col min="5" max="5" width="50.625" customWidth="1"/>
    <col min="6" max="7" width="14.625" customWidth="1"/>
    <col min="8" max="10" width="11.625" customWidth="1"/>
    <col min="11" max="11" width="12.625" customWidth="1"/>
    <col min="12" max="12" width="14.625" customWidth="1"/>
    <col min="13" max="13" width="13.625" customWidth="1"/>
  </cols>
  <sheetData>
    <row r="1" spans="1:13" x14ac:dyDescent="0.2">
      <c r="A1" s="1" t="str">
        <f>CONCATENATE("Bijlage I.10: ",tabeltype," glas per locatie")</f>
        <v>Bijlage I.10: Invultabel glas per locatie</v>
      </c>
    </row>
    <row r="3" spans="1:13" ht="38.25" x14ac:dyDescent="0.2">
      <c r="A3" s="8" t="s">
        <v>307</v>
      </c>
      <c r="B3" s="8" t="s">
        <v>7</v>
      </c>
      <c r="C3" s="8" t="s">
        <v>308</v>
      </c>
      <c r="D3" s="8" t="s">
        <v>249</v>
      </c>
      <c r="E3" s="8" t="s">
        <v>33</v>
      </c>
      <c r="F3" s="8" t="s">
        <v>36</v>
      </c>
      <c r="G3" s="8" t="s">
        <v>309</v>
      </c>
      <c r="H3" s="8" t="s">
        <v>310</v>
      </c>
      <c r="I3" s="8" t="s">
        <v>311</v>
      </c>
      <c r="J3" s="8" t="s">
        <v>312</v>
      </c>
      <c r="K3" s="8" t="s">
        <v>313</v>
      </c>
      <c r="L3" s="8" t="s">
        <v>156</v>
      </c>
      <c r="M3" s="8" t="s">
        <v>274</v>
      </c>
    </row>
    <row r="5" spans="1:13" x14ac:dyDescent="0.2">
      <c r="A5" s="89" t="s">
        <v>290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87"/>
    </row>
    <row r="6" spans="1:13" x14ac:dyDescent="0.2">
      <c r="A6" s="15" t="s">
        <v>418</v>
      </c>
      <c r="B6" s="15" t="s">
        <v>23</v>
      </c>
      <c r="C6" s="16">
        <f t="shared" ref="C6:C14" si="0">IF(ISBLANK(B6),0,IF(ISERROR(VALUE(B6)),VLOOKUP(B6,dagsoorttabel1,2,FALSE)*dagenperjaar1,VALUE(B6)))</f>
        <v>12</v>
      </c>
      <c r="D6" s="15" t="s">
        <v>256</v>
      </c>
      <c r="E6" s="15" t="s">
        <v>419</v>
      </c>
      <c r="F6" s="15" t="s">
        <v>353</v>
      </c>
      <c r="G6" s="78">
        <v>112.7</v>
      </c>
      <c r="H6" s="90">
        <f>Glas!G6</f>
        <v>0</v>
      </c>
      <c r="I6" s="84"/>
      <c r="J6" s="90">
        <f>Glas!I6</f>
        <v>0</v>
      </c>
      <c r="K6" s="33">
        <f t="shared" ref="K6:K12" si="1">IF(ISBLANK(G6),0,G6)*J6</f>
        <v>0</v>
      </c>
      <c r="L6" s="33">
        <f t="shared" ref="L6:L14" si="2">C6*K6</f>
        <v>0</v>
      </c>
      <c r="M6" s="33">
        <f t="shared" ref="M6:M15" si="3">L6/12</f>
        <v>0</v>
      </c>
    </row>
    <row r="7" spans="1:13" x14ac:dyDescent="0.2">
      <c r="A7" s="20" t="s">
        <v>418</v>
      </c>
      <c r="B7" s="20" t="s">
        <v>28</v>
      </c>
      <c r="C7" s="21">
        <f t="shared" si="0"/>
        <v>2</v>
      </c>
      <c r="D7" s="20" t="s">
        <v>256</v>
      </c>
      <c r="E7" s="20" t="s">
        <v>419</v>
      </c>
      <c r="F7" s="20" t="s">
        <v>353</v>
      </c>
      <c r="G7" s="81">
        <v>3050</v>
      </c>
      <c r="H7" s="91">
        <f>Glas!G7</f>
        <v>0</v>
      </c>
      <c r="I7" s="88"/>
      <c r="J7" s="91">
        <f>Glas!I7</f>
        <v>0</v>
      </c>
      <c r="K7" s="37">
        <f t="shared" si="1"/>
        <v>0</v>
      </c>
      <c r="L7" s="37">
        <f t="shared" si="2"/>
        <v>0</v>
      </c>
      <c r="M7" s="37">
        <f t="shared" si="3"/>
        <v>0</v>
      </c>
    </row>
    <row r="8" spans="1:13" x14ac:dyDescent="0.2">
      <c r="A8" s="20" t="s">
        <v>420</v>
      </c>
      <c r="B8" s="20" t="s">
        <v>23</v>
      </c>
      <c r="C8" s="21">
        <f t="shared" si="0"/>
        <v>12</v>
      </c>
      <c r="D8" s="20" t="s">
        <v>256</v>
      </c>
      <c r="E8" s="20" t="s">
        <v>421</v>
      </c>
      <c r="F8" s="20" t="s">
        <v>353</v>
      </c>
      <c r="G8" s="81">
        <v>112.7</v>
      </c>
      <c r="H8" s="91">
        <f>Glas!G8</f>
        <v>0</v>
      </c>
      <c r="I8" s="88"/>
      <c r="J8" s="91">
        <f>Glas!I8</f>
        <v>0</v>
      </c>
      <c r="K8" s="37">
        <f t="shared" si="1"/>
        <v>0</v>
      </c>
      <c r="L8" s="37">
        <f t="shared" si="2"/>
        <v>0</v>
      </c>
      <c r="M8" s="37">
        <f t="shared" si="3"/>
        <v>0</v>
      </c>
    </row>
    <row r="9" spans="1:13" x14ac:dyDescent="0.2">
      <c r="A9" s="20" t="s">
        <v>420</v>
      </c>
      <c r="B9" s="20" t="s">
        <v>28</v>
      </c>
      <c r="C9" s="21">
        <f t="shared" si="0"/>
        <v>2</v>
      </c>
      <c r="D9" s="20" t="s">
        <v>256</v>
      </c>
      <c r="E9" s="20" t="s">
        <v>421</v>
      </c>
      <c r="F9" s="20" t="s">
        <v>353</v>
      </c>
      <c r="G9" s="81">
        <v>3050</v>
      </c>
      <c r="H9" s="91">
        <f>Glas!G9</f>
        <v>0</v>
      </c>
      <c r="I9" s="88"/>
      <c r="J9" s="91">
        <f>Glas!I9</f>
        <v>0</v>
      </c>
      <c r="K9" s="37">
        <f t="shared" si="1"/>
        <v>0</v>
      </c>
      <c r="L9" s="37">
        <f t="shared" si="2"/>
        <v>0</v>
      </c>
      <c r="M9" s="37">
        <f t="shared" si="3"/>
        <v>0</v>
      </c>
    </row>
    <row r="10" spans="1:13" x14ac:dyDescent="0.2">
      <c r="A10" s="20" t="s">
        <v>422</v>
      </c>
      <c r="B10" s="20" t="s">
        <v>23</v>
      </c>
      <c r="C10" s="21">
        <f t="shared" si="0"/>
        <v>12</v>
      </c>
      <c r="D10" s="20" t="s">
        <v>256</v>
      </c>
      <c r="E10" s="20" t="s">
        <v>423</v>
      </c>
      <c r="F10" s="20" t="s">
        <v>353</v>
      </c>
      <c r="G10" s="81">
        <v>75.81</v>
      </c>
      <c r="H10" s="91">
        <f>Glas!G10</f>
        <v>0</v>
      </c>
      <c r="I10" s="88"/>
      <c r="J10" s="91">
        <f>Glas!I10</f>
        <v>0</v>
      </c>
      <c r="K10" s="37">
        <f t="shared" si="1"/>
        <v>0</v>
      </c>
      <c r="L10" s="37">
        <f t="shared" si="2"/>
        <v>0</v>
      </c>
      <c r="M10" s="37">
        <f t="shared" si="3"/>
        <v>0</v>
      </c>
    </row>
    <row r="11" spans="1:13" x14ac:dyDescent="0.2">
      <c r="A11" s="20" t="s">
        <v>422</v>
      </c>
      <c r="B11" s="20" t="s">
        <v>28</v>
      </c>
      <c r="C11" s="21">
        <f t="shared" si="0"/>
        <v>2</v>
      </c>
      <c r="D11" s="20" t="s">
        <v>256</v>
      </c>
      <c r="E11" s="20" t="s">
        <v>423</v>
      </c>
      <c r="F11" s="20" t="s">
        <v>353</v>
      </c>
      <c r="G11" s="81">
        <v>1850</v>
      </c>
      <c r="H11" s="91">
        <f>Glas!G11</f>
        <v>0</v>
      </c>
      <c r="I11" s="88"/>
      <c r="J11" s="91">
        <f>Glas!I11</f>
        <v>0</v>
      </c>
      <c r="K11" s="37">
        <f t="shared" si="1"/>
        <v>0</v>
      </c>
      <c r="L11" s="37">
        <f t="shared" si="2"/>
        <v>0</v>
      </c>
      <c r="M11" s="37">
        <f t="shared" si="3"/>
        <v>0</v>
      </c>
    </row>
    <row r="12" spans="1:13" x14ac:dyDescent="0.2">
      <c r="A12" s="20" t="s">
        <v>424</v>
      </c>
      <c r="B12" s="20" t="s">
        <v>28</v>
      </c>
      <c r="C12" s="21">
        <f t="shared" si="0"/>
        <v>2</v>
      </c>
      <c r="D12" s="20" t="s">
        <v>256</v>
      </c>
      <c r="E12" s="20" t="s">
        <v>425</v>
      </c>
      <c r="F12" s="20" t="s">
        <v>353</v>
      </c>
      <c r="G12" s="81">
        <v>400</v>
      </c>
      <c r="H12" s="91">
        <f>Glas!G12</f>
        <v>0</v>
      </c>
      <c r="I12" s="88"/>
      <c r="J12" s="91">
        <f>Glas!I12</f>
        <v>0</v>
      </c>
      <c r="K12" s="37">
        <f t="shared" si="1"/>
        <v>0</v>
      </c>
      <c r="L12" s="37">
        <f t="shared" si="2"/>
        <v>0</v>
      </c>
      <c r="M12" s="37">
        <f t="shared" si="3"/>
        <v>0</v>
      </c>
    </row>
    <row r="13" spans="1:13" x14ac:dyDescent="0.2">
      <c r="A13" s="20" t="s">
        <v>426</v>
      </c>
      <c r="B13" s="20" t="s">
        <v>28</v>
      </c>
      <c r="C13" s="21">
        <f t="shared" si="0"/>
        <v>2</v>
      </c>
      <c r="D13" s="20" t="s">
        <v>256</v>
      </c>
      <c r="E13" s="20" t="s">
        <v>427</v>
      </c>
      <c r="F13" s="20" t="s">
        <v>428</v>
      </c>
      <c r="G13" s="81">
        <v>1</v>
      </c>
      <c r="H13" s="91">
        <f>Glas!G13</f>
        <v>0</v>
      </c>
      <c r="I13" s="88"/>
      <c r="J13" s="91">
        <f>Glas!I13</f>
        <v>0</v>
      </c>
      <c r="K13" s="37">
        <f>IF(ISBLANK(G13),1,G13)*J13</f>
        <v>0</v>
      </c>
      <c r="L13" s="37">
        <f t="shared" si="2"/>
        <v>0</v>
      </c>
      <c r="M13" s="37">
        <f t="shared" si="3"/>
        <v>0</v>
      </c>
    </row>
    <row r="14" spans="1:13" x14ac:dyDescent="0.2">
      <c r="A14" s="25" t="s">
        <v>429</v>
      </c>
      <c r="B14" s="25" t="s">
        <v>28</v>
      </c>
      <c r="C14" s="26">
        <f t="shared" si="0"/>
        <v>2</v>
      </c>
      <c r="D14" s="25" t="s">
        <v>256</v>
      </c>
      <c r="E14" s="25" t="s">
        <v>430</v>
      </c>
      <c r="F14" s="25" t="s">
        <v>428</v>
      </c>
      <c r="G14" s="85">
        <v>1</v>
      </c>
      <c r="H14" s="92">
        <f>Glas!G14</f>
        <v>0</v>
      </c>
      <c r="I14" s="86"/>
      <c r="J14" s="92">
        <f>Glas!I14</f>
        <v>0</v>
      </c>
      <c r="K14" s="41">
        <f>IF(ISBLANK(G14),1,G14)*J14</f>
        <v>0</v>
      </c>
      <c r="L14" s="41">
        <f t="shared" si="2"/>
        <v>0</v>
      </c>
      <c r="M14" s="41">
        <f t="shared" si="3"/>
        <v>0</v>
      </c>
    </row>
    <row r="15" spans="1:13" x14ac:dyDescent="0.2">
      <c r="A15" s="77" t="s">
        <v>295</v>
      </c>
      <c r="B15" s="43"/>
      <c r="C15" s="43"/>
      <c r="D15" s="43"/>
      <c r="E15" s="43"/>
      <c r="F15" s="43"/>
      <c r="G15" s="43"/>
      <c r="H15" s="43"/>
      <c r="I15" s="43"/>
      <c r="J15" s="43"/>
      <c r="K15" s="45">
        <f>SUM(K6:K14)</f>
        <v>0</v>
      </c>
      <c r="L15" s="45">
        <f>SUM(L6:L14)</f>
        <v>0</v>
      </c>
      <c r="M15" s="93">
        <f t="shared" si="3"/>
        <v>0</v>
      </c>
    </row>
  </sheetData>
  <pageMargins left="0.7" right="0.7" top="0.75" bottom="0.75" header="0.3" footer="0.3"/>
  <pageSetup paperSize="9" scale="65" orientation="landscape" r:id="rId1"/>
  <headerFooter>
    <oddFooter>&amp;LHogeschool der Kunsten Den Haag EA 2023                     &amp;ROpmaakdatum: 13-03-2023
Intexso - De Start 5 - Leusden
+31 (33) 2778485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F5D17-27AB-4854-A40A-543313F58411}">
  <dimension ref="A1:F19"/>
  <sheetViews>
    <sheetView topLeftCell="A4" workbookViewId="0">
      <selection activeCell="E20" sqref="E20"/>
    </sheetView>
  </sheetViews>
  <sheetFormatPr defaultRowHeight="12.75" x14ac:dyDescent="0.2"/>
  <cols>
    <col min="1" max="1" width="30.625" customWidth="1"/>
    <col min="2" max="6" width="20.625" customWidth="1"/>
  </cols>
  <sheetData>
    <row r="1" spans="1:6" x14ac:dyDescent="0.2">
      <c r="A1" s="1" t="str">
        <f>CONCATENATE("Bijlage I.11: ",tabeltype," totaalblad schoonmaakwerk")</f>
        <v>Bijlage I.11: Invultabel totaalblad schoonmaakwerk</v>
      </c>
    </row>
    <row r="3" spans="1:6" ht="25.5" x14ac:dyDescent="0.2">
      <c r="A3" s="8" t="s">
        <v>432</v>
      </c>
      <c r="B3" s="8" t="s">
        <v>433</v>
      </c>
      <c r="C3" s="8" t="s">
        <v>434</v>
      </c>
      <c r="D3" s="8" t="s">
        <v>435</v>
      </c>
      <c r="E3" s="8" t="s">
        <v>436</v>
      </c>
      <c r="F3" s="8" t="s">
        <v>437</v>
      </c>
    </row>
    <row r="4" spans="1:6" x14ac:dyDescent="0.2">
      <c r="A4" s="94" t="s">
        <v>438</v>
      </c>
      <c r="B4" s="30">
        <f>urenjaartotaaloverzicht</f>
        <v>220</v>
      </c>
      <c r="C4" s="30">
        <f>urenjaartotaaloverzichthf</f>
        <v>0</v>
      </c>
      <c r="D4" s="69"/>
      <c r="E4" s="33">
        <f>prijsjaartotaaloverzicht</f>
        <v>0</v>
      </c>
      <c r="F4" s="33">
        <f>E4*1.21</f>
        <v>0</v>
      </c>
    </row>
    <row r="5" spans="1:6" x14ac:dyDescent="0.2">
      <c r="A5" s="95" t="s">
        <v>439</v>
      </c>
      <c r="B5" s="72"/>
      <c r="C5" s="72"/>
      <c r="D5" s="34">
        <f>urenjaarnietmeewerkend</f>
        <v>0</v>
      </c>
      <c r="E5" s="37">
        <f>prijsjaarnietmeewerkend</f>
        <v>0</v>
      </c>
      <c r="F5" s="37">
        <f>E5*1.21</f>
        <v>0</v>
      </c>
    </row>
    <row r="6" spans="1:6" ht="25.5" x14ac:dyDescent="0.2">
      <c r="A6" s="95" t="s">
        <v>440</v>
      </c>
      <c r="B6" s="34">
        <f>urenjaarafroep</f>
        <v>0</v>
      </c>
      <c r="C6" s="72"/>
      <c r="D6" s="72"/>
      <c r="E6" s="37">
        <f>prijsjaarafroep</f>
        <v>0</v>
      </c>
      <c r="F6" s="37">
        <f>E6*1.21</f>
        <v>0</v>
      </c>
    </row>
    <row r="7" spans="1:6" x14ac:dyDescent="0.2">
      <c r="A7" s="95" t="s">
        <v>441</v>
      </c>
      <c r="B7" s="34">
        <f>urenjaarregie</f>
        <v>0</v>
      </c>
      <c r="C7" s="72"/>
      <c r="D7" s="72"/>
      <c r="E7" s="37">
        <f>prijsjaarregie</f>
        <v>0</v>
      </c>
      <c r="F7" s="37">
        <f>E7*1.21</f>
        <v>0</v>
      </c>
    </row>
    <row r="8" spans="1:6" x14ac:dyDescent="0.2">
      <c r="A8" s="96" t="s">
        <v>442</v>
      </c>
      <c r="B8" s="39">
        <f>urenjaarglas</f>
        <v>0</v>
      </c>
      <c r="C8" s="97"/>
      <c r="D8" s="97"/>
      <c r="E8" s="41">
        <f>prijsjaarglas</f>
        <v>0</v>
      </c>
      <c r="F8" s="41">
        <f>E8*1.21</f>
        <v>0</v>
      </c>
    </row>
    <row r="10" spans="1:6" x14ac:dyDescent="0.2">
      <c r="A10" s="8" t="s">
        <v>443</v>
      </c>
      <c r="B10" s="44">
        <f>SUM(B4:B8)</f>
        <v>220</v>
      </c>
      <c r="C10" s="44">
        <f>SUM(C4:C8)</f>
        <v>0</v>
      </c>
      <c r="D10" s="44">
        <f>SUM(D4:D8)</f>
        <v>0</v>
      </c>
      <c r="E10" s="45">
        <f>SUM(E4:E8)</f>
        <v>0</v>
      </c>
      <c r="F10" s="45">
        <f>E10*1.21</f>
        <v>0</v>
      </c>
    </row>
    <row r="12" spans="1:6" x14ac:dyDescent="0.2">
      <c r="A12" s="8" t="s">
        <v>444</v>
      </c>
      <c r="B12" s="98">
        <f>IF(B10&gt;0,D10/B10,0)</f>
        <v>0</v>
      </c>
    </row>
    <row r="17" spans="1:5" ht="15" x14ac:dyDescent="0.25">
      <c r="A17" s="100" t="s">
        <v>445</v>
      </c>
      <c r="B17" s="101"/>
      <c r="C17" s="101"/>
      <c r="D17" s="101"/>
      <c r="E17" s="102">
        <f>E4+E5</f>
        <v>0</v>
      </c>
    </row>
    <row r="18" spans="1:5" ht="15" x14ac:dyDescent="0.25">
      <c r="A18" s="101"/>
      <c r="B18" s="101"/>
      <c r="C18" s="101"/>
      <c r="D18" s="101"/>
      <c r="E18" s="101"/>
    </row>
    <row r="19" spans="1:5" ht="15" x14ac:dyDescent="0.25">
      <c r="A19" s="100" t="s">
        <v>446</v>
      </c>
      <c r="B19" s="101"/>
      <c r="C19" s="101"/>
      <c r="D19" s="101"/>
      <c r="E19" s="102">
        <f>SUM(E6:E8)</f>
        <v>0</v>
      </c>
    </row>
  </sheetData>
  <pageMargins left="0.7" right="0.7" top="0.75" bottom="0.75" header="0.3" footer="0.3"/>
  <pageSetup paperSize="9" scale="70" orientation="landscape" r:id="rId1"/>
  <headerFooter>
    <oddFooter>&amp;LHogeschool der Kunsten Den Haag EA 2023                     &amp;ROpmaakdatum: 13-03-2023
Intexso - De Start 5 - Leusden
+31 (33) 2778485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6FD9C-714C-4CE9-80B2-60798E25CEA5}">
  <dimension ref="A1:H63"/>
  <sheetViews>
    <sheetView workbookViewId="0">
      <selection activeCell="D21" sqref="D19:D21"/>
    </sheetView>
  </sheetViews>
  <sheetFormatPr defaultRowHeight="12.75" x14ac:dyDescent="0.2"/>
  <cols>
    <col min="1" max="1" width="7.625" customWidth="1"/>
    <col min="2" max="2" width="6.625" customWidth="1"/>
    <col min="3" max="3" width="4.625" customWidth="1"/>
    <col min="4" max="4" width="50.625" customWidth="1"/>
    <col min="5" max="6" width="11.625" customWidth="1"/>
    <col min="7" max="7" width="9.625" customWidth="1"/>
    <col min="8" max="8" width="11.625" customWidth="1"/>
  </cols>
  <sheetData>
    <row r="1" spans="1:8" x14ac:dyDescent="0.2">
      <c r="A1" s="1" t="str">
        <f>CONCATENATE("Bijlage I.1: ",tabeltype," categorienormen")</f>
        <v>Bijlage I.1: Invultabel categorienormen</v>
      </c>
    </row>
    <row r="3" spans="1:8" ht="38.25" x14ac:dyDescent="0.2">
      <c r="A3" s="8" t="s">
        <v>30</v>
      </c>
      <c r="B3" s="8" t="s">
        <v>31</v>
      </c>
      <c r="C3" s="8" t="s">
        <v>32</v>
      </c>
      <c r="D3" s="8" t="s">
        <v>33</v>
      </c>
      <c r="E3" s="8" t="s">
        <v>34</v>
      </c>
      <c r="F3" s="8" t="s">
        <v>35</v>
      </c>
      <c r="G3" s="8" t="s">
        <v>36</v>
      </c>
      <c r="H3" s="8" t="s">
        <v>37</v>
      </c>
    </row>
    <row r="4" spans="1:8" x14ac:dyDescent="0.2">
      <c r="A4" s="9"/>
      <c r="B4" s="10"/>
      <c r="C4" s="10"/>
      <c r="D4" s="10"/>
      <c r="E4" s="10"/>
      <c r="F4" s="10"/>
      <c r="G4" s="10"/>
      <c r="H4" s="11"/>
    </row>
    <row r="5" spans="1:8" x14ac:dyDescent="0.2">
      <c r="A5" s="12" t="s">
        <v>38</v>
      </c>
      <c r="B5" s="13"/>
      <c r="C5" s="13"/>
      <c r="D5" s="13"/>
      <c r="E5" s="13"/>
      <c r="F5" s="13"/>
      <c r="G5" s="13"/>
      <c r="H5" s="14"/>
    </row>
    <row r="6" spans="1:8" x14ac:dyDescent="0.2">
      <c r="A6" s="15" t="s">
        <v>39</v>
      </c>
      <c r="B6" s="16" t="s">
        <v>40</v>
      </c>
      <c r="C6" s="15">
        <v>1</v>
      </c>
      <c r="D6" s="15" t="s">
        <v>41</v>
      </c>
      <c r="E6" s="17"/>
      <c r="F6" s="18"/>
      <c r="G6" s="15" t="s">
        <v>42</v>
      </c>
      <c r="H6" s="19"/>
    </row>
    <row r="7" spans="1:8" x14ac:dyDescent="0.2">
      <c r="A7" s="20" t="s">
        <v>43</v>
      </c>
      <c r="B7" s="21" t="s">
        <v>40</v>
      </c>
      <c r="C7" s="20">
        <v>39</v>
      </c>
      <c r="D7" s="20" t="s">
        <v>44</v>
      </c>
      <c r="E7" s="22"/>
      <c r="F7" s="23"/>
      <c r="G7" s="20" t="s">
        <v>42</v>
      </c>
      <c r="H7" s="24"/>
    </row>
    <row r="8" spans="1:8" x14ac:dyDescent="0.2">
      <c r="A8" s="20" t="s">
        <v>45</v>
      </c>
      <c r="B8" s="21" t="s">
        <v>40</v>
      </c>
      <c r="C8" s="20">
        <v>1</v>
      </c>
      <c r="D8" s="20" t="s">
        <v>46</v>
      </c>
      <c r="E8" s="22"/>
      <c r="F8" s="23"/>
      <c r="G8" s="20" t="s">
        <v>42</v>
      </c>
      <c r="H8" s="24"/>
    </row>
    <row r="9" spans="1:8" x14ac:dyDescent="0.2">
      <c r="A9" s="20" t="s">
        <v>47</v>
      </c>
      <c r="B9" s="21" t="s">
        <v>40</v>
      </c>
      <c r="C9" s="20">
        <v>39</v>
      </c>
      <c r="D9" s="20" t="s">
        <v>48</v>
      </c>
      <c r="E9" s="22"/>
      <c r="F9" s="23"/>
      <c r="G9" s="20" t="s">
        <v>42</v>
      </c>
      <c r="H9" s="24"/>
    </row>
    <row r="10" spans="1:8" x14ac:dyDescent="0.2">
      <c r="A10" s="20" t="s">
        <v>49</v>
      </c>
      <c r="B10" s="21" t="s">
        <v>40</v>
      </c>
      <c r="C10" s="20">
        <v>1</v>
      </c>
      <c r="D10" s="20" t="s">
        <v>50</v>
      </c>
      <c r="E10" s="22"/>
      <c r="F10" s="23"/>
      <c r="G10" s="20" t="s">
        <v>42</v>
      </c>
      <c r="H10" s="24"/>
    </row>
    <row r="11" spans="1:8" x14ac:dyDescent="0.2">
      <c r="A11" s="20" t="s">
        <v>51</v>
      </c>
      <c r="B11" s="21" t="s">
        <v>40</v>
      </c>
      <c r="C11" s="20">
        <v>39</v>
      </c>
      <c r="D11" s="20" t="s">
        <v>52</v>
      </c>
      <c r="E11" s="22"/>
      <c r="F11" s="23"/>
      <c r="G11" s="20" t="s">
        <v>42</v>
      </c>
      <c r="H11" s="24"/>
    </row>
    <row r="12" spans="1:8" x14ac:dyDescent="0.2">
      <c r="A12" s="20" t="s">
        <v>53</v>
      </c>
      <c r="B12" s="21" t="s">
        <v>40</v>
      </c>
      <c r="C12" s="20">
        <v>1</v>
      </c>
      <c r="D12" s="20" t="s">
        <v>54</v>
      </c>
      <c r="E12" s="22"/>
      <c r="F12" s="23"/>
      <c r="G12" s="20" t="s">
        <v>42</v>
      </c>
      <c r="H12" s="24"/>
    </row>
    <row r="13" spans="1:8" x14ac:dyDescent="0.2">
      <c r="A13" s="20" t="s">
        <v>55</v>
      </c>
      <c r="B13" s="21" t="s">
        <v>40</v>
      </c>
      <c r="C13" s="20">
        <v>39</v>
      </c>
      <c r="D13" s="20" t="s">
        <v>56</v>
      </c>
      <c r="E13" s="22"/>
      <c r="F13" s="23"/>
      <c r="G13" s="20" t="s">
        <v>42</v>
      </c>
      <c r="H13" s="24"/>
    </row>
    <row r="14" spans="1:8" x14ac:dyDescent="0.2">
      <c r="A14" s="20" t="s">
        <v>57</v>
      </c>
      <c r="B14" s="21" t="s">
        <v>40</v>
      </c>
      <c r="C14" s="20">
        <v>1</v>
      </c>
      <c r="D14" s="20" t="s">
        <v>58</v>
      </c>
      <c r="E14" s="22"/>
      <c r="F14" s="23"/>
      <c r="G14" s="20" t="s">
        <v>42</v>
      </c>
      <c r="H14" s="24"/>
    </row>
    <row r="15" spans="1:8" x14ac:dyDescent="0.2">
      <c r="A15" s="20" t="s">
        <v>59</v>
      </c>
      <c r="B15" s="21" t="s">
        <v>40</v>
      </c>
      <c r="C15" s="20">
        <v>39</v>
      </c>
      <c r="D15" s="20" t="s">
        <v>60</v>
      </c>
      <c r="E15" s="22"/>
      <c r="F15" s="23"/>
      <c r="G15" s="20" t="s">
        <v>42</v>
      </c>
      <c r="H15" s="24"/>
    </row>
    <row r="16" spans="1:8" x14ac:dyDescent="0.2">
      <c r="A16" s="20" t="s">
        <v>61</v>
      </c>
      <c r="B16" s="21" t="s">
        <v>40</v>
      </c>
      <c r="C16" s="20">
        <v>1</v>
      </c>
      <c r="D16" s="20" t="s">
        <v>62</v>
      </c>
      <c r="E16" s="22"/>
      <c r="F16" s="23"/>
      <c r="G16" s="20" t="s">
        <v>42</v>
      </c>
      <c r="H16" s="24"/>
    </row>
    <row r="17" spans="1:8" x14ac:dyDescent="0.2">
      <c r="A17" s="20" t="s">
        <v>63</v>
      </c>
      <c r="B17" s="21" t="s">
        <v>40</v>
      </c>
      <c r="C17" s="20">
        <v>39</v>
      </c>
      <c r="D17" s="20" t="s">
        <v>64</v>
      </c>
      <c r="E17" s="22"/>
      <c r="F17" s="23"/>
      <c r="G17" s="20" t="s">
        <v>42</v>
      </c>
      <c r="H17" s="24"/>
    </row>
    <row r="18" spans="1:8" x14ac:dyDescent="0.2">
      <c r="A18" s="20" t="s">
        <v>65</v>
      </c>
      <c r="B18" s="21" t="s">
        <v>40</v>
      </c>
      <c r="C18" s="20">
        <v>1</v>
      </c>
      <c r="D18" s="20" t="s">
        <v>66</v>
      </c>
      <c r="E18" s="22"/>
      <c r="F18" s="23"/>
      <c r="G18" s="20" t="s">
        <v>42</v>
      </c>
      <c r="H18" s="24"/>
    </row>
    <row r="19" spans="1:8" x14ac:dyDescent="0.2">
      <c r="A19" s="20" t="s">
        <v>67</v>
      </c>
      <c r="B19" s="21" t="s">
        <v>40</v>
      </c>
      <c r="C19" s="20">
        <v>39</v>
      </c>
      <c r="D19" s="20" t="s">
        <v>68</v>
      </c>
      <c r="E19" s="22"/>
      <c r="F19" s="23"/>
      <c r="G19" s="20" t="s">
        <v>42</v>
      </c>
      <c r="H19" s="24"/>
    </row>
    <row r="20" spans="1:8" x14ac:dyDescent="0.2">
      <c r="A20" s="20" t="s">
        <v>69</v>
      </c>
      <c r="B20" s="21" t="s">
        <v>40</v>
      </c>
      <c r="C20" s="20">
        <v>1</v>
      </c>
      <c r="D20" s="20" t="s">
        <v>70</v>
      </c>
      <c r="E20" s="22"/>
      <c r="F20" s="23"/>
      <c r="G20" s="20" t="s">
        <v>42</v>
      </c>
      <c r="H20" s="24"/>
    </row>
    <row r="21" spans="1:8" x14ac:dyDescent="0.2">
      <c r="A21" s="20" t="s">
        <v>71</v>
      </c>
      <c r="B21" s="21" t="s">
        <v>40</v>
      </c>
      <c r="C21" s="20">
        <v>39</v>
      </c>
      <c r="D21" s="20" t="s">
        <v>72</v>
      </c>
      <c r="E21" s="22"/>
      <c r="F21" s="23"/>
      <c r="G21" s="20" t="s">
        <v>42</v>
      </c>
      <c r="H21" s="24"/>
    </row>
    <row r="22" spans="1:8" x14ac:dyDescent="0.2">
      <c r="A22" s="20" t="s">
        <v>73</v>
      </c>
      <c r="B22" s="21" t="s">
        <v>40</v>
      </c>
      <c r="C22" s="20">
        <v>1</v>
      </c>
      <c r="D22" s="20" t="s">
        <v>74</v>
      </c>
      <c r="E22" s="22"/>
      <c r="F22" s="23"/>
      <c r="G22" s="20" t="s">
        <v>42</v>
      </c>
      <c r="H22" s="24"/>
    </row>
    <row r="23" spans="1:8" x14ac:dyDescent="0.2">
      <c r="A23" s="20" t="s">
        <v>75</v>
      </c>
      <c r="B23" s="21" t="s">
        <v>40</v>
      </c>
      <c r="C23" s="20">
        <v>39</v>
      </c>
      <c r="D23" s="20" t="s">
        <v>76</v>
      </c>
      <c r="E23" s="22"/>
      <c r="F23" s="23"/>
      <c r="G23" s="20" t="s">
        <v>42</v>
      </c>
      <c r="H23" s="24"/>
    </row>
    <row r="24" spans="1:8" x14ac:dyDescent="0.2">
      <c r="A24" s="20" t="s">
        <v>77</v>
      </c>
      <c r="B24" s="21" t="s">
        <v>40</v>
      </c>
      <c r="C24" s="20">
        <v>1</v>
      </c>
      <c r="D24" s="20" t="s">
        <v>78</v>
      </c>
      <c r="E24" s="22"/>
      <c r="F24" s="23"/>
      <c r="G24" s="20" t="s">
        <v>42</v>
      </c>
      <c r="H24" s="24"/>
    </row>
    <row r="25" spans="1:8" x14ac:dyDescent="0.2">
      <c r="A25" s="20" t="s">
        <v>79</v>
      </c>
      <c r="B25" s="21" t="s">
        <v>40</v>
      </c>
      <c r="C25" s="20">
        <v>39</v>
      </c>
      <c r="D25" s="20" t="s">
        <v>80</v>
      </c>
      <c r="E25" s="22"/>
      <c r="F25" s="23"/>
      <c r="G25" s="20" t="s">
        <v>42</v>
      </c>
      <c r="H25" s="24"/>
    </row>
    <row r="26" spans="1:8" x14ac:dyDescent="0.2">
      <c r="A26" s="20" t="s">
        <v>81</v>
      </c>
      <c r="B26" s="21" t="s">
        <v>82</v>
      </c>
      <c r="C26" s="20">
        <v>1</v>
      </c>
      <c r="D26" s="20" t="s">
        <v>83</v>
      </c>
      <c r="E26" s="22"/>
      <c r="F26" s="23"/>
      <c r="G26" s="20" t="s">
        <v>42</v>
      </c>
      <c r="H26" s="24"/>
    </row>
    <row r="27" spans="1:8" x14ac:dyDescent="0.2">
      <c r="A27" s="20" t="s">
        <v>84</v>
      </c>
      <c r="B27" s="21" t="s">
        <v>82</v>
      </c>
      <c r="C27" s="20">
        <v>1</v>
      </c>
      <c r="D27" s="20" t="s">
        <v>85</v>
      </c>
      <c r="E27" s="22"/>
      <c r="F27" s="23"/>
      <c r="G27" s="20" t="s">
        <v>42</v>
      </c>
      <c r="H27" s="24"/>
    </row>
    <row r="28" spans="1:8" x14ac:dyDescent="0.2">
      <c r="A28" s="20" t="s">
        <v>86</v>
      </c>
      <c r="B28" s="21" t="s">
        <v>82</v>
      </c>
      <c r="C28" s="20">
        <v>39</v>
      </c>
      <c r="D28" s="20" t="s">
        <v>87</v>
      </c>
      <c r="E28" s="22"/>
      <c r="F28" s="23"/>
      <c r="G28" s="20" t="s">
        <v>42</v>
      </c>
      <c r="H28" s="24"/>
    </row>
    <row r="29" spans="1:8" x14ac:dyDescent="0.2">
      <c r="A29" s="20" t="s">
        <v>88</v>
      </c>
      <c r="B29" s="21" t="s">
        <v>82</v>
      </c>
      <c r="C29" s="20">
        <v>1</v>
      </c>
      <c r="D29" s="20" t="s">
        <v>89</v>
      </c>
      <c r="E29" s="22"/>
      <c r="F29" s="23"/>
      <c r="G29" s="20" t="s">
        <v>42</v>
      </c>
      <c r="H29" s="24"/>
    </row>
    <row r="30" spans="1:8" x14ac:dyDescent="0.2">
      <c r="A30" s="20" t="s">
        <v>90</v>
      </c>
      <c r="B30" s="21" t="s">
        <v>82</v>
      </c>
      <c r="C30" s="20">
        <v>39</v>
      </c>
      <c r="D30" s="20" t="s">
        <v>91</v>
      </c>
      <c r="E30" s="22"/>
      <c r="F30" s="23"/>
      <c r="G30" s="20" t="s">
        <v>42</v>
      </c>
      <c r="H30" s="24"/>
    </row>
    <row r="31" spans="1:8" x14ac:dyDescent="0.2">
      <c r="A31" s="20" t="s">
        <v>92</v>
      </c>
      <c r="B31" s="21" t="s">
        <v>93</v>
      </c>
      <c r="C31" s="20">
        <v>1</v>
      </c>
      <c r="D31" s="20" t="s">
        <v>94</v>
      </c>
      <c r="E31" s="22"/>
      <c r="F31" s="23"/>
      <c r="G31" s="20" t="s">
        <v>42</v>
      </c>
      <c r="H31" s="24"/>
    </row>
    <row r="32" spans="1:8" x14ac:dyDescent="0.2">
      <c r="A32" s="20" t="s">
        <v>95</v>
      </c>
      <c r="B32" s="21" t="s">
        <v>93</v>
      </c>
      <c r="C32" s="20">
        <v>39</v>
      </c>
      <c r="D32" s="20" t="s">
        <v>96</v>
      </c>
      <c r="E32" s="22"/>
      <c r="F32" s="23"/>
      <c r="G32" s="20" t="s">
        <v>42</v>
      </c>
      <c r="H32" s="24"/>
    </row>
    <row r="33" spans="1:8" x14ac:dyDescent="0.2">
      <c r="A33" s="20" t="s">
        <v>97</v>
      </c>
      <c r="B33" s="21" t="s">
        <v>98</v>
      </c>
      <c r="C33" s="20">
        <v>39</v>
      </c>
      <c r="D33" s="20" t="s">
        <v>99</v>
      </c>
      <c r="E33" s="22"/>
      <c r="F33" s="23"/>
      <c r="G33" s="20" t="s">
        <v>42</v>
      </c>
      <c r="H33" s="24"/>
    </row>
    <row r="34" spans="1:8" x14ac:dyDescent="0.2">
      <c r="A34" s="20" t="s">
        <v>100</v>
      </c>
      <c r="B34" s="21" t="s">
        <v>101</v>
      </c>
      <c r="C34" s="20">
        <v>1</v>
      </c>
      <c r="D34" s="20" t="s">
        <v>102</v>
      </c>
      <c r="E34" s="22"/>
      <c r="F34" s="23"/>
      <c r="G34" s="20" t="s">
        <v>42</v>
      </c>
      <c r="H34" s="24"/>
    </row>
    <row r="35" spans="1:8" x14ac:dyDescent="0.2">
      <c r="A35" s="20" t="s">
        <v>103</v>
      </c>
      <c r="B35" s="21" t="s">
        <v>101</v>
      </c>
      <c r="C35" s="20">
        <v>39</v>
      </c>
      <c r="D35" s="20" t="s">
        <v>104</v>
      </c>
      <c r="E35" s="22"/>
      <c r="F35" s="23"/>
      <c r="G35" s="20" t="s">
        <v>42</v>
      </c>
      <c r="H35" s="24"/>
    </row>
    <row r="36" spans="1:8" x14ac:dyDescent="0.2">
      <c r="A36" s="20" t="s">
        <v>105</v>
      </c>
      <c r="B36" s="21" t="s">
        <v>101</v>
      </c>
      <c r="C36" s="20">
        <v>1</v>
      </c>
      <c r="D36" s="20" t="s">
        <v>106</v>
      </c>
      <c r="E36" s="22"/>
      <c r="F36" s="23"/>
      <c r="G36" s="20" t="s">
        <v>42</v>
      </c>
      <c r="H36" s="24"/>
    </row>
    <row r="37" spans="1:8" x14ac:dyDescent="0.2">
      <c r="A37" s="20" t="s">
        <v>107</v>
      </c>
      <c r="B37" s="21" t="s">
        <v>101</v>
      </c>
      <c r="C37" s="20">
        <v>39</v>
      </c>
      <c r="D37" s="20" t="s">
        <v>108</v>
      </c>
      <c r="E37" s="22"/>
      <c r="F37" s="23"/>
      <c r="G37" s="20" t="s">
        <v>42</v>
      </c>
      <c r="H37" s="24"/>
    </row>
    <row r="38" spans="1:8" x14ac:dyDescent="0.2">
      <c r="A38" s="20" t="s">
        <v>109</v>
      </c>
      <c r="B38" s="21" t="s">
        <v>110</v>
      </c>
      <c r="C38" s="20">
        <v>1</v>
      </c>
      <c r="D38" s="20" t="s">
        <v>111</v>
      </c>
      <c r="E38" s="22"/>
      <c r="F38" s="23"/>
      <c r="G38" s="20" t="s">
        <v>42</v>
      </c>
      <c r="H38" s="24"/>
    </row>
    <row r="39" spans="1:8" x14ac:dyDescent="0.2">
      <c r="A39" s="20" t="s">
        <v>112</v>
      </c>
      <c r="B39" s="21" t="s">
        <v>110</v>
      </c>
      <c r="C39" s="20">
        <v>39</v>
      </c>
      <c r="D39" s="20" t="s">
        <v>113</v>
      </c>
      <c r="E39" s="22"/>
      <c r="F39" s="23"/>
      <c r="G39" s="20" t="s">
        <v>42</v>
      </c>
      <c r="H39" s="24"/>
    </row>
    <row r="40" spans="1:8" x14ac:dyDescent="0.2">
      <c r="A40" s="20" t="s">
        <v>114</v>
      </c>
      <c r="B40" s="21" t="s">
        <v>110</v>
      </c>
      <c r="C40" s="20">
        <v>1</v>
      </c>
      <c r="D40" s="20" t="s">
        <v>115</v>
      </c>
      <c r="E40" s="22"/>
      <c r="F40" s="23"/>
      <c r="G40" s="20" t="s">
        <v>42</v>
      </c>
      <c r="H40" s="24"/>
    </row>
    <row r="41" spans="1:8" x14ac:dyDescent="0.2">
      <c r="A41" s="20" t="s">
        <v>116</v>
      </c>
      <c r="B41" s="21" t="s">
        <v>110</v>
      </c>
      <c r="C41" s="20">
        <v>39</v>
      </c>
      <c r="D41" s="20" t="s">
        <v>117</v>
      </c>
      <c r="E41" s="22"/>
      <c r="F41" s="23"/>
      <c r="G41" s="20" t="s">
        <v>42</v>
      </c>
      <c r="H41" s="24"/>
    </row>
    <row r="42" spans="1:8" x14ac:dyDescent="0.2">
      <c r="A42" s="20" t="s">
        <v>118</v>
      </c>
      <c r="B42" s="21" t="s">
        <v>110</v>
      </c>
      <c r="C42" s="20">
        <v>1</v>
      </c>
      <c r="D42" s="20" t="s">
        <v>119</v>
      </c>
      <c r="E42" s="22"/>
      <c r="F42" s="23"/>
      <c r="G42" s="20" t="s">
        <v>42</v>
      </c>
      <c r="H42" s="24"/>
    </row>
    <row r="43" spans="1:8" x14ac:dyDescent="0.2">
      <c r="A43" s="20" t="s">
        <v>120</v>
      </c>
      <c r="B43" s="21" t="s">
        <v>110</v>
      </c>
      <c r="C43" s="20">
        <v>39</v>
      </c>
      <c r="D43" s="20" t="s">
        <v>121</v>
      </c>
      <c r="E43" s="22"/>
      <c r="F43" s="23"/>
      <c r="G43" s="20" t="s">
        <v>42</v>
      </c>
      <c r="H43" s="24"/>
    </row>
    <row r="44" spans="1:8" x14ac:dyDescent="0.2">
      <c r="A44" s="20" t="s">
        <v>122</v>
      </c>
      <c r="B44" s="21" t="s">
        <v>110</v>
      </c>
      <c r="C44" s="20">
        <v>1</v>
      </c>
      <c r="D44" s="20" t="s">
        <v>123</v>
      </c>
      <c r="E44" s="22"/>
      <c r="F44" s="23"/>
      <c r="G44" s="20" t="s">
        <v>42</v>
      </c>
      <c r="H44" s="24"/>
    </row>
    <row r="45" spans="1:8" x14ac:dyDescent="0.2">
      <c r="A45" s="20" t="s">
        <v>124</v>
      </c>
      <c r="B45" s="21" t="s">
        <v>110</v>
      </c>
      <c r="C45" s="20">
        <v>39</v>
      </c>
      <c r="D45" s="20" t="s">
        <v>125</v>
      </c>
      <c r="E45" s="22"/>
      <c r="F45" s="23"/>
      <c r="G45" s="20" t="s">
        <v>42</v>
      </c>
      <c r="H45" s="24"/>
    </row>
    <row r="46" spans="1:8" x14ac:dyDescent="0.2">
      <c r="A46" s="20" t="s">
        <v>126</v>
      </c>
      <c r="B46" s="21" t="s">
        <v>110</v>
      </c>
      <c r="C46" s="20">
        <v>1</v>
      </c>
      <c r="D46" s="20" t="s">
        <v>127</v>
      </c>
      <c r="E46" s="22"/>
      <c r="F46" s="23"/>
      <c r="G46" s="20" t="s">
        <v>42</v>
      </c>
      <c r="H46" s="24"/>
    </row>
    <row r="47" spans="1:8" x14ac:dyDescent="0.2">
      <c r="A47" s="20" t="s">
        <v>128</v>
      </c>
      <c r="B47" s="21" t="s">
        <v>110</v>
      </c>
      <c r="C47" s="20">
        <v>39</v>
      </c>
      <c r="D47" s="20" t="s">
        <v>129</v>
      </c>
      <c r="E47" s="22"/>
      <c r="F47" s="23"/>
      <c r="G47" s="20" t="s">
        <v>42</v>
      </c>
      <c r="H47" s="24"/>
    </row>
    <row r="48" spans="1:8" x14ac:dyDescent="0.2">
      <c r="A48" s="20" t="s">
        <v>130</v>
      </c>
      <c r="B48" s="21" t="s">
        <v>110</v>
      </c>
      <c r="C48" s="20">
        <v>1</v>
      </c>
      <c r="D48" s="20" t="s">
        <v>131</v>
      </c>
      <c r="E48" s="22"/>
      <c r="F48" s="23"/>
      <c r="G48" s="20" t="s">
        <v>42</v>
      </c>
      <c r="H48" s="24"/>
    </row>
    <row r="49" spans="1:8" x14ac:dyDescent="0.2">
      <c r="A49" s="20" t="s">
        <v>132</v>
      </c>
      <c r="B49" s="21" t="s">
        <v>110</v>
      </c>
      <c r="C49" s="20">
        <v>39</v>
      </c>
      <c r="D49" s="20" t="s">
        <v>133</v>
      </c>
      <c r="E49" s="22"/>
      <c r="F49" s="23"/>
      <c r="G49" s="20" t="s">
        <v>42</v>
      </c>
      <c r="H49" s="24"/>
    </row>
    <row r="50" spans="1:8" x14ac:dyDescent="0.2">
      <c r="A50" s="25" t="s">
        <v>134</v>
      </c>
      <c r="B50" s="26" t="s">
        <v>135</v>
      </c>
      <c r="C50" s="25">
        <v>1</v>
      </c>
      <c r="D50" s="25" t="s">
        <v>136</v>
      </c>
      <c r="E50" s="27"/>
      <c r="F50" s="28"/>
      <c r="G50" s="25" t="s">
        <v>42</v>
      </c>
      <c r="H50" s="29"/>
    </row>
    <row r="51" spans="1:8" x14ac:dyDescent="0.2">
      <c r="A51" s="9"/>
      <c r="B51" s="10"/>
      <c r="C51" s="10"/>
      <c r="D51" s="10"/>
      <c r="E51" s="10"/>
      <c r="F51" s="10"/>
      <c r="G51" s="10"/>
      <c r="H51" s="11"/>
    </row>
    <row r="52" spans="1:8" x14ac:dyDescent="0.2">
      <c r="A52" s="12" t="s">
        <v>137</v>
      </c>
      <c r="B52" s="13"/>
      <c r="C52" s="13"/>
      <c r="D52" s="13"/>
      <c r="E52" s="13"/>
      <c r="F52" s="13"/>
      <c r="G52" s="13"/>
      <c r="H52" s="14"/>
    </row>
    <row r="53" spans="1:8" x14ac:dyDescent="0.2">
      <c r="A53" s="15" t="s">
        <v>138</v>
      </c>
      <c r="B53" s="16" t="s">
        <v>40</v>
      </c>
      <c r="C53" s="15">
        <v>1</v>
      </c>
      <c r="D53" s="15" t="s">
        <v>50</v>
      </c>
      <c r="E53" s="17"/>
      <c r="F53" s="18"/>
      <c r="G53" s="15" t="s">
        <v>42</v>
      </c>
      <c r="H53" s="19"/>
    </row>
    <row r="54" spans="1:8" x14ac:dyDescent="0.2">
      <c r="A54" s="20" t="s">
        <v>139</v>
      </c>
      <c r="B54" s="21" t="s">
        <v>40</v>
      </c>
      <c r="C54" s="20">
        <v>1</v>
      </c>
      <c r="D54" s="20" t="s">
        <v>54</v>
      </c>
      <c r="E54" s="22"/>
      <c r="F54" s="23"/>
      <c r="G54" s="20" t="s">
        <v>42</v>
      </c>
      <c r="H54" s="24"/>
    </row>
    <row r="55" spans="1:8" x14ac:dyDescent="0.2">
      <c r="A55" s="20" t="s">
        <v>140</v>
      </c>
      <c r="B55" s="21" t="s">
        <v>40</v>
      </c>
      <c r="C55" s="20">
        <v>10</v>
      </c>
      <c r="D55" s="20" t="s">
        <v>56</v>
      </c>
      <c r="E55" s="22"/>
      <c r="F55" s="23"/>
      <c r="G55" s="20" t="s">
        <v>42</v>
      </c>
      <c r="H55" s="24"/>
    </row>
    <row r="56" spans="1:8" x14ac:dyDescent="0.2">
      <c r="A56" s="20" t="s">
        <v>141</v>
      </c>
      <c r="B56" s="21" t="s">
        <v>40</v>
      </c>
      <c r="C56" s="20">
        <v>1</v>
      </c>
      <c r="D56" s="20" t="s">
        <v>78</v>
      </c>
      <c r="E56" s="22"/>
      <c r="F56" s="23"/>
      <c r="G56" s="20" t="s">
        <v>42</v>
      </c>
      <c r="H56" s="24"/>
    </row>
    <row r="57" spans="1:8" x14ac:dyDescent="0.2">
      <c r="A57" s="20" t="s">
        <v>142</v>
      </c>
      <c r="B57" s="21" t="s">
        <v>101</v>
      </c>
      <c r="C57" s="20">
        <v>1</v>
      </c>
      <c r="D57" s="20" t="s">
        <v>106</v>
      </c>
      <c r="E57" s="22"/>
      <c r="F57" s="23"/>
      <c r="G57" s="20" t="s">
        <v>42</v>
      </c>
      <c r="H57" s="24"/>
    </row>
    <row r="58" spans="1:8" x14ac:dyDescent="0.2">
      <c r="A58" s="20" t="s">
        <v>143</v>
      </c>
      <c r="B58" s="21" t="s">
        <v>101</v>
      </c>
      <c r="C58" s="20">
        <v>10</v>
      </c>
      <c r="D58" s="20" t="s">
        <v>108</v>
      </c>
      <c r="E58" s="22"/>
      <c r="F58" s="23"/>
      <c r="G58" s="20" t="s">
        <v>42</v>
      </c>
      <c r="H58" s="24"/>
    </row>
    <row r="59" spans="1:8" x14ac:dyDescent="0.2">
      <c r="A59" s="20" t="s">
        <v>144</v>
      </c>
      <c r="B59" s="21" t="s">
        <v>110</v>
      </c>
      <c r="C59" s="20">
        <v>1</v>
      </c>
      <c r="D59" s="20" t="s">
        <v>115</v>
      </c>
      <c r="E59" s="22"/>
      <c r="F59" s="23"/>
      <c r="G59" s="20" t="s">
        <v>42</v>
      </c>
      <c r="H59" s="24"/>
    </row>
    <row r="60" spans="1:8" x14ac:dyDescent="0.2">
      <c r="A60" s="20" t="s">
        <v>145</v>
      </c>
      <c r="B60" s="21" t="s">
        <v>110</v>
      </c>
      <c r="C60" s="20">
        <v>1</v>
      </c>
      <c r="D60" s="20" t="s">
        <v>119</v>
      </c>
      <c r="E60" s="22"/>
      <c r="F60" s="23"/>
      <c r="G60" s="20" t="s">
        <v>42</v>
      </c>
      <c r="H60" s="24"/>
    </row>
    <row r="61" spans="1:8" x14ac:dyDescent="0.2">
      <c r="A61" s="20" t="s">
        <v>146</v>
      </c>
      <c r="B61" s="21" t="s">
        <v>110</v>
      </c>
      <c r="C61" s="20">
        <v>10</v>
      </c>
      <c r="D61" s="20" t="s">
        <v>121</v>
      </c>
      <c r="E61" s="22"/>
      <c r="F61" s="23"/>
      <c r="G61" s="20" t="s">
        <v>42</v>
      </c>
      <c r="H61" s="24"/>
    </row>
    <row r="62" spans="1:8" x14ac:dyDescent="0.2">
      <c r="A62" s="20" t="s">
        <v>147</v>
      </c>
      <c r="B62" s="21" t="s">
        <v>110</v>
      </c>
      <c r="C62" s="20">
        <v>1</v>
      </c>
      <c r="D62" s="20" t="s">
        <v>127</v>
      </c>
      <c r="E62" s="22"/>
      <c r="F62" s="23"/>
      <c r="G62" s="20" t="s">
        <v>42</v>
      </c>
      <c r="H62" s="24"/>
    </row>
    <row r="63" spans="1:8" x14ac:dyDescent="0.2">
      <c r="A63" s="25" t="s">
        <v>148</v>
      </c>
      <c r="B63" s="26" t="s">
        <v>110</v>
      </c>
      <c r="C63" s="25">
        <v>10</v>
      </c>
      <c r="D63" s="25" t="s">
        <v>129</v>
      </c>
      <c r="E63" s="27"/>
      <c r="F63" s="28"/>
      <c r="G63" s="25" t="s">
        <v>42</v>
      </c>
      <c r="H63" s="29"/>
    </row>
  </sheetData>
  <pageMargins left="0.7" right="0.7" top="0.75" bottom="0.75" header="0.3" footer="0.3"/>
  <pageSetup paperSize="9" scale="70" orientation="landscape" r:id="rId1"/>
  <headerFooter>
    <oddFooter>&amp;LHogeschool der Kunsten Den Haag EA 2023                     &amp;ROpmaakdatum: 13-03-2023
Intexso - De Start 5 - Leusden
+31 (33) 2778485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FB407-001A-4752-85E4-66F6B08C605E}">
  <dimension ref="A1:N71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12.625" customWidth="1"/>
    <col min="4" max="4" width="35.625" customWidth="1"/>
    <col min="5" max="5" width="12.625" customWidth="1"/>
    <col min="6" max="8" width="11.625" customWidth="1"/>
    <col min="9" max="9" width="9.625" customWidth="1"/>
    <col min="10" max="12" width="11.625" customWidth="1"/>
    <col min="13" max="13" width="12.625" customWidth="1"/>
    <col min="14" max="14" width="14.625" customWidth="1"/>
  </cols>
  <sheetData>
    <row r="1" spans="1:14" x14ac:dyDescent="0.2">
      <c r="A1" s="1" t="str">
        <f>CONCATENATE("Bijlage I.2: ",tabeltype," regulier werk")</f>
        <v>Bijlage I.2: Invultabel regulier werk</v>
      </c>
    </row>
    <row r="3" spans="1:14" ht="38.25" x14ac:dyDescent="0.2">
      <c r="A3" s="8" t="s">
        <v>149</v>
      </c>
      <c r="B3" s="8" t="s">
        <v>7</v>
      </c>
      <c r="C3" s="8" t="s">
        <v>150</v>
      </c>
      <c r="D3" s="8" t="s">
        <v>33</v>
      </c>
      <c r="E3" s="8" t="s">
        <v>151</v>
      </c>
      <c r="F3" s="8" t="s">
        <v>152</v>
      </c>
      <c r="G3" s="8" t="s">
        <v>34</v>
      </c>
      <c r="H3" s="8" t="s">
        <v>35</v>
      </c>
      <c r="I3" s="8" t="s">
        <v>36</v>
      </c>
      <c r="J3" s="8" t="s">
        <v>37</v>
      </c>
      <c r="K3" s="8" t="s">
        <v>153</v>
      </c>
      <c r="L3" s="8" t="s">
        <v>154</v>
      </c>
      <c r="M3" s="8" t="s">
        <v>155</v>
      </c>
      <c r="N3" s="8" t="s">
        <v>156</v>
      </c>
    </row>
    <row r="4" spans="1:14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1"/>
    </row>
    <row r="5" spans="1:14" x14ac:dyDescent="0.2">
      <c r="A5" s="12" t="s">
        <v>38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4"/>
    </row>
    <row r="6" spans="1:14" x14ac:dyDescent="0.2">
      <c r="A6" s="15" t="s">
        <v>157</v>
      </c>
      <c r="B6" s="15" t="s">
        <v>12</v>
      </c>
      <c r="C6" s="15" t="s">
        <v>158</v>
      </c>
      <c r="D6" s="15" t="s">
        <v>159</v>
      </c>
      <c r="E6" s="30">
        <v>371</v>
      </c>
      <c r="F6" s="30">
        <f t="shared" ref="F6:F43" si="0">E6*VLOOKUP(B6,dagsoorttabel1,2,FALSE)</f>
        <v>295.28571428571428</v>
      </c>
      <c r="G6" s="31">
        <f>IF(AND(catpn_1_AHB_1&gt;0,catpn_1_AHV_39&gt;0),(dagenperjaar1*VLOOKUP(B6,dagsoorttabel1,2,FALSE))/(((dagenperjaar1*VLOOKUP(B6,dagsoorttabel1,2,FALSE))-catfd_1_AHV_39)/catpn_1_AHB_1+catfd_1_AHV_39/catpn_1_AHV_39),0)</f>
        <v>0</v>
      </c>
      <c r="H6" s="32">
        <f>IF(AND(catpn_1_AHB_1&gt;0,catpn_1_AHV_39&gt;0),(catdw_1_AHB_1*((dagenperjaar1*VLOOKUP(B6,dagsoorttabel1,2,FALSE))-catfd_1_AHV_39)/catpn_1_AHB_1+catdw_1_AHV_39*catfd_1_AHV_39/catpn_1_AHV_39)/(((dagenperjaar1*VLOOKUP(B6,dagsoorttabel1,2,FALSE))-catfd_1_AHV_39)/catpn_1_AHB_1+catfd_1_AHV_39/catpn_1_AHV_39),0)</f>
        <v>0</v>
      </c>
      <c r="I6" s="15" t="s">
        <v>42</v>
      </c>
      <c r="J6" s="33">
        <f>IF(AND(catpn_1_AHB_1&gt;0,catpn_1_AHV_39&gt;0),(cattf_1_AHB_1*((dagenperjaar1*VLOOKUP(B6,dagsoorttabel1,2,FALSE))-catfd_1_AHV_39)/catpn_1_AHB_1+cattf_1_AHV_39*catfd_1_AHV_39/catpn_1_AHV_39)/(((dagenperjaar1*VLOOKUP(B6,dagsoorttabel1,2,FALSE))-catfd_1_AHV_39)/catpn_1_AHB_1+catfd_1_AHV_39/catpn_1_AHV_39),0)</f>
        <v>0</v>
      </c>
      <c r="K6" s="30">
        <f t="shared" ref="K6:K41" si="1">IF(OR(ISBLANK(G6),G6=0),0,F6/ROUND(G6,4))</f>
        <v>0</v>
      </c>
      <c r="L6" s="33">
        <f t="shared" ref="L6:L43" si="2">ROUND(J6,2)*K6</f>
        <v>0</v>
      </c>
      <c r="M6" s="30">
        <f t="shared" ref="M6:M43" si="3">K6*dagenperjaar1</f>
        <v>0</v>
      </c>
      <c r="N6" s="33">
        <f t="shared" ref="N6:N43" si="4">M6*ROUND(J6,2)</f>
        <v>0</v>
      </c>
    </row>
    <row r="7" spans="1:14" x14ac:dyDescent="0.2">
      <c r="A7" s="20" t="s">
        <v>160</v>
      </c>
      <c r="B7" s="20" t="s">
        <v>12</v>
      </c>
      <c r="C7" s="20" t="s">
        <v>158</v>
      </c>
      <c r="D7" s="20" t="s">
        <v>161</v>
      </c>
      <c r="E7" s="34">
        <v>101</v>
      </c>
      <c r="F7" s="34">
        <f t="shared" si="0"/>
        <v>80.387755102040813</v>
      </c>
      <c r="G7" s="35">
        <f>IF(AND(catpn_1_BBHB_1&gt;0,catpn_1_BBHV_39&gt;0),(dagenperjaar1*VLOOKUP(B7,dagsoorttabel1,2,FALSE))/(((dagenperjaar1*VLOOKUP(B7,dagsoorttabel1,2,FALSE))-catfd_1_BBHV_39)/catpn_1_BBHB_1+catfd_1_BBHV_39/catpn_1_BBHV_39),0)</f>
        <v>0</v>
      </c>
      <c r="H7" s="36">
        <f>IF(AND(catpn_1_BBHB_1&gt;0,catpn_1_BBHV_39&gt;0),(catdw_1_BBHB_1*((dagenperjaar1*VLOOKUP(B7,dagsoorttabel1,2,FALSE))-catfd_1_BBHV_39)/catpn_1_BBHB_1+catdw_1_BBHV_39*catfd_1_BBHV_39/catpn_1_BBHV_39)/(((dagenperjaar1*VLOOKUP(B7,dagsoorttabel1,2,FALSE))-catfd_1_BBHV_39)/catpn_1_BBHB_1+catfd_1_BBHV_39/catpn_1_BBHV_39),0)</f>
        <v>0</v>
      </c>
      <c r="I7" s="20" t="s">
        <v>42</v>
      </c>
      <c r="J7" s="37">
        <f>IF(AND(catpn_1_BBHB_1&gt;0,catpn_1_BBHV_39&gt;0),(cattf_1_BBHB_1*((dagenperjaar1*VLOOKUP(B7,dagsoorttabel1,2,FALSE))-catfd_1_BBHV_39)/catpn_1_BBHB_1+cattf_1_BBHV_39*catfd_1_BBHV_39/catpn_1_BBHV_39)/(((dagenperjaar1*VLOOKUP(B7,dagsoorttabel1,2,FALSE))-catfd_1_BBHV_39)/catpn_1_BBHB_1+catfd_1_BBHV_39/catpn_1_BBHV_39),0)</f>
        <v>0</v>
      </c>
      <c r="K7" s="34">
        <f t="shared" si="1"/>
        <v>0</v>
      </c>
      <c r="L7" s="37">
        <f t="shared" si="2"/>
        <v>0</v>
      </c>
      <c r="M7" s="34">
        <f t="shared" si="3"/>
        <v>0</v>
      </c>
      <c r="N7" s="37">
        <f t="shared" si="4"/>
        <v>0</v>
      </c>
    </row>
    <row r="8" spans="1:14" x14ac:dyDescent="0.2">
      <c r="A8" s="20" t="s">
        <v>162</v>
      </c>
      <c r="B8" s="20" t="s">
        <v>12</v>
      </c>
      <c r="C8" s="20" t="s">
        <v>158</v>
      </c>
      <c r="D8" s="20" t="s">
        <v>163</v>
      </c>
      <c r="E8" s="34">
        <v>10</v>
      </c>
      <c r="F8" s="34">
        <f t="shared" si="0"/>
        <v>7.9591836734693882</v>
      </c>
      <c r="G8" s="35">
        <f>IF(AND(catpn_1_BBZB_1&gt;0,catpn_1_BBZV_39&gt;0),(dagenperjaar1*VLOOKUP(B8,dagsoorttabel1,2,FALSE))/(((dagenperjaar1*VLOOKUP(B8,dagsoorttabel1,2,FALSE))-catfd_1_BBZV_39)/catpn_1_BBZB_1+catfd_1_BBZV_39/catpn_1_BBZV_39),0)</f>
        <v>0</v>
      </c>
      <c r="H8" s="36">
        <f>IF(AND(catpn_1_BBZB_1&gt;0,catpn_1_BBZV_39&gt;0),(catdw_1_BBZB_1*((dagenperjaar1*VLOOKUP(B8,dagsoorttabel1,2,FALSE))-catfd_1_BBZV_39)/catpn_1_BBZB_1+catdw_1_BBZV_39*catfd_1_BBZV_39/catpn_1_BBZV_39)/(((dagenperjaar1*VLOOKUP(B8,dagsoorttabel1,2,FALSE))-catfd_1_BBZV_39)/catpn_1_BBZB_1+catfd_1_BBZV_39/catpn_1_BBZV_39),0)</f>
        <v>0</v>
      </c>
      <c r="I8" s="20" t="s">
        <v>42</v>
      </c>
      <c r="J8" s="37">
        <f>IF(AND(catpn_1_BBZB_1&gt;0,catpn_1_BBZV_39&gt;0),(cattf_1_BBZB_1*((dagenperjaar1*VLOOKUP(B8,dagsoorttabel1,2,FALSE))-catfd_1_BBZV_39)/catpn_1_BBZB_1+cattf_1_BBZV_39*catfd_1_BBZV_39/catpn_1_BBZV_39)/(((dagenperjaar1*VLOOKUP(B8,dagsoorttabel1,2,FALSE))-catfd_1_BBZV_39)/catpn_1_BBZB_1+catfd_1_BBZV_39/catpn_1_BBZV_39),0)</f>
        <v>0</v>
      </c>
      <c r="K8" s="34">
        <f t="shared" si="1"/>
        <v>0</v>
      </c>
      <c r="L8" s="37">
        <f t="shared" si="2"/>
        <v>0</v>
      </c>
      <c r="M8" s="34">
        <f t="shared" si="3"/>
        <v>0</v>
      </c>
      <c r="N8" s="37">
        <f t="shared" si="4"/>
        <v>0</v>
      </c>
    </row>
    <row r="9" spans="1:14" x14ac:dyDescent="0.2">
      <c r="A9" s="20" t="s">
        <v>164</v>
      </c>
      <c r="B9" s="20" t="s">
        <v>20</v>
      </c>
      <c r="C9" s="20" t="s">
        <v>158</v>
      </c>
      <c r="D9" s="20" t="s">
        <v>165</v>
      </c>
      <c r="E9" s="34">
        <v>421.6</v>
      </c>
      <c r="F9" s="34">
        <f t="shared" si="0"/>
        <v>67.111836734693881</v>
      </c>
      <c r="G9" s="35">
        <f>IF(AND(catpn_1_BHB_1&gt;0,catpn_1_BHV_39&gt;0),(dagenperjaar1*VLOOKUP(B9,dagsoorttabel1,2,FALSE))/(((dagenperjaar1*VLOOKUP(B9,dagsoorttabel1,2,FALSE))-catfd_1_BHV_39)/catpn_1_BHB_1+catfd_1_BHV_39/catpn_1_BHV_39),0)</f>
        <v>0</v>
      </c>
      <c r="H9" s="36">
        <f>IF(AND(catpn_1_BHB_1&gt;0,catpn_1_BHV_39&gt;0),(catdw_1_BHB_1*((dagenperjaar1*VLOOKUP(B9,dagsoorttabel1,2,FALSE))-catfd_1_BHV_39)/catpn_1_BHB_1+catdw_1_BHV_39*catfd_1_BHV_39/catpn_1_BHV_39)/(((dagenperjaar1*VLOOKUP(B9,dagsoorttabel1,2,FALSE))-catfd_1_BHV_39)/catpn_1_BHB_1+catfd_1_BHV_39/catpn_1_BHV_39),0)</f>
        <v>0</v>
      </c>
      <c r="I9" s="20" t="s">
        <v>42</v>
      </c>
      <c r="J9" s="37">
        <f>IF(AND(catpn_1_BHB_1&gt;0,catpn_1_BHV_39&gt;0),(cattf_1_BHB_1*((dagenperjaar1*VLOOKUP(B9,dagsoorttabel1,2,FALSE))-catfd_1_BHV_39)/catpn_1_BHB_1+cattf_1_BHV_39*catfd_1_BHV_39/catpn_1_BHV_39)/(((dagenperjaar1*VLOOKUP(B9,dagsoorttabel1,2,FALSE))-catfd_1_BHV_39)/catpn_1_BHB_1+catfd_1_BHV_39/catpn_1_BHV_39),0)</f>
        <v>0</v>
      </c>
      <c r="K9" s="34">
        <f t="shared" si="1"/>
        <v>0</v>
      </c>
      <c r="L9" s="37">
        <f t="shared" si="2"/>
        <v>0</v>
      </c>
      <c r="M9" s="34">
        <f t="shared" si="3"/>
        <v>0</v>
      </c>
      <c r="N9" s="37">
        <f t="shared" si="4"/>
        <v>0</v>
      </c>
    </row>
    <row r="10" spans="1:14" x14ac:dyDescent="0.2">
      <c r="A10" s="20" t="s">
        <v>166</v>
      </c>
      <c r="B10" s="20" t="s">
        <v>20</v>
      </c>
      <c r="C10" s="20" t="s">
        <v>158</v>
      </c>
      <c r="D10" s="20" t="s">
        <v>167</v>
      </c>
      <c r="E10" s="34">
        <v>594.79</v>
      </c>
      <c r="F10" s="34">
        <f t="shared" si="0"/>
        <v>94.680857142857135</v>
      </c>
      <c r="G10" s="35">
        <f>IF(AND(catpn_1_BZB_1&gt;0,catpn_1_BZV_39&gt;0),(dagenperjaar1*VLOOKUP(B10,dagsoorttabel1,2,FALSE))/(((dagenperjaar1*VLOOKUP(B10,dagsoorttabel1,2,FALSE))-catfd_1_BZV_39)/catpn_1_BZB_1+catfd_1_BZV_39/catpn_1_BZV_39),0)</f>
        <v>0</v>
      </c>
      <c r="H10" s="36">
        <f>IF(AND(catpn_1_BZB_1&gt;0,catpn_1_BZV_39&gt;0),(catdw_1_BZB_1*((dagenperjaar1*VLOOKUP(B10,dagsoorttabel1,2,FALSE))-catfd_1_BZV_39)/catpn_1_BZB_1+catdw_1_BZV_39*catfd_1_BZV_39/catpn_1_BZV_39)/(((dagenperjaar1*VLOOKUP(B10,dagsoorttabel1,2,FALSE))-catfd_1_BZV_39)/catpn_1_BZB_1+catfd_1_BZV_39/catpn_1_BZV_39),0)</f>
        <v>0</v>
      </c>
      <c r="I10" s="20" t="s">
        <v>42</v>
      </c>
      <c r="J10" s="37">
        <f>IF(AND(catpn_1_BZB_1&gt;0,catpn_1_BZV_39&gt;0),(cattf_1_BZB_1*((dagenperjaar1*VLOOKUP(B10,dagsoorttabel1,2,FALSE))-catfd_1_BZV_39)/catpn_1_BZB_1+cattf_1_BZV_39*catfd_1_BZV_39/catpn_1_BZV_39)/(((dagenperjaar1*VLOOKUP(B10,dagsoorttabel1,2,FALSE))-catfd_1_BZV_39)/catpn_1_BZB_1+catfd_1_BZV_39/catpn_1_BZV_39),0)</f>
        <v>0</v>
      </c>
      <c r="K10" s="34">
        <f t="shared" si="1"/>
        <v>0</v>
      </c>
      <c r="L10" s="37">
        <f t="shared" si="2"/>
        <v>0</v>
      </c>
      <c r="M10" s="34">
        <f t="shared" si="3"/>
        <v>0</v>
      </c>
      <c r="N10" s="37">
        <f t="shared" si="4"/>
        <v>0</v>
      </c>
    </row>
    <row r="11" spans="1:14" x14ac:dyDescent="0.2">
      <c r="A11" s="20" t="s">
        <v>168</v>
      </c>
      <c r="B11" s="20" t="s">
        <v>12</v>
      </c>
      <c r="C11" s="20" t="s">
        <v>158</v>
      </c>
      <c r="D11" s="20" t="s">
        <v>169</v>
      </c>
      <c r="E11" s="34">
        <v>194</v>
      </c>
      <c r="F11" s="34">
        <f t="shared" si="0"/>
        <v>154.40816326530611</v>
      </c>
      <c r="G11" s="35">
        <f>IF(AND(catpn_1_CHB_1&gt;0,catpn_1_CHV_39&gt;0),(dagenperjaar1*VLOOKUP(B11,dagsoorttabel1,2,FALSE))/(((dagenperjaar1*VLOOKUP(B11,dagsoorttabel1,2,FALSE))-catfd_1_CHV_39)/catpn_1_CHB_1+catfd_1_CHV_39/catpn_1_CHV_39),0)</f>
        <v>0</v>
      </c>
      <c r="H11" s="36">
        <f>IF(AND(catpn_1_CHB_1&gt;0,catpn_1_CHV_39&gt;0),(catdw_1_CHB_1*((dagenperjaar1*VLOOKUP(B11,dagsoorttabel1,2,FALSE))-catfd_1_CHV_39)/catpn_1_CHB_1+catdw_1_CHV_39*catfd_1_CHV_39/catpn_1_CHV_39)/(((dagenperjaar1*VLOOKUP(B11,dagsoorttabel1,2,FALSE))-catfd_1_CHV_39)/catpn_1_CHB_1+catfd_1_CHV_39/catpn_1_CHV_39),0)</f>
        <v>0</v>
      </c>
      <c r="I11" s="20" t="s">
        <v>42</v>
      </c>
      <c r="J11" s="37">
        <f>IF(AND(catpn_1_CHB_1&gt;0,catpn_1_CHV_39&gt;0),(cattf_1_CHB_1*((dagenperjaar1*VLOOKUP(B11,dagsoorttabel1,2,FALSE))-catfd_1_CHV_39)/catpn_1_CHB_1+cattf_1_CHV_39*catfd_1_CHV_39/catpn_1_CHV_39)/(((dagenperjaar1*VLOOKUP(B11,dagsoorttabel1,2,FALSE))-catfd_1_CHV_39)/catpn_1_CHB_1+catfd_1_CHV_39/catpn_1_CHV_39),0)</f>
        <v>0</v>
      </c>
      <c r="K11" s="34">
        <f t="shared" si="1"/>
        <v>0</v>
      </c>
      <c r="L11" s="37">
        <f t="shared" si="2"/>
        <v>0</v>
      </c>
      <c r="M11" s="34">
        <f t="shared" si="3"/>
        <v>0</v>
      </c>
      <c r="N11" s="37">
        <f t="shared" si="4"/>
        <v>0</v>
      </c>
    </row>
    <row r="12" spans="1:14" x14ac:dyDescent="0.2">
      <c r="A12" s="20" t="s">
        <v>170</v>
      </c>
      <c r="B12" s="20" t="s">
        <v>12</v>
      </c>
      <c r="C12" s="20" t="s">
        <v>158</v>
      </c>
      <c r="D12" s="20" t="s">
        <v>171</v>
      </c>
      <c r="E12" s="34">
        <v>29</v>
      </c>
      <c r="F12" s="34">
        <f t="shared" si="0"/>
        <v>23.081632653061224</v>
      </c>
      <c r="G12" s="35">
        <f>IF(AND(catpn_1_CZB_1&gt;0,catpn_1_CZV_39&gt;0),(dagenperjaar1*VLOOKUP(B12,dagsoorttabel1,2,FALSE))/(((dagenperjaar1*VLOOKUP(B12,dagsoorttabel1,2,FALSE))-catfd_1_CZV_39)/catpn_1_CZB_1+catfd_1_CZV_39/catpn_1_CZV_39),0)</f>
        <v>0</v>
      </c>
      <c r="H12" s="36">
        <f>IF(AND(catpn_1_CZB_1&gt;0,catpn_1_CZV_39&gt;0),(catdw_1_CZB_1*((dagenperjaar1*VLOOKUP(B12,dagsoorttabel1,2,FALSE))-catfd_1_CZV_39)/catpn_1_CZB_1+catdw_1_CZV_39*catfd_1_CZV_39/catpn_1_CZV_39)/(((dagenperjaar1*VLOOKUP(B12,dagsoorttabel1,2,FALSE))-catfd_1_CZV_39)/catpn_1_CZB_1+catfd_1_CZV_39/catpn_1_CZV_39),0)</f>
        <v>0</v>
      </c>
      <c r="I12" s="20" t="s">
        <v>42</v>
      </c>
      <c r="J12" s="37">
        <f>IF(AND(catpn_1_CZB_1&gt;0,catpn_1_CZV_39&gt;0),(cattf_1_CZB_1*((dagenperjaar1*VLOOKUP(B12,dagsoorttabel1,2,FALSE))-catfd_1_CZV_39)/catpn_1_CZB_1+cattf_1_CZV_39*catfd_1_CZV_39/catpn_1_CZV_39)/(((dagenperjaar1*VLOOKUP(B12,dagsoorttabel1,2,FALSE))-catfd_1_CZV_39)/catpn_1_CZB_1+catfd_1_CZV_39/catpn_1_CZV_39),0)</f>
        <v>0</v>
      </c>
      <c r="K12" s="34">
        <f t="shared" si="1"/>
        <v>0</v>
      </c>
      <c r="L12" s="37">
        <f t="shared" si="2"/>
        <v>0</v>
      </c>
      <c r="M12" s="34">
        <f t="shared" si="3"/>
        <v>0</v>
      </c>
      <c r="N12" s="37">
        <f t="shared" si="4"/>
        <v>0</v>
      </c>
    </row>
    <row r="13" spans="1:14" x14ac:dyDescent="0.2">
      <c r="A13" s="20" t="s">
        <v>172</v>
      </c>
      <c r="B13" s="20" t="s">
        <v>12</v>
      </c>
      <c r="C13" s="20" t="s">
        <v>158</v>
      </c>
      <c r="D13" s="20" t="s">
        <v>173</v>
      </c>
      <c r="E13" s="34">
        <v>2</v>
      </c>
      <c r="F13" s="34">
        <f t="shared" si="0"/>
        <v>1.5918367346938775</v>
      </c>
      <c r="G13" s="35">
        <f>IF(AND(catpn_1_DHB_1&gt;0,catpn_1_DHV_39&gt;0),(dagenperjaar1*VLOOKUP(B13,dagsoorttabel1,2,FALSE))/(((dagenperjaar1*VLOOKUP(B13,dagsoorttabel1,2,FALSE))-catfd_1_DHV_39)/catpn_1_DHB_1+catfd_1_DHV_39/catpn_1_DHV_39),0)</f>
        <v>0</v>
      </c>
      <c r="H13" s="36">
        <f>IF(AND(catpn_1_DHB_1&gt;0,catpn_1_DHV_39&gt;0),(catdw_1_DHB_1*((dagenperjaar1*VLOOKUP(B13,dagsoorttabel1,2,FALSE))-catfd_1_DHV_39)/catpn_1_DHB_1+catdw_1_DHV_39*catfd_1_DHV_39/catpn_1_DHV_39)/(((dagenperjaar1*VLOOKUP(B13,dagsoorttabel1,2,FALSE))-catfd_1_DHV_39)/catpn_1_DHB_1+catfd_1_DHV_39/catpn_1_DHV_39),0)</f>
        <v>0</v>
      </c>
      <c r="I13" s="20" t="s">
        <v>42</v>
      </c>
      <c r="J13" s="37">
        <f>IF(AND(catpn_1_DHB_1&gt;0,catpn_1_DHV_39&gt;0),(cattf_1_DHB_1*((dagenperjaar1*VLOOKUP(B13,dagsoorttabel1,2,FALSE))-catfd_1_DHV_39)/catpn_1_DHB_1+cattf_1_DHV_39*catfd_1_DHV_39/catpn_1_DHV_39)/(((dagenperjaar1*VLOOKUP(B13,dagsoorttabel1,2,FALSE))-catfd_1_DHV_39)/catpn_1_DHB_1+catfd_1_DHV_39/catpn_1_DHV_39),0)</f>
        <v>0</v>
      </c>
      <c r="K13" s="34">
        <f t="shared" si="1"/>
        <v>0</v>
      </c>
      <c r="L13" s="37">
        <f t="shared" si="2"/>
        <v>0</v>
      </c>
      <c r="M13" s="34">
        <f t="shared" si="3"/>
        <v>0</v>
      </c>
      <c r="N13" s="37">
        <f t="shared" si="4"/>
        <v>0</v>
      </c>
    </row>
    <row r="14" spans="1:14" x14ac:dyDescent="0.2">
      <c r="A14" s="20" t="s">
        <v>174</v>
      </c>
      <c r="B14" s="20" t="s">
        <v>12</v>
      </c>
      <c r="C14" s="20" t="s">
        <v>158</v>
      </c>
      <c r="D14" s="20" t="s">
        <v>175</v>
      </c>
      <c r="E14" s="34">
        <v>4.5</v>
      </c>
      <c r="F14" s="34">
        <f t="shared" si="0"/>
        <v>3.5816326530612246</v>
      </c>
      <c r="G14" s="35">
        <f>IF(AND(catpn_1_FHB_1&gt;0,catpn_1_FHV_39&gt;0),(dagenperjaar1*VLOOKUP(B14,dagsoorttabel1,2,FALSE))/(((dagenperjaar1*VLOOKUP(B14,dagsoorttabel1,2,FALSE))-catfd_1_FHV_39)/catpn_1_FHB_1+catfd_1_FHV_39/catpn_1_FHV_39),0)</f>
        <v>0</v>
      </c>
      <c r="H14" s="36">
        <f>IF(AND(catpn_1_FHB_1&gt;0,catpn_1_FHV_39&gt;0),(catdw_1_FHB_1*((dagenperjaar1*VLOOKUP(B14,dagsoorttabel1,2,FALSE))-catfd_1_FHV_39)/catpn_1_FHB_1+catdw_1_FHV_39*catfd_1_FHV_39/catpn_1_FHV_39)/(((dagenperjaar1*VLOOKUP(B14,dagsoorttabel1,2,FALSE))-catfd_1_FHV_39)/catpn_1_FHB_1+catfd_1_FHV_39/catpn_1_FHV_39),0)</f>
        <v>0</v>
      </c>
      <c r="I14" s="20" t="s">
        <v>42</v>
      </c>
      <c r="J14" s="37">
        <f>IF(AND(catpn_1_FHB_1&gt;0,catpn_1_FHV_39&gt;0),(cattf_1_FHB_1*((dagenperjaar1*VLOOKUP(B14,dagsoorttabel1,2,FALSE))-catfd_1_FHV_39)/catpn_1_FHB_1+cattf_1_FHV_39*catfd_1_FHV_39/catpn_1_FHV_39)/(((dagenperjaar1*VLOOKUP(B14,dagsoorttabel1,2,FALSE))-catfd_1_FHV_39)/catpn_1_FHB_1+catfd_1_FHV_39/catpn_1_FHV_39),0)</f>
        <v>0</v>
      </c>
      <c r="K14" s="34">
        <f t="shared" si="1"/>
        <v>0</v>
      </c>
      <c r="L14" s="37">
        <f t="shared" si="2"/>
        <v>0</v>
      </c>
      <c r="M14" s="34">
        <f t="shared" si="3"/>
        <v>0</v>
      </c>
      <c r="N14" s="37">
        <f t="shared" si="4"/>
        <v>0</v>
      </c>
    </row>
    <row r="15" spans="1:14" x14ac:dyDescent="0.2">
      <c r="A15" s="20" t="s">
        <v>176</v>
      </c>
      <c r="B15" s="20" t="s">
        <v>13</v>
      </c>
      <c r="C15" s="20" t="s">
        <v>158</v>
      </c>
      <c r="D15" s="20" t="s">
        <v>177</v>
      </c>
      <c r="E15" s="34">
        <v>3004</v>
      </c>
      <c r="F15" s="34">
        <f t="shared" si="0"/>
        <v>1912.7510204081632</v>
      </c>
      <c r="G15" s="35">
        <f>IF(AND(catpn_1_LHB_1&gt;0,catpn_1_LHV_39&gt;0),(dagenperjaar1*VLOOKUP(B15,dagsoorttabel1,2,FALSE))/(((dagenperjaar1*VLOOKUP(B15,dagsoorttabel1,2,FALSE))-catfd_1_LHV_39)/catpn_1_LHB_1+catfd_1_LHV_39/catpn_1_LHV_39),0)</f>
        <v>0</v>
      </c>
      <c r="H15" s="36">
        <f>IF(AND(catpn_1_LHB_1&gt;0,catpn_1_LHV_39&gt;0),(catdw_1_LHB_1*((dagenperjaar1*VLOOKUP(B15,dagsoorttabel1,2,FALSE))-catfd_1_LHV_39)/catpn_1_LHB_1+catdw_1_LHV_39*catfd_1_LHV_39/catpn_1_LHV_39)/(((dagenperjaar1*VLOOKUP(B15,dagsoorttabel1,2,FALSE))-catfd_1_LHV_39)/catpn_1_LHB_1+catfd_1_LHV_39/catpn_1_LHV_39),0)</f>
        <v>0</v>
      </c>
      <c r="I15" s="20" t="s">
        <v>42</v>
      </c>
      <c r="J15" s="37">
        <f>IF(AND(catpn_1_LHB_1&gt;0,catpn_1_LHV_39&gt;0),(cattf_1_LHB_1*((dagenperjaar1*VLOOKUP(B15,dagsoorttabel1,2,FALSE))-catfd_1_LHV_39)/catpn_1_LHB_1+cattf_1_LHV_39*catfd_1_LHV_39/catpn_1_LHV_39)/(((dagenperjaar1*VLOOKUP(B15,dagsoorttabel1,2,FALSE))-catfd_1_LHV_39)/catpn_1_LHB_1+catfd_1_LHV_39/catpn_1_LHV_39),0)</f>
        <v>0</v>
      </c>
      <c r="K15" s="34">
        <f t="shared" si="1"/>
        <v>0</v>
      </c>
      <c r="L15" s="37">
        <f t="shared" si="2"/>
        <v>0</v>
      </c>
      <c r="M15" s="34">
        <f t="shared" si="3"/>
        <v>0</v>
      </c>
      <c r="N15" s="37">
        <f t="shared" si="4"/>
        <v>0</v>
      </c>
    </row>
    <row r="16" spans="1:14" x14ac:dyDescent="0.2">
      <c r="A16" s="20" t="s">
        <v>178</v>
      </c>
      <c r="B16" s="20" t="s">
        <v>13</v>
      </c>
      <c r="C16" s="20" t="s">
        <v>158</v>
      </c>
      <c r="D16" s="20" t="s">
        <v>179</v>
      </c>
      <c r="E16" s="34">
        <v>159</v>
      </c>
      <c r="F16" s="34">
        <f t="shared" si="0"/>
        <v>101.24081632653061</v>
      </c>
      <c r="G16" s="35">
        <f>IF(AND(catpn_1_LZB_1&gt;0,catpn_1_LZV_39&gt;0),(dagenperjaar1*VLOOKUP(B16,dagsoorttabel1,2,FALSE))/(((dagenperjaar1*VLOOKUP(B16,dagsoorttabel1,2,FALSE))-catfd_1_LZV_39)/catpn_1_LZB_1+catfd_1_LZV_39/catpn_1_LZV_39),0)</f>
        <v>0</v>
      </c>
      <c r="H16" s="36">
        <f>IF(AND(catpn_1_LZB_1&gt;0,catpn_1_LZV_39&gt;0),(catdw_1_LZB_1*((dagenperjaar1*VLOOKUP(B16,dagsoorttabel1,2,FALSE))-catfd_1_LZV_39)/catpn_1_LZB_1+catdw_1_LZV_39*catfd_1_LZV_39/catpn_1_LZV_39)/(((dagenperjaar1*VLOOKUP(B16,dagsoorttabel1,2,FALSE))-catfd_1_LZV_39)/catpn_1_LZB_1+catfd_1_LZV_39/catpn_1_LZV_39),0)</f>
        <v>0</v>
      </c>
      <c r="I16" s="20" t="s">
        <v>42</v>
      </c>
      <c r="J16" s="37">
        <f>IF(AND(catpn_1_LZB_1&gt;0,catpn_1_LZV_39&gt;0),(cattf_1_LZB_1*((dagenperjaar1*VLOOKUP(B16,dagsoorttabel1,2,FALSE))-catfd_1_LZV_39)/catpn_1_LZB_1+cattf_1_LZV_39*catfd_1_LZV_39/catpn_1_LZV_39)/(((dagenperjaar1*VLOOKUP(B16,dagsoorttabel1,2,FALSE))-catfd_1_LZV_39)/catpn_1_LZB_1+catfd_1_LZV_39/catpn_1_LZV_39),0)</f>
        <v>0</v>
      </c>
      <c r="K16" s="34">
        <f t="shared" si="1"/>
        <v>0</v>
      </c>
      <c r="L16" s="37">
        <f t="shared" si="2"/>
        <v>0</v>
      </c>
      <c r="M16" s="34">
        <f t="shared" si="3"/>
        <v>0</v>
      </c>
      <c r="N16" s="37">
        <f t="shared" si="4"/>
        <v>0</v>
      </c>
    </row>
    <row r="17" spans="1:14" x14ac:dyDescent="0.2">
      <c r="A17" s="20" t="s">
        <v>180</v>
      </c>
      <c r="B17" s="20" t="s">
        <v>12</v>
      </c>
      <c r="C17" s="20" t="s">
        <v>158</v>
      </c>
      <c r="D17" s="20" t="s">
        <v>181</v>
      </c>
      <c r="E17" s="34">
        <v>114</v>
      </c>
      <c r="F17" s="34">
        <f t="shared" si="0"/>
        <v>90.734693877551024</v>
      </c>
      <c r="G17" s="35">
        <f>IF(AND(catpn_1_MHB_1&gt;0,catpn_1_MHV_39&gt;0),(dagenperjaar1*VLOOKUP(B17,dagsoorttabel1,2,FALSE))/(((dagenperjaar1*VLOOKUP(B17,dagsoorttabel1,2,FALSE))-catfd_1_MHV_39)/catpn_1_MHB_1+catfd_1_MHV_39/catpn_1_MHV_39),0)</f>
        <v>0</v>
      </c>
      <c r="H17" s="36">
        <f>IF(AND(catpn_1_MHB_1&gt;0,catpn_1_MHV_39&gt;0),(catdw_1_MHB_1*((dagenperjaar1*VLOOKUP(B17,dagsoorttabel1,2,FALSE))-catfd_1_MHV_39)/catpn_1_MHB_1+catdw_1_MHV_39*catfd_1_MHV_39/catpn_1_MHV_39)/(((dagenperjaar1*VLOOKUP(B17,dagsoorttabel1,2,FALSE))-catfd_1_MHV_39)/catpn_1_MHB_1+catfd_1_MHV_39/catpn_1_MHV_39),0)</f>
        <v>0</v>
      </c>
      <c r="I17" s="20" t="s">
        <v>42</v>
      </c>
      <c r="J17" s="37">
        <f>IF(AND(catpn_1_MHB_1&gt;0,catpn_1_MHV_39&gt;0),(cattf_1_MHB_1*((dagenperjaar1*VLOOKUP(B17,dagsoorttabel1,2,FALSE))-catfd_1_MHV_39)/catpn_1_MHB_1+cattf_1_MHV_39*catfd_1_MHV_39/catpn_1_MHV_39)/(((dagenperjaar1*VLOOKUP(B17,dagsoorttabel1,2,FALSE))-catfd_1_MHV_39)/catpn_1_MHB_1+catfd_1_MHV_39/catpn_1_MHV_39),0)</f>
        <v>0</v>
      </c>
      <c r="K17" s="34">
        <f t="shared" si="1"/>
        <v>0</v>
      </c>
      <c r="L17" s="37">
        <f t="shared" si="2"/>
        <v>0</v>
      </c>
      <c r="M17" s="34">
        <f t="shared" si="3"/>
        <v>0</v>
      </c>
      <c r="N17" s="37">
        <f t="shared" si="4"/>
        <v>0</v>
      </c>
    </row>
    <row r="18" spans="1:14" x14ac:dyDescent="0.2">
      <c r="A18" s="20" t="s">
        <v>182</v>
      </c>
      <c r="B18" s="20" t="s">
        <v>20</v>
      </c>
      <c r="C18" s="20" t="s">
        <v>158</v>
      </c>
      <c r="D18" s="20" t="s">
        <v>183</v>
      </c>
      <c r="E18" s="34">
        <v>2502</v>
      </c>
      <c r="F18" s="34">
        <f t="shared" si="0"/>
        <v>398.27755102040817</v>
      </c>
      <c r="G18" s="35">
        <f>IF(AND(catpn_1_PAHB_1&gt;0,catpn_1_PAHV_39&gt;0),(dagenperjaar1*VLOOKUP(B18,dagsoorttabel1,2,FALSE))/(((dagenperjaar1*VLOOKUP(B18,dagsoorttabel1,2,FALSE))-catfd_1_PAHV_39)/catpn_1_PAHB_1+catfd_1_PAHV_39/catpn_1_PAHV_39),0)</f>
        <v>0</v>
      </c>
      <c r="H18" s="36">
        <f>IF(AND(catpn_1_PAHB_1&gt;0,catpn_1_PAHV_39&gt;0),(catdw_1_PAHB_1*((dagenperjaar1*VLOOKUP(B18,dagsoorttabel1,2,FALSE))-catfd_1_PAHV_39)/catpn_1_PAHB_1+catdw_1_PAHV_39*catfd_1_PAHV_39/catpn_1_PAHV_39)/(((dagenperjaar1*VLOOKUP(B18,dagsoorttabel1,2,FALSE))-catfd_1_PAHV_39)/catpn_1_PAHB_1+catfd_1_PAHV_39/catpn_1_PAHV_39),0)</f>
        <v>0</v>
      </c>
      <c r="I18" s="20" t="s">
        <v>42</v>
      </c>
      <c r="J18" s="37">
        <f>IF(AND(catpn_1_PAHB_1&gt;0,catpn_1_PAHV_39&gt;0),(cattf_1_PAHB_1*((dagenperjaar1*VLOOKUP(B18,dagsoorttabel1,2,FALSE))-catfd_1_PAHV_39)/catpn_1_PAHB_1+cattf_1_PAHV_39*catfd_1_PAHV_39/catpn_1_PAHV_39)/(((dagenperjaar1*VLOOKUP(B18,dagsoorttabel1,2,FALSE))-catfd_1_PAHV_39)/catpn_1_PAHB_1+catfd_1_PAHV_39/catpn_1_PAHV_39),0)</f>
        <v>0</v>
      </c>
      <c r="K18" s="34">
        <f t="shared" si="1"/>
        <v>0</v>
      </c>
      <c r="L18" s="37">
        <f t="shared" si="2"/>
        <v>0</v>
      </c>
      <c r="M18" s="34">
        <f t="shared" si="3"/>
        <v>0</v>
      </c>
      <c r="N18" s="37">
        <f t="shared" si="4"/>
        <v>0</v>
      </c>
    </row>
    <row r="19" spans="1:14" x14ac:dyDescent="0.2">
      <c r="A19" s="20" t="s">
        <v>184</v>
      </c>
      <c r="B19" s="20" t="s">
        <v>12</v>
      </c>
      <c r="C19" s="20" t="s">
        <v>158</v>
      </c>
      <c r="D19" s="20" t="s">
        <v>185</v>
      </c>
      <c r="E19" s="34">
        <v>31</v>
      </c>
      <c r="F19" s="34">
        <f t="shared" si="0"/>
        <v>24.673469387755102</v>
      </c>
      <c r="G19" s="35">
        <f>IF(AND(catpn_1_PHB_1&gt;0,catpn_1_PHV_39&gt;0),(dagenperjaar1*VLOOKUP(B19,dagsoorttabel1,2,FALSE))/(((dagenperjaar1*VLOOKUP(B19,dagsoorttabel1,2,FALSE))-catfd_1_PHV_39)/catpn_1_PHB_1+catfd_1_PHV_39/catpn_1_PHV_39),0)</f>
        <v>0</v>
      </c>
      <c r="H19" s="36">
        <f>IF(AND(catpn_1_PHB_1&gt;0,catpn_1_PHV_39&gt;0),(catdw_1_PHB_1*((dagenperjaar1*VLOOKUP(B19,dagsoorttabel1,2,FALSE))-catfd_1_PHV_39)/catpn_1_PHB_1+catdw_1_PHV_39*catfd_1_PHV_39/catpn_1_PHV_39)/(((dagenperjaar1*VLOOKUP(B19,dagsoorttabel1,2,FALSE))-catfd_1_PHV_39)/catpn_1_PHB_1+catfd_1_PHV_39/catpn_1_PHV_39),0)</f>
        <v>0</v>
      </c>
      <c r="I19" s="20" t="s">
        <v>42</v>
      </c>
      <c r="J19" s="37">
        <f>IF(AND(catpn_1_PHB_1&gt;0,catpn_1_PHV_39&gt;0),(cattf_1_PHB_1*((dagenperjaar1*VLOOKUP(B19,dagsoorttabel1,2,FALSE))-catfd_1_PHV_39)/catpn_1_PHB_1+cattf_1_PHV_39*catfd_1_PHV_39/catpn_1_PHV_39)/(((dagenperjaar1*VLOOKUP(B19,dagsoorttabel1,2,FALSE))-catfd_1_PHV_39)/catpn_1_PHB_1+catfd_1_PHV_39/catpn_1_PHV_39),0)</f>
        <v>0</v>
      </c>
      <c r="K19" s="34">
        <f t="shared" si="1"/>
        <v>0</v>
      </c>
      <c r="L19" s="37">
        <f t="shared" si="2"/>
        <v>0</v>
      </c>
      <c r="M19" s="34">
        <f t="shared" si="3"/>
        <v>0</v>
      </c>
      <c r="N19" s="37">
        <f t="shared" si="4"/>
        <v>0</v>
      </c>
    </row>
    <row r="20" spans="1:14" x14ac:dyDescent="0.2">
      <c r="A20" s="20" t="s">
        <v>186</v>
      </c>
      <c r="B20" s="20" t="s">
        <v>12</v>
      </c>
      <c r="C20" s="20" t="s">
        <v>158</v>
      </c>
      <c r="D20" s="20" t="s">
        <v>187</v>
      </c>
      <c r="E20" s="34">
        <v>8</v>
      </c>
      <c r="F20" s="34">
        <f t="shared" si="0"/>
        <v>6.3673469387755102</v>
      </c>
      <c r="G20" s="35">
        <f>IF(AND(catpn_1_RHB_1&gt;0,catpn_1_RHV_39&gt;0),(dagenperjaar1*VLOOKUP(B20,dagsoorttabel1,2,FALSE))/(((dagenperjaar1*VLOOKUP(B20,dagsoorttabel1,2,FALSE))-catfd_1_RHV_39)/catpn_1_RHB_1+catfd_1_RHV_39/catpn_1_RHV_39),0)</f>
        <v>0</v>
      </c>
      <c r="H20" s="36">
        <f>IF(AND(catpn_1_RHB_1&gt;0,catpn_1_RHV_39&gt;0),(catdw_1_RHB_1*((dagenperjaar1*VLOOKUP(B20,dagsoorttabel1,2,FALSE))-catfd_1_RHV_39)/catpn_1_RHB_1+catdw_1_RHV_39*catfd_1_RHV_39/catpn_1_RHV_39)/(((dagenperjaar1*VLOOKUP(B20,dagsoorttabel1,2,FALSE))-catfd_1_RHV_39)/catpn_1_RHB_1+catfd_1_RHV_39/catpn_1_RHV_39),0)</f>
        <v>0</v>
      </c>
      <c r="I20" s="20" t="s">
        <v>42</v>
      </c>
      <c r="J20" s="37">
        <f>IF(AND(catpn_1_RHB_1&gt;0,catpn_1_RHV_39&gt;0),(cattf_1_RHB_1*((dagenperjaar1*VLOOKUP(B20,dagsoorttabel1,2,FALSE))-catfd_1_RHV_39)/catpn_1_RHB_1+cattf_1_RHV_39*catfd_1_RHV_39/catpn_1_RHV_39)/(((dagenperjaar1*VLOOKUP(B20,dagsoorttabel1,2,FALSE))-catfd_1_RHV_39)/catpn_1_RHB_1+catfd_1_RHV_39/catpn_1_RHV_39),0)</f>
        <v>0</v>
      </c>
      <c r="K20" s="34">
        <f t="shared" si="1"/>
        <v>0</v>
      </c>
      <c r="L20" s="37">
        <f t="shared" si="2"/>
        <v>0</v>
      </c>
      <c r="M20" s="34">
        <f t="shared" si="3"/>
        <v>0</v>
      </c>
      <c r="N20" s="37">
        <f t="shared" si="4"/>
        <v>0</v>
      </c>
    </row>
    <row r="21" spans="1:14" x14ac:dyDescent="0.2">
      <c r="A21" s="20" t="s">
        <v>188</v>
      </c>
      <c r="B21" s="20" t="s">
        <v>12</v>
      </c>
      <c r="C21" s="20" t="s">
        <v>158</v>
      </c>
      <c r="D21" s="20" t="s">
        <v>189</v>
      </c>
      <c r="E21" s="34">
        <v>196.10000000000002</v>
      </c>
      <c r="F21" s="34">
        <f t="shared" si="0"/>
        <v>156.07959183673472</v>
      </c>
      <c r="G21" s="35">
        <f>IF(AND(catpn_1_SHB_1&gt;0,catpn_1_SHV_39&gt;0),(dagenperjaar1*VLOOKUP(B21,dagsoorttabel1,2,FALSE))/(((dagenperjaar1*VLOOKUP(B21,dagsoorttabel1,2,FALSE))-catfd_1_SHV_39)/catpn_1_SHB_1+catfd_1_SHV_39/catpn_1_SHV_39),0)</f>
        <v>0</v>
      </c>
      <c r="H21" s="36">
        <f>IF(AND(catpn_1_SHB_1&gt;0,catpn_1_SHV_39&gt;0),(catdw_1_SHB_1*((dagenperjaar1*VLOOKUP(B21,dagsoorttabel1,2,FALSE))-catfd_1_SHV_39)/catpn_1_SHB_1+catdw_1_SHV_39*catfd_1_SHV_39/catpn_1_SHV_39)/(((dagenperjaar1*VLOOKUP(B21,dagsoorttabel1,2,FALSE))-catfd_1_SHV_39)/catpn_1_SHB_1+catfd_1_SHV_39/catpn_1_SHV_39),0)</f>
        <v>0</v>
      </c>
      <c r="I21" s="20" t="s">
        <v>42</v>
      </c>
      <c r="J21" s="37">
        <f>IF(AND(catpn_1_SHB_1&gt;0,catpn_1_SHV_39&gt;0),(cattf_1_SHB_1*((dagenperjaar1*VLOOKUP(B21,dagsoorttabel1,2,FALSE))-catfd_1_SHV_39)/catpn_1_SHB_1+cattf_1_SHV_39*catfd_1_SHV_39/catpn_1_SHV_39)/(((dagenperjaar1*VLOOKUP(B21,dagsoorttabel1,2,FALSE))-catfd_1_SHV_39)/catpn_1_SHB_1+catfd_1_SHV_39/catpn_1_SHV_39),0)</f>
        <v>0</v>
      </c>
      <c r="K21" s="34">
        <f t="shared" si="1"/>
        <v>0</v>
      </c>
      <c r="L21" s="37">
        <f t="shared" si="2"/>
        <v>0</v>
      </c>
      <c r="M21" s="34">
        <f t="shared" si="3"/>
        <v>0</v>
      </c>
      <c r="N21" s="37">
        <f t="shared" si="4"/>
        <v>0</v>
      </c>
    </row>
    <row r="22" spans="1:14" x14ac:dyDescent="0.2">
      <c r="A22" s="20" t="s">
        <v>190</v>
      </c>
      <c r="B22" s="20" t="s">
        <v>12</v>
      </c>
      <c r="C22" s="20" t="s">
        <v>158</v>
      </c>
      <c r="D22" s="20" t="s">
        <v>191</v>
      </c>
      <c r="E22" s="34">
        <v>78</v>
      </c>
      <c r="F22" s="34">
        <f t="shared" si="0"/>
        <v>62.081632653061227</v>
      </c>
      <c r="G22" s="35">
        <f>catpn_1_SHB_1</f>
        <v>0</v>
      </c>
      <c r="H22" s="36">
        <f>catdw_1_SHB_1</f>
        <v>0</v>
      </c>
      <c r="I22" s="20" t="s">
        <v>42</v>
      </c>
      <c r="J22" s="37">
        <f>cattf_1_SHB_1</f>
        <v>0</v>
      </c>
      <c r="K22" s="34">
        <f t="shared" si="1"/>
        <v>0</v>
      </c>
      <c r="L22" s="37">
        <f t="shared" si="2"/>
        <v>0</v>
      </c>
      <c r="M22" s="34">
        <f t="shared" si="3"/>
        <v>0</v>
      </c>
      <c r="N22" s="37">
        <f t="shared" si="4"/>
        <v>0</v>
      </c>
    </row>
    <row r="23" spans="1:14" x14ac:dyDescent="0.2">
      <c r="A23" s="20" t="s">
        <v>192</v>
      </c>
      <c r="B23" s="20" t="s">
        <v>12</v>
      </c>
      <c r="C23" s="20" t="s">
        <v>158</v>
      </c>
      <c r="D23" s="20" t="s">
        <v>193</v>
      </c>
      <c r="E23" s="34">
        <v>204</v>
      </c>
      <c r="F23" s="34">
        <f t="shared" si="0"/>
        <v>162.36734693877551</v>
      </c>
      <c r="G23" s="35">
        <f>IF(AND(catpn_1_THB_1&gt;0,catpn_1_THV_39&gt;0),(dagenperjaar1*VLOOKUP(B23,dagsoorttabel1,2,FALSE))/(((dagenperjaar1*VLOOKUP(B23,dagsoorttabel1,2,FALSE))-catfd_1_THV_39)/catpn_1_THB_1+catfd_1_THV_39/catpn_1_THV_39),0)</f>
        <v>0</v>
      </c>
      <c r="H23" s="36">
        <f>IF(AND(catpn_1_THB_1&gt;0,catpn_1_THV_39&gt;0),(catdw_1_THB_1*((dagenperjaar1*VLOOKUP(B23,dagsoorttabel1,2,FALSE))-catfd_1_THV_39)/catpn_1_THB_1+catdw_1_THV_39*catfd_1_THV_39/catpn_1_THV_39)/(((dagenperjaar1*VLOOKUP(B23,dagsoorttabel1,2,FALSE))-catfd_1_THV_39)/catpn_1_THB_1+catfd_1_THV_39/catpn_1_THV_39),0)</f>
        <v>0</v>
      </c>
      <c r="I23" s="20" t="s">
        <v>42</v>
      </c>
      <c r="J23" s="37">
        <f>IF(AND(catpn_1_THB_1&gt;0,catpn_1_THV_39&gt;0),(cattf_1_THB_1*((dagenperjaar1*VLOOKUP(B23,dagsoorttabel1,2,FALSE))-catfd_1_THV_39)/catpn_1_THB_1+cattf_1_THV_39*catfd_1_THV_39/catpn_1_THV_39)/(((dagenperjaar1*VLOOKUP(B23,dagsoorttabel1,2,FALSE))-catfd_1_THV_39)/catpn_1_THB_1+catfd_1_THV_39/catpn_1_THV_39),0)</f>
        <v>0</v>
      </c>
      <c r="K23" s="34">
        <f t="shared" si="1"/>
        <v>0</v>
      </c>
      <c r="L23" s="37">
        <f t="shared" si="2"/>
        <v>0</v>
      </c>
      <c r="M23" s="34">
        <f t="shared" si="3"/>
        <v>0</v>
      </c>
      <c r="N23" s="37">
        <f t="shared" si="4"/>
        <v>0</v>
      </c>
    </row>
    <row r="24" spans="1:14" x14ac:dyDescent="0.2">
      <c r="A24" s="20" t="s">
        <v>192</v>
      </c>
      <c r="B24" s="20" t="s">
        <v>20</v>
      </c>
      <c r="C24" s="20" t="s">
        <v>158</v>
      </c>
      <c r="D24" s="20" t="s">
        <v>193</v>
      </c>
      <c r="E24" s="34">
        <v>82</v>
      </c>
      <c r="F24" s="34">
        <f t="shared" si="0"/>
        <v>13.053061224489795</v>
      </c>
      <c r="G24" s="35">
        <f>IF(AND(catpn_1_THB_1&gt;0,catpn_1_THV_39&gt;0),(dagenperjaar1*VLOOKUP(B24,dagsoorttabel1,2,FALSE))/(((dagenperjaar1*VLOOKUP(B24,dagsoorttabel1,2,FALSE))-catfd_1_THV_39)/catpn_1_THB_1+catfd_1_THV_39/catpn_1_THV_39),0)</f>
        <v>0</v>
      </c>
      <c r="H24" s="36">
        <f>IF(AND(catpn_1_THB_1&gt;0,catpn_1_THV_39&gt;0),(catdw_1_THB_1*((dagenperjaar1*VLOOKUP(B24,dagsoorttabel1,2,FALSE))-catfd_1_THV_39)/catpn_1_THB_1+catdw_1_THV_39*catfd_1_THV_39/catpn_1_THV_39)/(((dagenperjaar1*VLOOKUP(B24,dagsoorttabel1,2,FALSE))-catfd_1_THV_39)/catpn_1_THB_1+catfd_1_THV_39/catpn_1_THV_39),0)</f>
        <v>0</v>
      </c>
      <c r="I24" s="20" t="s">
        <v>42</v>
      </c>
      <c r="J24" s="37">
        <f>IF(AND(catpn_1_THB_1&gt;0,catpn_1_THV_39&gt;0),(cattf_1_THB_1*((dagenperjaar1*VLOOKUP(B24,dagsoorttabel1,2,FALSE))-catfd_1_THV_39)/catpn_1_THB_1+cattf_1_THV_39*catfd_1_THV_39/catpn_1_THV_39)/(((dagenperjaar1*VLOOKUP(B24,dagsoorttabel1,2,FALSE))-catfd_1_THV_39)/catpn_1_THB_1+catfd_1_THV_39/catpn_1_THV_39),0)</f>
        <v>0</v>
      </c>
      <c r="K24" s="34">
        <f t="shared" si="1"/>
        <v>0</v>
      </c>
      <c r="L24" s="37">
        <f t="shared" si="2"/>
        <v>0</v>
      </c>
      <c r="M24" s="34">
        <f t="shared" si="3"/>
        <v>0</v>
      </c>
      <c r="N24" s="37">
        <f t="shared" si="4"/>
        <v>0</v>
      </c>
    </row>
    <row r="25" spans="1:14" x14ac:dyDescent="0.2">
      <c r="A25" s="20" t="s">
        <v>194</v>
      </c>
      <c r="B25" s="20" t="s">
        <v>12</v>
      </c>
      <c r="C25" s="20" t="s">
        <v>158</v>
      </c>
      <c r="D25" s="20" t="s">
        <v>195</v>
      </c>
      <c r="E25" s="34">
        <v>1863</v>
      </c>
      <c r="F25" s="34">
        <f t="shared" si="0"/>
        <v>1482.795918367347</v>
      </c>
      <c r="G25" s="35">
        <f>IF(AND(catpn_1_VHB_1&gt;0,catpn_1_VHV_39&gt;0),(dagenperjaar1*VLOOKUP(B25,dagsoorttabel1,2,FALSE))/(((dagenperjaar1*VLOOKUP(B25,dagsoorttabel1,2,FALSE))-catfd_1_VHV_39)/catpn_1_VHB_1+catfd_1_VHV_39/catpn_1_VHV_39),0)</f>
        <v>0</v>
      </c>
      <c r="H25" s="36">
        <f>IF(AND(catpn_1_VHB_1&gt;0,catpn_1_VHV_39&gt;0),(catdw_1_VHB_1*((dagenperjaar1*VLOOKUP(B25,dagsoorttabel1,2,FALSE))-catfd_1_VHV_39)/catpn_1_VHB_1+catdw_1_VHV_39*catfd_1_VHV_39/catpn_1_VHV_39)/(((dagenperjaar1*VLOOKUP(B25,dagsoorttabel1,2,FALSE))-catfd_1_VHV_39)/catpn_1_VHB_1+catfd_1_VHV_39/catpn_1_VHV_39),0)</f>
        <v>0</v>
      </c>
      <c r="I25" s="20" t="s">
        <v>42</v>
      </c>
      <c r="J25" s="37">
        <f>IF(AND(catpn_1_VHB_1&gt;0,catpn_1_VHV_39&gt;0),(cattf_1_VHB_1*((dagenperjaar1*VLOOKUP(B25,dagsoorttabel1,2,FALSE))-catfd_1_VHV_39)/catpn_1_VHB_1+cattf_1_VHV_39*catfd_1_VHV_39/catpn_1_VHV_39)/(((dagenperjaar1*VLOOKUP(B25,dagsoorttabel1,2,FALSE))-catfd_1_VHV_39)/catpn_1_VHB_1+catfd_1_VHV_39/catpn_1_VHV_39),0)</f>
        <v>0</v>
      </c>
      <c r="K25" s="34">
        <f t="shared" si="1"/>
        <v>0</v>
      </c>
      <c r="L25" s="37">
        <f t="shared" si="2"/>
        <v>0</v>
      </c>
      <c r="M25" s="34">
        <f t="shared" si="3"/>
        <v>0</v>
      </c>
      <c r="N25" s="37">
        <f t="shared" si="4"/>
        <v>0</v>
      </c>
    </row>
    <row r="26" spans="1:14" x14ac:dyDescent="0.2">
      <c r="A26" s="20" t="s">
        <v>194</v>
      </c>
      <c r="B26" s="20" t="s">
        <v>20</v>
      </c>
      <c r="C26" s="20" t="s">
        <v>158</v>
      </c>
      <c r="D26" s="20" t="s">
        <v>195</v>
      </c>
      <c r="E26" s="34">
        <v>1927</v>
      </c>
      <c r="F26" s="34">
        <f t="shared" si="0"/>
        <v>306.74693877551022</v>
      </c>
      <c r="G26" s="35">
        <f>IF(AND(catpn_1_VHB_1&gt;0,catpn_1_VHV_39&gt;0),(dagenperjaar1*VLOOKUP(B26,dagsoorttabel1,2,FALSE))/(((dagenperjaar1*VLOOKUP(B26,dagsoorttabel1,2,FALSE))-catfd_1_VHV_39)/catpn_1_VHB_1+catfd_1_VHV_39/catpn_1_VHV_39),0)</f>
        <v>0</v>
      </c>
      <c r="H26" s="36">
        <f>IF(AND(catpn_1_VHB_1&gt;0,catpn_1_VHV_39&gt;0),(catdw_1_VHB_1*((dagenperjaar1*VLOOKUP(B26,dagsoorttabel1,2,FALSE))-catfd_1_VHV_39)/catpn_1_VHB_1+catdw_1_VHV_39*catfd_1_VHV_39/catpn_1_VHV_39)/(((dagenperjaar1*VLOOKUP(B26,dagsoorttabel1,2,FALSE))-catfd_1_VHV_39)/catpn_1_VHB_1+catfd_1_VHV_39/catpn_1_VHV_39),0)</f>
        <v>0</v>
      </c>
      <c r="I26" s="20" t="s">
        <v>42</v>
      </c>
      <c r="J26" s="37">
        <f>IF(AND(catpn_1_VHB_1&gt;0,catpn_1_VHV_39&gt;0),(cattf_1_VHB_1*((dagenperjaar1*VLOOKUP(B26,dagsoorttabel1,2,FALSE))-catfd_1_VHV_39)/catpn_1_VHB_1+cattf_1_VHV_39*catfd_1_VHV_39/catpn_1_VHV_39)/(((dagenperjaar1*VLOOKUP(B26,dagsoorttabel1,2,FALSE))-catfd_1_VHV_39)/catpn_1_VHB_1+catfd_1_VHV_39/catpn_1_VHV_39),0)</f>
        <v>0</v>
      </c>
      <c r="K26" s="34">
        <f t="shared" si="1"/>
        <v>0</v>
      </c>
      <c r="L26" s="37">
        <f t="shared" si="2"/>
        <v>0</v>
      </c>
      <c r="M26" s="34">
        <f t="shared" si="3"/>
        <v>0</v>
      </c>
      <c r="N26" s="37">
        <f t="shared" si="4"/>
        <v>0</v>
      </c>
    </row>
    <row r="27" spans="1:14" x14ac:dyDescent="0.2">
      <c r="A27" s="20" t="s">
        <v>196</v>
      </c>
      <c r="B27" s="20" t="s">
        <v>12</v>
      </c>
      <c r="C27" s="20" t="s">
        <v>158</v>
      </c>
      <c r="D27" s="20" t="s">
        <v>197</v>
      </c>
      <c r="E27" s="34">
        <v>5</v>
      </c>
      <c r="F27" s="34">
        <f t="shared" si="0"/>
        <v>3.9795918367346941</v>
      </c>
      <c r="G27" s="35">
        <f>IF(AND(catpn_1_VZB_1&gt;0,catpn_1_VZV_39&gt;0),(dagenperjaar1*VLOOKUP(B27,dagsoorttabel1,2,FALSE))/(((dagenperjaar1*VLOOKUP(B27,dagsoorttabel1,2,FALSE))-catfd_1_VZV_39)/catpn_1_VZB_1+catfd_1_VZV_39/catpn_1_VZV_39),0)</f>
        <v>0</v>
      </c>
      <c r="H27" s="36">
        <f>IF(AND(catpn_1_VZB_1&gt;0,catpn_1_VZV_39&gt;0),(catdw_1_VZB_1*((dagenperjaar1*VLOOKUP(B27,dagsoorttabel1,2,FALSE))-catfd_1_VZV_39)/catpn_1_VZB_1+catdw_1_VZV_39*catfd_1_VZV_39/catpn_1_VZV_39)/(((dagenperjaar1*VLOOKUP(B27,dagsoorttabel1,2,FALSE))-catfd_1_VZV_39)/catpn_1_VZB_1+catfd_1_VZV_39/catpn_1_VZV_39),0)</f>
        <v>0</v>
      </c>
      <c r="I27" s="20" t="s">
        <v>42</v>
      </c>
      <c r="J27" s="37">
        <f>IF(AND(catpn_1_VZB_1&gt;0,catpn_1_VZV_39&gt;0),(cattf_1_VZB_1*((dagenperjaar1*VLOOKUP(B27,dagsoorttabel1,2,FALSE))-catfd_1_VZV_39)/catpn_1_VZB_1+cattf_1_VZV_39*catfd_1_VZV_39/catpn_1_VZV_39)/(((dagenperjaar1*VLOOKUP(B27,dagsoorttabel1,2,FALSE))-catfd_1_VZV_39)/catpn_1_VZB_1+catfd_1_VZV_39/catpn_1_VZV_39),0)</f>
        <v>0</v>
      </c>
      <c r="K27" s="34">
        <f t="shared" si="1"/>
        <v>0</v>
      </c>
      <c r="L27" s="37">
        <f t="shared" si="2"/>
        <v>0</v>
      </c>
      <c r="M27" s="34">
        <f t="shared" si="3"/>
        <v>0</v>
      </c>
      <c r="N27" s="37">
        <f t="shared" si="4"/>
        <v>0</v>
      </c>
    </row>
    <row r="28" spans="1:14" x14ac:dyDescent="0.2">
      <c r="A28" s="20" t="s">
        <v>198</v>
      </c>
      <c r="B28" s="20" t="s">
        <v>15</v>
      </c>
      <c r="C28" s="20" t="s">
        <v>158</v>
      </c>
      <c r="D28" s="20" t="s">
        <v>199</v>
      </c>
      <c r="E28" s="34">
        <v>1482.3</v>
      </c>
      <c r="F28" s="34">
        <f t="shared" si="0"/>
        <v>707.87387755102043</v>
      </c>
      <c r="G28" s="35">
        <f>IF(AND(catpn_1_WHB_1&gt;0,catpn_1_WHV_39&gt;0),(dagenperjaar1*VLOOKUP(B28,dagsoorttabel1,2,FALSE))/(((dagenperjaar1*VLOOKUP(B28,dagsoorttabel1,2,FALSE))-catfd_1_WHV_39)/catpn_1_WHB_1+catfd_1_WHV_39/catpn_1_WHV_39),0)</f>
        <v>0</v>
      </c>
      <c r="H28" s="36">
        <f>IF(AND(catpn_1_WHB_1&gt;0,catpn_1_WHV_39&gt;0),(catdw_1_WHB_1*((dagenperjaar1*VLOOKUP(B28,dagsoorttabel1,2,FALSE))-catfd_1_WHV_39)/catpn_1_WHB_1+catdw_1_WHV_39*catfd_1_WHV_39/catpn_1_WHV_39)/(((dagenperjaar1*VLOOKUP(B28,dagsoorttabel1,2,FALSE))-catfd_1_WHV_39)/catpn_1_WHB_1+catfd_1_WHV_39/catpn_1_WHV_39),0)</f>
        <v>0</v>
      </c>
      <c r="I28" s="20" t="s">
        <v>42</v>
      </c>
      <c r="J28" s="37">
        <f>IF(AND(catpn_1_WHB_1&gt;0,catpn_1_WHV_39&gt;0),(cattf_1_WHB_1*((dagenperjaar1*VLOOKUP(B28,dagsoorttabel1,2,FALSE))-catfd_1_WHV_39)/catpn_1_WHB_1+cattf_1_WHV_39*catfd_1_WHV_39/catpn_1_WHV_39)/(((dagenperjaar1*VLOOKUP(B28,dagsoorttabel1,2,FALSE))-catfd_1_WHV_39)/catpn_1_WHB_1+catfd_1_WHV_39/catpn_1_WHV_39),0)</f>
        <v>0</v>
      </c>
      <c r="K28" s="34">
        <f t="shared" si="1"/>
        <v>0</v>
      </c>
      <c r="L28" s="37">
        <f t="shared" si="2"/>
        <v>0</v>
      </c>
      <c r="M28" s="34">
        <f t="shared" si="3"/>
        <v>0</v>
      </c>
      <c r="N28" s="37">
        <f t="shared" si="4"/>
        <v>0</v>
      </c>
    </row>
    <row r="29" spans="1:14" x14ac:dyDescent="0.2">
      <c r="A29" s="20" t="s">
        <v>198</v>
      </c>
      <c r="B29" s="20" t="s">
        <v>20</v>
      </c>
      <c r="C29" s="20" t="s">
        <v>158</v>
      </c>
      <c r="D29" s="20" t="s">
        <v>199</v>
      </c>
      <c r="E29" s="34">
        <v>570</v>
      </c>
      <c r="F29" s="34">
        <f t="shared" si="0"/>
        <v>90.73469387755101</v>
      </c>
      <c r="G29" s="35">
        <f>IF(AND(catpn_1_WHB_1&gt;0,catpn_1_WHV_39&gt;0),(dagenperjaar1*VLOOKUP(B29,dagsoorttabel1,2,FALSE))/(((dagenperjaar1*VLOOKUP(B29,dagsoorttabel1,2,FALSE))-catfd_1_WHV_39)/catpn_1_WHB_1+catfd_1_WHV_39/catpn_1_WHV_39),0)</f>
        <v>0</v>
      </c>
      <c r="H29" s="36">
        <f>IF(AND(catpn_1_WHB_1&gt;0,catpn_1_WHV_39&gt;0),(catdw_1_WHB_1*((dagenperjaar1*VLOOKUP(B29,dagsoorttabel1,2,FALSE))-catfd_1_WHV_39)/catpn_1_WHB_1+catdw_1_WHV_39*catfd_1_WHV_39/catpn_1_WHV_39)/(((dagenperjaar1*VLOOKUP(B29,dagsoorttabel1,2,FALSE))-catfd_1_WHV_39)/catpn_1_WHB_1+catfd_1_WHV_39/catpn_1_WHV_39),0)</f>
        <v>0</v>
      </c>
      <c r="I29" s="20" t="s">
        <v>42</v>
      </c>
      <c r="J29" s="37">
        <f>IF(AND(catpn_1_WHB_1&gt;0,catpn_1_WHV_39&gt;0),(cattf_1_WHB_1*((dagenperjaar1*VLOOKUP(B29,dagsoorttabel1,2,FALSE))-catfd_1_WHV_39)/catpn_1_WHB_1+cattf_1_WHV_39*catfd_1_WHV_39/catpn_1_WHV_39)/(((dagenperjaar1*VLOOKUP(B29,dagsoorttabel1,2,FALSE))-catfd_1_WHV_39)/catpn_1_WHB_1+catfd_1_WHV_39/catpn_1_WHV_39),0)</f>
        <v>0</v>
      </c>
      <c r="K29" s="34">
        <f t="shared" si="1"/>
        <v>0</v>
      </c>
      <c r="L29" s="37">
        <f t="shared" si="2"/>
        <v>0</v>
      </c>
      <c r="M29" s="34">
        <f t="shared" si="3"/>
        <v>0</v>
      </c>
      <c r="N29" s="37">
        <f t="shared" si="4"/>
        <v>0</v>
      </c>
    </row>
    <row r="30" spans="1:14" x14ac:dyDescent="0.2">
      <c r="A30" s="20" t="s">
        <v>200</v>
      </c>
      <c r="B30" s="20" t="s">
        <v>20</v>
      </c>
      <c r="C30" s="20" t="s">
        <v>158</v>
      </c>
      <c r="D30" s="20" t="s">
        <v>201</v>
      </c>
      <c r="E30" s="34">
        <v>61</v>
      </c>
      <c r="F30" s="34">
        <f t="shared" si="0"/>
        <v>9.7102040816326518</v>
      </c>
      <c r="G30" s="35">
        <f>IF(AND(catpn_1_WHHB_1&gt;0,catpn_1_WHIHV_39&gt;0),(dagenperjaar1*VLOOKUP(B30,dagsoorttabel1,2,FALSE))/(((dagenperjaar1*VLOOKUP(B30,dagsoorttabel1,2,FALSE))-catfd_1_WHIHV_39)/catpn_1_WHHB_1+catfd_1_WHIHV_39/catpn_1_WHIHV_39),0)</f>
        <v>0</v>
      </c>
      <c r="H30" s="36">
        <f>IF(AND(catpn_1_WHHB_1&gt;0,catpn_1_WHIHV_39&gt;0),(catdw_1_WHHB_1*((dagenperjaar1*VLOOKUP(B30,dagsoorttabel1,2,FALSE))-catfd_1_WHIHV_39)/catpn_1_WHHB_1+catdw_1_WHIHV_39*catfd_1_WHIHV_39/catpn_1_WHIHV_39)/(((dagenperjaar1*VLOOKUP(B30,dagsoorttabel1,2,FALSE))-catfd_1_WHIHV_39)/catpn_1_WHHB_1+catfd_1_WHIHV_39/catpn_1_WHIHV_39),0)</f>
        <v>0</v>
      </c>
      <c r="I30" s="20" t="s">
        <v>42</v>
      </c>
      <c r="J30" s="37">
        <f>IF(AND(catpn_1_WHHB_1&gt;0,catpn_1_WHIHV_39&gt;0),(cattf_1_WHHB_1*((dagenperjaar1*VLOOKUP(B30,dagsoorttabel1,2,FALSE))-catfd_1_WHIHV_39)/catpn_1_WHHB_1+cattf_1_WHIHV_39*catfd_1_WHIHV_39/catpn_1_WHIHV_39)/(((dagenperjaar1*VLOOKUP(B30,dagsoorttabel1,2,FALSE))-catfd_1_WHIHV_39)/catpn_1_WHHB_1+catfd_1_WHIHV_39/catpn_1_WHIHV_39),0)</f>
        <v>0</v>
      </c>
      <c r="K30" s="34">
        <f t="shared" si="1"/>
        <v>0</v>
      </c>
      <c r="L30" s="37">
        <f t="shared" si="2"/>
        <v>0</v>
      </c>
      <c r="M30" s="34">
        <f t="shared" si="3"/>
        <v>0</v>
      </c>
      <c r="N30" s="37">
        <f t="shared" si="4"/>
        <v>0</v>
      </c>
    </row>
    <row r="31" spans="1:14" x14ac:dyDescent="0.2">
      <c r="A31" s="20" t="s">
        <v>202</v>
      </c>
      <c r="B31" s="20" t="s">
        <v>15</v>
      </c>
      <c r="C31" s="20" t="s">
        <v>158</v>
      </c>
      <c r="D31" s="20" t="s">
        <v>203</v>
      </c>
      <c r="E31" s="34">
        <v>91.5</v>
      </c>
      <c r="F31" s="34">
        <f t="shared" si="0"/>
        <v>43.695918367346941</v>
      </c>
      <c r="G31" s="35">
        <f>IF(AND(catpn_1_WZB_1&gt;0,catpn_1_WZV_39&gt;0),(dagenperjaar1*VLOOKUP(B31,dagsoorttabel1,2,FALSE))/(((dagenperjaar1*VLOOKUP(B31,dagsoorttabel1,2,FALSE))-catfd_1_WZV_39)/catpn_1_WZB_1+catfd_1_WZV_39/catpn_1_WZV_39),0)</f>
        <v>0</v>
      </c>
      <c r="H31" s="36">
        <f>IF(AND(catpn_1_WZB_1&gt;0,catpn_1_WZV_39&gt;0),(catdw_1_WZB_1*((dagenperjaar1*VLOOKUP(B31,dagsoorttabel1,2,FALSE))-catfd_1_WZV_39)/catpn_1_WZB_1+catdw_1_WZV_39*catfd_1_WZV_39/catpn_1_WZV_39)/(((dagenperjaar1*VLOOKUP(B31,dagsoorttabel1,2,FALSE))-catfd_1_WZV_39)/catpn_1_WZB_1+catfd_1_WZV_39/catpn_1_WZV_39),0)</f>
        <v>0</v>
      </c>
      <c r="I31" s="20" t="s">
        <v>42</v>
      </c>
      <c r="J31" s="37">
        <f>IF(AND(catpn_1_WZB_1&gt;0,catpn_1_WZV_39&gt;0),(cattf_1_WZB_1*((dagenperjaar1*VLOOKUP(B31,dagsoorttabel1,2,FALSE))-catfd_1_WZV_39)/catpn_1_WZB_1+cattf_1_WZV_39*catfd_1_WZV_39/catpn_1_WZV_39)/(((dagenperjaar1*VLOOKUP(B31,dagsoorttabel1,2,FALSE))-catfd_1_WZV_39)/catpn_1_WZB_1+catfd_1_WZV_39/catpn_1_WZV_39),0)</f>
        <v>0</v>
      </c>
      <c r="K31" s="34">
        <f t="shared" si="1"/>
        <v>0</v>
      </c>
      <c r="L31" s="37">
        <f t="shared" si="2"/>
        <v>0</v>
      </c>
      <c r="M31" s="34">
        <f t="shared" si="3"/>
        <v>0</v>
      </c>
      <c r="N31" s="37">
        <f t="shared" si="4"/>
        <v>0</v>
      </c>
    </row>
    <row r="32" spans="1:14" x14ac:dyDescent="0.2">
      <c r="A32" s="20" t="s">
        <v>204</v>
      </c>
      <c r="B32" s="20" t="s">
        <v>12</v>
      </c>
      <c r="C32" s="20" t="s">
        <v>158</v>
      </c>
      <c r="D32" s="20" t="s">
        <v>205</v>
      </c>
      <c r="E32" s="34">
        <v>70</v>
      </c>
      <c r="F32" s="34">
        <f t="shared" si="0"/>
        <v>55.714285714285715</v>
      </c>
      <c r="G32" s="38"/>
      <c r="H32" s="23"/>
      <c r="I32" s="20" t="s">
        <v>42</v>
      </c>
      <c r="J32" s="24"/>
      <c r="K32" s="34">
        <f t="shared" si="1"/>
        <v>0</v>
      </c>
      <c r="L32" s="37">
        <f t="shared" si="2"/>
        <v>0</v>
      </c>
      <c r="M32" s="34">
        <f t="shared" si="3"/>
        <v>0</v>
      </c>
      <c r="N32" s="37">
        <f t="shared" si="4"/>
        <v>0</v>
      </c>
    </row>
    <row r="33" spans="1:14" x14ac:dyDescent="0.2">
      <c r="A33" s="20" t="s">
        <v>206</v>
      </c>
      <c r="B33" s="20" t="s">
        <v>23</v>
      </c>
      <c r="C33" s="20" t="s">
        <v>158</v>
      </c>
      <c r="D33" s="20" t="s">
        <v>207</v>
      </c>
      <c r="E33" s="34">
        <v>99</v>
      </c>
      <c r="F33" s="34">
        <f t="shared" si="0"/>
        <v>4.8489795918367342</v>
      </c>
      <c r="G33" s="38"/>
      <c r="H33" s="23"/>
      <c r="I33" s="20" t="s">
        <v>42</v>
      </c>
      <c r="J33" s="24"/>
      <c r="K33" s="34">
        <f t="shared" si="1"/>
        <v>0</v>
      </c>
      <c r="L33" s="37">
        <f t="shared" si="2"/>
        <v>0</v>
      </c>
      <c r="M33" s="34">
        <f t="shared" si="3"/>
        <v>0</v>
      </c>
      <c r="N33" s="37">
        <f t="shared" si="4"/>
        <v>0</v>
      </c>
    </row>
    <row r="34" spans="1:14" x14ac:dyDescent="0.2">
      <c r="A34" s="20" t="s">
        <v>208</v>
      </c>
      <c r="B34" s="20" t="s">
        <v>29</v>
      </c>
      <c r="C34" s="20" t="s">
        <v>209</v>
      </c>
      <c r="D34" s="20" t="s">
        <v>210</v>
      </c>
      <c r="E34" s="34">
        <v>4547.3999999999996</v>
      </c>
      <c r="F34" s="34">
        <f t="shared" si="0"/>
        <v>18.560816326530613</v>
      </c>
      <c r="G34" s="35">
        <f>catpn_1_XBB_1</f>
        <v>0</v>
      </c>
      <c r="H34" s="36">
        <f>catdw_1_XBB_1</f>
        <v>0</v>
      </c>
      <c r="I34" s="20" t="s">
        <v>42</v>
      </c>
      <c r="J34" s="37">
        <f>cattf_1_XBB_1</f>
        <v>0</v>
      </c>
      <c r="K34" s="34">
        <f t="shared" si="1"/>
        <v>0</v>
      </c>
      <c r="L34" s="37">
        <f t="shared" si="2"/>
        <v>0</v>
      </c>
      <c r="M34" s="34">
        <f t="shared" si="3"/>
        <v>0</v>
      </c>
      <c r="N34" s="37">
        <f t="shared" si="4"/>
        <v>0</v>
      </c>
    </row>
    <row r="35" spans="1:14" x14ac:dyDescent="0.2">
      <c r="A35" s="20" t="s">
        <v>211</v>
      </c>
      <c r="B35" s="20" t="s">
        <v>29</v>
      </c>
      <c r="C35" s="20" t="s">
        <v>209</v>
      </c>
      <c r="D35" s="20" t="s">
        <v>212</v>
      </c>
      <c r="E35" s="34">
        <v>382</v>
      </c>
      <c r="F35" s="34">
        <f t="shared" si="0"/>
        <v>1.5591836734693878</v>
      </c>
      <c r="G35" s="38"/>
      <c r="H35" s="23"/>
      <c r="I35" s="20" t="s">
        <v>42</v>
      </c>
      <c r="J35" s="24"/>
      <c r="K35" s="34">
        <f t="shared" si="1"/>
        <v>0</v>
      </c>
      <c r="L35" s="37">
        <f t="shared" si="2"/>
        <v>0</v>
      </c>
      <c r="M35" s="34">
        <f t="shared" si="3"/>
        <v>0</v>
      </c>
      <c r="N35" s="37">
        <f t="shared" si="4"/>
        <v>0</v>
      </c>
    </row>
    <row r="36" spans="1:14" x14ac:dyDescent="0.2">
      <c r="A36" s="20" t="s">
        <v>213</v>
      </c>
      <c r="B36" s="20" t="s">
        <v>23</v>
      </c>
      <c r="C36" s="20" t="s">
        <v>209</v>
      </c>
      <c r="D36" s="20" t="s">
        <v>214</v>
      </c>
      <c r="E36" s="34">
        <v>1153</v>
      </c>
      <c r="F36" s="34">
        <f t="shared" si="0"/>
        <v>56.473469387755102</v>
      </c>
      <c r="G36" s="38"/>
      <c r="H36" s="23"/>
      <c r="I36" s="20" t="s">
        <v>42</v>
      </c>
      <c r="J36" s="24"/>
      <c r="K36" s="34">
        <f t="shared" si="1"/>
        <v>0</v>
      </c>
      <c r="L36" s="37">
        <f t="shared" si="2"/>
        <v>0</v>
      </c>
      <c r="M36" s="34">
        <f t="shared" si="3"/>
        <v>0</v>
      </c>
      <c r="N36" s="37">
        <f t="shared" si="4"/>
        <v>0</v>
      </c>
    </row>
    <row r="37" spans="1:14" x14ac:dyDescent="0.2">
      <c r="A37" s="20" t="s">
        <v>215</v>
      </c>
      <c r="B37" s="20" t="s">
        <v>28</v>
      </c>
      <c r="C37" s="20" t="s">
        <v>209</v>
      </c>
      <c r="D37" s="20" t="s">
        <v>216</v>
      </c>
      <c r="E37" s="34">
        <v>183</v>
      </c>
      <c r="F37" s="34">
        <f t="shared" si="0"/>
        <v>1.4938775510204083</v>
      </c>
      <c r="G37" s="38"/>
      <c r="H37" s="23"/>
      <c r="I37" s="20" t="s">
        <v>42</v>
      </c>
      <c r="J37" s="24"/>
      <c r="K37" s="34">
        <f t="shared" si="1"/>
        <v>0</v>
      </c>
      <c r="L37" s="37">
        <f t="shared" si="2"/>
        <v>0</v>
      </c>
      <c r="M37" s="34">
        <f t="shared" si="3"/>
        <v>0</v>
      </c>
      <c r="N37" s="37">
        <f t="shared" si="4"/>
        <v>0</v>
      </c>
    </row>
    <row r="38" spans="1:14" x14ac:dyDescent="0.2">
      <c r="A38" s="20" t="s">
        <v>217</v>
      </c>
      <c r="B38" s="20" t="s">
        <v>12</v>
      </c>
      <c r="C38" s="20" t="s">
        <v>218</v>
      </c>
      <c r="D38" s="20" t="s">
        <v>219</v>
      </c>
      <c r="E38" s="34">
        <v>1947</v>
      </c>
      <c r="F38" s="34">
        <f t="shared" si="0"/>
        <v>1549.6530612244899</v>
      </c>
      <c r="G38" s="38"/>
      <c r="H38" s="23"/>
      <c r="I38" s="20" t="s">
        <v>42</v>
      </c>
      <c r="J38" s="24"/>
      <c r="K38" s="34">
        <f t="shared" si="1"/>
        <v>0</v>
      </c>
      <c r="L38" s="37">
        <f t="shared" si="2"/>
        <v>0</v>
      </c>
      <c r="M38" s="34">
        <f t="shared" si="3"/>
        <v>0</v>
      </c>
      <c r="N38" s="37">
        <f t="shared" si="4"/>
        <v>0</v>
      </c>
    </row>
    <row r="39" spans="1:14" x14ac:dyDescent="0.2">
      <c r="A39" s="20" t="s">
        <v>217</v>
      </c>
      <c r="B39" s="20" t="s">
        <v>22</v>
      </c>
      <c r="C39" s="20" t="s">
        <v>218</v>
      </c>
      <c r="D39" s="20" t="s">
        <v>220</v>
      </c>
      <c r="E39" s="34">
        <v>1000</v>
      </c>
      <c r="F39" s="34">
        <f t="shared" si="0"/>
        <v>81.632653061224488</v>
      </c>
      <c r="G39" s="38"/>
      <c r="H39" s="23"/>
      <c r="I39" s="20" t="s">
        <v>42</v>
      </c>
      <c r="J39" s="24"/>
      <c r="K39" s="34">
        <f t="shared" si="1"/>
        <v>0</v>
      </c>
      <c r="L39" s="37">
        <f t="shared" si="2"/>
        <v>0</v>
      </c>
      <c r="M39" s="34">
        <f t="shared" si="3"/>
        <v>0</v>
      </c>
      <c r="N39" s="37">
        <f t="shared" si="4"/>
        <v>0</v>
      </c>
    </row>
    <row r="40" spans="1:14" x14ac:dyDescent="0.2">
      <c r="A40" s="20" t="s">
        <v>221</v>
      </c>
      <c r="B40" s="20" t="s">
        <v>20</v>
      </c>
      <c r="C40" s="20" t="s">
        <v>218</v>
      </c>
      <c r="D40" s="20" t="s">
        <v>222</v>
      </c>
      <c r="E40" s="34">
        <v>2919</v>
      </c>
      <c r="F40" s="34">
        <f t="shared" si="0"/>
        <v>464.65714285714284</v>
      </c>
      <c r="G40" s="38"/>
      <c r="H40" s="23"/>
      <c r="I40" s="20" t="s">
        <v>42</v>
      </c>
      <c r="J40" s="24"/>
      <c r="K40" s="34">
        <f t="shared" si="1"/>
        <v>0</v>
      </c>
      <c r="L40" s="37">
        <f t="shared" si="2"/>
        <v>0</v>
      </c>
      <c r="M40" s="34">
        <f t="shared" si="3"/>
        <v>0</v>
      </c>
      <c r="N40" s="37">
        <f t="shared" si="4"/>
        <v>0</v>
      </c>
    </row>
    <row r="41" spans="1:14" x14ac:dyDescent="0.2">
      <c r="A41" s="20" t="s">
        <v>223</v>
      </c>
      <c r="B41" s="20" t="s">
        <v>28</v>
      </c>
      <c r="C41" s="20" t="s">
        <v>218</v>
      </c>
      <c r="D41" s="20" t="s">
        <v>224</v>
      </c>
      <c r="E41" s="34">
        <v>224</v>
      </c>
      <c r="F41" s="34">
        <f t="shared" si="0"/>
        <v>1.8285714285714287</v>
      </c>
      <c r="G41" s="38"/>
      <c r="H41" s="23"/>
      <c r="I41" s="20" t="s">
        <v>42</v>
      </c>
      <c r="J41" s="24"/>
      <c r="K41" s="34">
        <f t="shared" si="1"/>
        <v>0</v>
      </c>
      <c r="L41" s="37">
        <f t="shared" si="2"/>
        <v>0</v>
      </c>
      <c r="M41" s="34">
        <f t="shared" si="3"/>
        <v>0</v>
      </c>
      <c r="N41" s="37">
        <f t="shared" si="4"/>
        <v>0</v>
      </c>
    </row>
    <row r="42" spans="1:14" x14ac:dyDescent="0.2">
      <c r="A42" s="20" t="s">
        <v>225</v>
      </c>
      <c r="B42" s="20" t="s">
        <v>22</v>
      </c>
      <c r="C42" s="20" t="s">
        <v>218</v>
      </c>
      <c r="D42" s="20" t="s">
        <v>226</v>
      </c>
      <c r="E42" s="34">
        <v>3</v>
      </c>
      <c r="F42" s="34">
        <f t="shared" si="0"/>
        <v>0.24489795918367346</v>
      </c>
      <c r="G42" s="35"/>
      <c r="H42" s="23"/>
      <c r="I42" s="20" t="s">
        <v>227</v>
      </c>
      <c r="J42" s="24"/>
      <c r="K42" s="34">
        <f>F42</f>
        <v>0.24489795918367346</v>
      </c>
      <c r="L42" s="37">
        <f t="shared" si="2"/>
        <v>0</v>
      </c>
      <c r="M42" s="34">
        <f t="shared" si="3"/>
        <v>60</v>
      </c>
      <c r="N42" s="37">
        <f t="shared" si="4"/>
        <v>0</v>
      </c>
    </row>
    <row r="43" spans="1:14" x14ac:dyDescent="0.2">
      <c r="A43" s="25" t="s">
        <v>228</v>
      </c>
      <c r="B43" s="25" t="s">
        <v>20</v>
      </c>
      <c r="C43" s="25" t="s">
        <v>218</v>
      </c>
      <c r="D43" s="25" t="s">
        <v>229</v>
      </c>
      <c r="E43" s="39">
        <v>8</v>
      </c>
      <c r="F43" s="39">
        <f t="shared" si="0"/>
        <v>1.273469387755102</v>
      </c>
      <c r="G43" s="40"/>
      <c r="H43" s="28"/>
      <c r="I43" s="25" t="s">
        <v>230</v>
      </c>
      <c r="J43" s="29"/>
      <c r="K43" s="39">
        <f>F43*ROUND(G43,4)/60</f>
        <v>0</v>
      </c>
      <c r="L43" s="41">
        <f t="shared" si="2"/>
        <v>0</v>
      </c>
      <c r="M43" s="39">
        <f t="shared" si="3"/>
        <v>0</v>
      </c>
      <c r="N43" s="41">
        <f t="shared" si="4"/>
        <v>0</v>
      </c>
    </row>
    <row r="44" spans="1:14" x14ac:dyDescent="0.2">
      <c r="A44" s="42" t="s">
        <v>231</v>
      </c>
      <c r="B44" s="43"/>
      <c r="C44" s="43"/>
      <c r="D44" s="43"/>
      <c r="E44" s="43"/>
      <c r="F44" s="43"/>
      <c r="G44" s="43"/>
      <c r="H44" s="43"/>
      <c r="I44" s="43"/>
      <c r="J44" s="43"/>
      <c r="K44" s="44">
        <f>SUM(K6:K43)</f>
        <v>0.24489795918367346</v>
      </c>
      <c r="L44" s="45">
        <f>SUM(L6:L43)</f>
        <v>0</v>
      </c>
      <c r="M44" s="44">
        <f>SUM(M6:M43)</f>
        <v>60</v>
      </c>
      <c r="N44" s="46">
        <f>SUM(N6:N43)</f>
        <v>0</v>
      </c>
    </row>
    <row r="45" spans="1:14" x14ac:dyDescent="0.2">
      <c r="A45" s="47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8"/>
    </row>
    <row r="46" spans="1:14" x14ac:dyDescent="0.2">
      <c r="A46" s="42" t="s">
        <v>232</v>
      </c>
      <c r="B46" s="43"/>
      <c r="C46" s="43"/>
      <c r="D46" s="43"/>
      <c r="E46" s="43"/>
      <c r="F46" s="43"/>
      <c r="G46" s="43"/>
      <c r="H46" s="43"/>
      <c r="I46" s="43"/>
      <c r="J46" s="45">
        <f>IF(urenjaar1&gt;0,SUMIF(M6:M43,"&gt;0",N6:N43)/urenjaar1,0)</f>
        <v>0</v>
      </c>
      <c r="K46" s="43"/>
      <c r="L46" s="43"/>
      <c r="M46" s="43"/>
      <c r="N46" s="48"/>
    </row>
    <row r="47" spans="1:14" x14ac:dyDescent="0.2">
      <c r="A47" s="47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8"/>
    </row>
    <row r="48" spans="1:14" x14ac:dyDescent="0.2">
      <c r="A48" s="9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1"/>
    </row>
    <row r="49" spans="1:14" x14ac:dyDescent="0.2">
      <c r="A49" s="12" t="s">
        <v>137</v>
      </c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4"/>
    </row>
    <row r="50" spans="1:14" x14ac:dyDescent="0.2">
      <c r="A50" s="15" t="s">
        <v>233</v>
      </c>
      <c r="B50" s="15" t="s">
        <v>22</v>
      </c>
      <c r="C50" s="15" t="s">
        <v>158</v>
      </c>
      <c r="D50" s="15" t="s">
        <v>165</v>
      </c>
      <c r="E50" s="30">
        <v>57</v>
      </c>
      <c r="F50" s="30">
        <f t="shared" ref="F50:F58" si="5">E50*VLOOKUP(B50,dagsoorttabel1,2,FALSE)</f>
        <v>4.6530612244897958</v>
      </c>
      <c r="G50" s="31">
        <f>catpn_3_VBHB_1</f>
        <v>0</v>
      </c>
      <c r="H50" s="32">
        <f>catdw_3_VBHB_1</f>
        <v>0</v>
      </c>
      <c r="I50" s="15" t="s">
        <v>42</v>
      </c>
      <c r="J50" s="33">
        <f>cattf_3_VBHB_1</f>
        <v>0</v>
      </c>
      <c r="K50" s="30">
        <f t="shared" ref="K50:K58" si="6">IF(OR(ISBLANK(G50),G50=0),0,F50/ROUND(G50,4))</f>
        <v>0</v>
      </c>
      <c r="L50" s="33">
        <f t="shared" ref="L50:L58" si="7">ROUND(J50,2)*K50</f>
        <v>0</v>
      </c>
      <c r="M50" s="30">
        <f t="shared" ref="M50:M58" si="8">K50*dagenperjaar1</f>
        <v>0</v>
      </c>
      <c r="N50" s="33">
        <f t="shared" ref="N50:N58" si="9">M50*ROUND(J50,2)</f>
        <v>0</v>
      </c>
    </row>
    <row r="51" spans="1:14" x14ac:dyDescent="0.2">
      <c r="A51" s="20" t="s">
        <v>234</v>
      </c>
      <c r="B51" s="20" t="s">
        <v>22</v>
      </c>
      <c r="C51" s="20" t="s">
        <v>158</v>
      </c>
      <c r="D51" s="20" t="s">
        <v>167</v>
      </c>
      <c r="E51" s="34">
        <v>344</v>
      </c>
      <c r="F51" s="34">
        <f t="shared" si="5"/>
        <v>28.081632653061224</v>
      </c>
      <c r="G51" s="35">
        <f>catpn_3_VBZB_1</f>
        <v>0</v>
      </c>
      <c r="H51" s="36">
        <f>catdw_3_VBZB_1</f>
        <v>0</v>
      </c>
      <c r="I51" s="20" t="s">
        <v>42</v>
      </c>
      <c r="J51" s="37">
        <f>cattf_3_VBZB_1</f>
        <v>0</v>
      </c>
      <c r="K51" s="34">
        <f t="shared" si="6"/>
        <v>0</v>
      </c>
      <c r="L51" s="37">
        <f t="shared" si="7"/>
        <v>0</v>
      </c>
      <c r="M51" s="34">
        <f t="shared" si="8"/>
        <v>0</v>
      </c>
      <c r="N51" s="37">
        <f t="shared" si="9"/>
        <v>0</v>
      </c>
    </row>
    <row r="52" spans="1:14" x14ac:dyDescent="0.2">
      <c r="A52" s="20" t="s">
        <v>234</v>
      </c>
      <c r="B52" s="20" t="s">
        <v>17</v>
      </c>
      <c r="C52" s="20" t="s">
        <v>158</v>
      </c>
      <c r="D52" s="20" t="s">
        <v>167</v>
      </c>
      <c r="E52" s="34">
        <v>28</v>
      </c>
      <c r="F52" s="34">
        <f t="shared" si="5"/>
        <v>5.7142857142857144</v>
      </c>
      <c r="G52" s="35">
        <f>IF(AND(catpn_3_VBZB_1&gt;0,catpn_3_VBZV_10&gt;0),(dagenperjaar1*VLOOKUP(B52,dagsoorttabel1,2,FALSE))/(((dagenperjaar1*VLOOKUP(B52,dagsoorttabel1,2,FALSE))-catfd_3_VBZV_10)/catpn_3_VBZB_1+catfd_3_VBZV_10/catpn_3_VBZV_10),0)</f>
        <v>0</v>
      </c>
      <c r="H52" s="36">
        <f>IF(AND(catpn_3_VBZB_1&gt;0,catpn_3_VBZV_10&gt;0),(catdw_3_VBZB_1*((dagenperjaar1*VLOOKUP(B52,dagsoorttabel1,2,FALSE))-catfd_3_VBZV_10)/catpn_3_VBZB_1+catdw_3_VBZV_10*catfd_3_VBZV_10/catpn_3_VBZV_10)/(((dagenperjaar1*VLOOKUP(B52,dagsoorttabel1,2,FALSE))-catfd_3_VBZV_10)/catpn_3_VBZB_1+catfd_3_VBZV_10/catpn_3_VBZV_10),0)</f>
        <v>0</v>
      </c>
      <c r="I52" s="20" t="s">
        <v>42</v>
      </c>
      <c r="J52" s="37">
        <f>IF(AND(catpn_3_VBZB_1&gt;0,catpn_3_VBZV_10&gt;0),(cattf_3_VBZB_1*((dagenperjaar1*VLOOKUP(B52,dagsoorttabel1,2,FALSE))-catfd_3_VBZV_10)/catpn_3_VBZB_1+cattf_3_VBZV_10*catfd_3_VBZV_10/catpn_3_VBZV_10)/(((dagenperjaar1*VLOOKUP(B52,dagsoorttabel1,2,FALSE))-catfd_3_VBZV_10)/catpn_3_VBZB_1+catfd_3_VBZV_10/catpn_3_VBZV_10),0)</f>
        <v>0</v>
      </c>
      <c r="K52" s="34">
        <f t="shared" si="6"/>
        <v>0</v>
      </c>
      <c r="L52" s="37">
        <f t="shared" si="7"/>
        <v>0</v>
      </c>
      <c r="M52" s="34">
        <f t="shared" si="8"/>
        <v>0</v>
      </c>
      <c r="N52" s="37">
        <f t="shared" si="9"/>
        <v>0</v>
      </c>
    </row>
    <row r="53" spans="1:14" x14ac:dyDescent="0.2">
      <c r="A53" s="20" t="s">
        <v>235</v>
      </c>
      <c r="B53" s="20" t="s">
        <v>24</v>
      </c>
      <c r="C53" s="20" t="s">
        <v>158</v>
      </c>
      <c r="D53" s="20" t="s">
        <v>175</v>
      </c>
      <c r="E53" s="34">
        <v>2.5</v>
      </c>
      <c r="F53" s="34">
        <f t="shared" si="5"/>
        <v>0.1020408163265306</v>
      </c>
      <c r="G53" s="35">
        <f>catpn_3_VFHB_1</f>
        <v>0</v>
      </c>
      <c r="H53" s="36">
        <f>catdw_3_VFHB_1</f>
        <v>0</v>
      </c>
      <c r="I53" s="20" t="s">
        <v>42</v>
      </c>
      <c r="J53" s="37">
        <f>cattf_3_VFHB_1</f>
        <v>0</v>
      </c>
      <c r="K53" s="34">
        <f t="shared" si="6"/>
        <v>0</v>
      </c>
      <c r="L53" s="37">
        <f t="shared" si="7"/>
        <v>0</v>
      </c>
      <c r="M53" s="34">
        <f t="shared" si="8"/>
        <v>0</v>
      </c>
      <c r="N53" s="37">
        <f t="shared" si="9"/>
        <v>0</v>
      </c>
    </row>
    <row r="54" spans="1:14" x14ac:dyDescent="0.2">
      <c r="A54" s="20" t="s">
        <v>236</v>
      </c>
      <c r="B54" s="20" t="s">
        <v>17</v>
      </c>
      <c r="C54" s="20" t="s">
        <v>158</v>
      </c>
      <c r="D54" s="20" t="s">
        <v>185</v>
      </c>
      <c r="E54" s="34">
        <v>10</v>
      </c>
      <c r="F54" s="34">
        <f t="shared" si="5"/>
        <v>2.0408163265306123</v>
      </c>
      <c r="G54" s="35">
        <f>IF(AND(catpn_3_VPHB_1&gt;0,catpn_3_VPHV_10&gt;0),(dagenperjaar1*VLOOKUP(B54,dagsoorttabel1,2,FALSE))/(((dagenperjaar1*VLOOKUP(B54,dagsoorttabel1,2,FALSE))-catfd_3_VPHV_10)/catpn_3_VPHB_1+catfd_3_VPHV_10/catpn_3_VPHV_10),0)</f>
        <v>0</v>
      </c>
      <c r="H54" s="36">
        <f>IF(AND(catpn_3_VPHB_1&gt;0,catpn_3_VPHV_10&gt;0),(catdw_3_VPHB_1*((dagenperjaar1*VLOOKUP(B54,dagsoorttabel1,2,FALSE))-catfd_3_VPHV_10)/catpn_3_VPHB_1+catdw_3_VPHV_10*catfd_3_VPHV_10/catpn_3_VPHV_10)/(((dagenperjaar1*VLOOKUP(B54,dagsoorttabel1,2,FALSE))-catfd_3_VPHV_10)/catpn_3_VPHB_1+catfd_3_VPHV_10/catpn_3_VPHV_10),0)</f>
        <v>0</v>
      </c>
      <c r="I54" s="20" t="s">
        <v>42</v>
      </c>
      <c r="J54" s="37">
        <f>IF(AND(catpn_3_VPHB_1&gt;0,catpn_3_VPHV_10&gt;0),(cattf_3_VPHB_1*((dagenperjaar1*VLOOKUP(B54,dagsoorttabel1,2,FALSE))-catfd_3_VPHV_10)/catpn_3_VPHB_1+cattf_3_VPHV_10*catfd_3_VPHV_10/catpn_3_VPHV_10)/(((dagenperjaar1*VLOOKUP(B54,dagsoorttabel1,2,FALSE))-catfd_3_VPHV_10)/catpn_3_VPHB_1+catfd_3_VPHV_10/catpn_3_VPHV_10),0)</f>
        <v>0</v>
      </c>
      <c r="K54" s="34">
        <f t="shared" si="6"/>
        <v>0</v>
      </c>
      <c r="L54" s="37">
        <f t="shared" si="7"/>
        <v>0</v>
      </c>
      <c r="M54" s="34">
        <f t="shared" si="8"/>
        <v>0</v>
      </c>
      <c r="N54" s="37">
        <f t="shared" si="9"/>
        <v>0</v>
      </c>
    </row>
    <row r="55" spans="1:14" x14ac:dyDescent="0.2">
      <c r="A55" s="20" t="s">
        <v>237</v>
      </c>
      <c r="B55" s="20" t="s">
        <v>22</v>
      </c>
      <c r="C55" s="20" t="s">
        <v>158</v>
      </c>
      <c r="D55" s="20" t="s">
        <v>187</v>
      </c>
      <c r="E55" s="34">
        <v>8</v>
      </c>
      <c r="F55" s="34">
        <f t="shared" si="5"/>
        <v>0.65306122448979587</v>
      </c>
      <c r="G55" s="35">
        <f>catpn_3_VRHB_1</f>
        <v>0</v>
      </c>
      <c r="H55" s="36">
        <f>catdw_3_VRHB_1</f>
        <v>0</v>
      </c>
      <c r="I55" s="20" t="s">
        <v>42</v>
      </c>
      <c r="J55" s="37">
        <f>cattf_3_VRHB_1</f>
        <v>0</v>
      </c>
      <c r="K55" s="34">
        <f t="shared" si="6"/>
        <v>0</v>
      </c>
      <c r="L55" s="37">
        <f t="shared" si="7"/>
        <v>0</v>
      </c>
      <c r="M55" s="34">
        <f t="shared" si="8"/>
        <v>0</v>
      </c>
      <c r="N55" s="37">
        <f t="shared" si="9"/>
        <v>0</v>
      </c>
    </row>
    <row r="56" spans="1:14" x14ac:dyDescent="0.2">
      <c r="A56" s="20" t="s">
        <v>238</v>
      </c>
      <c r="B56" s="20" t="s">
        <v>17</v>
      </c>
      <c r="C56" s="20" t="s">
        <v>158</v>
      </c>
      <c r="D56" s="20" t="s">
        <v>189</v>
      </c>
      <c r="E56" s="34">
        <v>54.5</v>
      </c>
      <c r="F56" s="34">
        <f t="shared" si="5"/>
        <v>11.122448979591837</v>
      </c>
      <c r="G56" s="35">
        <f>IF(AND(catpn_3_VSHB_1&gt;0,catpn_3_VSHV_10&gt;0),(dagenperjaar1*VLOOKUP(B56,dagsoorttabel1,2,FALSE))/(((dagenperjaar1*VLOOKUP(B56,dagsoorttabel1,2,FALSE))-catfd_3_VSHV_10)/catpn_3_VSHB_1+catfd_3_VSHV_10/catpn_3_VSHV_10),0)</f>
        <v>0</v>
      </c>
      <c r="H56" s="36">
        <f>IF(AND(catpn_3_VSHB_1&gt;0,catpn_3_VSHV_10&gt;0),(catdw_3_VSHB_1*((dagenperjaar1*VLOOKUP(B56,dagsoorttabel1,2,FALSE))-catfd_3_VSHV_10)/catpn_3_VSHB_1+catdw_3_VSHV_10*catfd_3_VSHV_10/catpn_3_VSHV_10)/(((dagenperjaar1*VLOOKUP(B56,dagsoorttabel1,2,FALSE))-catfd_3_VSHV_10)/catpn_3_VSHB_1+catfd_3_VSHV_10/catpn_3_VSHV_10),0)</f>
        <v>0</v>
      </c>
      <c r="I56" s="20" t="s">
        <v>42</v>
      </c>
      <c r="J56" s="37">
        <f>IF(AND(catpn_3_VSHB_1&gt;0,catpn_3_VSHV_10&gt;0),(cattf_3_VSHB_1*((dagenperjaar1*VLOOKUP(B56,dagsoorttabel1,2,FALSE))-catfd_3_VSHV_10)/catpn_3_VSHB_1+cattf_3_VSHV_10*catfd_3_VSHV_10/catpn_3_VSHV_10)/(((dagenperjaar1*VLOOKUP(B56,dagsoorttabel1,2,FALSE))-catfd_3_VSHV_10)/catpn_3_VSHB_1+catfd_3_VSHV_10/catpn_3_VSHV_10),0)</f>
        <v>0</v>
      </c>
      <c r="K56" s="34">
        <f t="shared" si="6"/>
        <v>0</v>
      </c>
      <c r="L56" s="37">
        <f t="shared" si="7"/>
        <v>0</v>
      </c>
      <c r="M56" s="34">
        <f t="shared" si="8"/>
        <v>0</v>
      </c>
      <c r="N56" s="37">
        <f t="shared" si="9"/>
        <v>0</v>
      </c>
    </row>
    <row r="57" spans="1:14" x14ac:dyDescent="0.2">
      <c r="A57" s="20" t="s">
        <v>239</v>
      </c>
      <c r="B57" s="20" t="s">
        <v>24</v>
      </c>
      <c r="C57" s="20" t="s">
        <v>158</v>
      </c>
      <c r="D57" s="20" t="s">
        <v>195</v>
      </c>
      <c r="E57" s="34">
        <v>596</v>
      </c>
      <c r="F57" s="34">
        <f t="shared" si="5"/>
        <v>24.326530612244895</v>
      </c>
      <c r="G57" s="35">
        <f>catpn_3_VVHB_1</f>
        <v>0</v>
      </c>
      <c r="H57" s="36">
        <f>catdw_3_VVHB_1</f>
        <v>0</v>
      </c>
      <c r="I57" s="20" t="s">
        <v>42</v>
      </c>
      <c r="J57" s="37">
        <f>cattf_3_VVHB_1</f>
        <v>0</v>
      </c>
      <c r="K57" s="34">
        <f t="shared" si="6"/>
        <v>0</v>
      </c>
      <c r="L57" s="37">
        <f t="shared" si="7"/>
        <v>0</v>
      </c>
      <c r="M57" s="34">
        <f t="shared" si="8"/>
        <v>0</v>
      </c>
      <c r="N57" s="37">
        <f t="shared" si="9"/>
        <v>0</v>
      </c>
    </row>
    <row r="58" spans="1:14" x14ac:dyDescent="0.2">
      <c r="A58" s="25" t="s">
        <v>239</v>
      </c>
      <c r="B58" s="25" t="s">
        <v>17</v>
      </c>
      <c r="C58" s="25" t="s">
        <v>158</v>
      </c>
      <c r="D58" s="25" t="s">
        <v>195</v>
      </c>
      <c r="E58" s="39">
        <v>36</v>
      </c>
      <c r="F58" s="39">
        <f t="shared" si="5"/>
        <v>7.3469387755102042</v>
      </c>
      <c r="G58" s="49">
        <f>IF(AND(catpn_3_VVHB_1&gt;0,catpn_3_VVHV_10&gt;0),(dagenperjaar1*VLOOKUP(B58,dagsoorttabel1,2,FALSE))/(((dagenperjaar1*VLOOKUP(B58,dagsoorttabel1,2,FALSE))-catfd_3_VVHV_10)/catpn_3_VVHB_1+catfd_3_VVHV_10/catpn_3_VVHV_10),0)</f>
        <v>0</v>
      </c>
      <c r="H58" s="50">
        <f>IF(AND(catpn_3_VVHB_1&gt;0,catpn_3_VVHV_10&gt;0),(catdw_3_VVHB_1*((dagenperjaar1*VLOOKUP(B58,dagsoorttabel1,2,FALSE))-catfd_3_VVHV_10)/catpn_3_VVHB_1+catdw_3_VVHV_10*catfd_3_VVHV_10/catpn_3_VVHV_10)/(((dagenperjaar1*VLOOKUP(B58,dagsoorttabel1,2,FALSE))-catfd_3_VVHV_10)/catpn_3_VVHB_1+catfd_3_VVHV_10/catpn_3_VVHV_10),0)</f>
        <v>0</v>
      </c>
      <c r="I58" s="25" t="s">
        <v>42</v>
      </c>
      <c r="J58" s="41">
        <f>IF(AND(catpn_3_VVHB_1&gt;0,catpn_3_VVHV_10&gt;0),(cattf_3_VVHB_1*((dagenperjaar1*VLOOKUP(B58,dagsoorttabel1,2,FALSE))-catfd_3_VVHV_10)/catpn_3_VVHB_1+cattf_3_VVHV_10*catfd_3_VVHV_10/catpn_3_VVHV_10)/(((dagenperjaar1*VLOOKUP(B58,dagsoorttabel1,2,FALSE))-catfd_3_VVHV_10)/catpn_3_VVHB_1+catfd_3_VVHV_10/catpn_3_VVHV_10),0)</f>
        <v>0</v>
      </c>
      <c r="K58" s="39">
        <f t="shared" si="6"/>
        <v>0</v>
      </c>
      <c r="L58" s="41">
        <f t="shared" si="7"/>
        <v>0</v>
      </c>
      <c r="M58" s="39">
        <f t="shared" si="8"/>
        <v>0</v>
      </c>
      <c r="N58" s="41">
        <f t="shared" si="9"/>
        <v>0</v>
      </c>
    </row>
    <row r="59" spans="1:14" x14ac:dyDescent="0.2">
      <c r="A59" s="42" t="s">
        <v>240</v>
      </c>
      <c r="B59" s="43"/>
      <c r="C59" s="43"/>
      <c r="D59" s="43"/>
      <c r="E59" s="43"/>
      <c r="F59" s="43"/>
      <c r="G59" s="43"/>
      <c r="H59" s="43"/>
      <c r="I59" s="43"/>
      <c r="J59" s="43"/>
      <c r="K59" s="44">
        <f>SUM(K50:K58)</f>
        <v>0</v>
      </c>
      <c r="L59" s="45">
        <f>SUM(L50:L58)</f>
        <v>0</v>
      </c>
      <c r="M59" s="44">
        <f>SUM(M50:M58)</f>
        <v>0</v>
      </c>
      <c r="N59" s="46">
        <f>SUM(N50:N58)</f>
        <v>0</v>
      </c>
    </row>
    <row r="60" spans="1:14" x14ac:dyDescent="0.2">
      <c r="A60" s="47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8"/>
    </row>
    <row r="61" spans="1:14" x14ac:dyDescent="0.2">
      <c r="A61" s="42" t="s">
        <v>241</v>
      </c>
      <c r="B61" s="43"/>
      <c r="C61" s="43"/>
      <c r="D61" s="43"/>
      <c r="E61" s="43"/>
      <c r="F61" s="43"/>
      <c r="G61" s="43"/>
      <c r="H61" s="43"/>
      <c r="I61" s="43"/>
      <c r="J61" s="45">
        <f>IF(urenjaar3&gt;0,SUMIF(M50:M58,"&gt;0",N50:N58)/urenjaar3,0)</f>
        <v>0</v>
      </c>
      <c r="K61" s="43"/>
      <c r="L61" s="43"/>
      <c r="M61" s="43"/>
      <c r="N61" s="48"/>
    </row>
    <row r="62" spans="1:14" x14ac:dyDescent="0.2">
      <c r="A62" s="47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8"/>
    </row>
    <row r="63" spans="1:14" x14ac:dyDescent="0.2">
      <c r="A63" s="9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1"/>
    </row>
    <row r="64" spans="1:14" x14ac:dyDescent="0.2">
      <c r="A64" s="12" t="s">
        <v>242</v>
      </c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4"/>
    </row>
    <row r="65" spans="1:14" x14ac:dyDescent="0.2">
      <c r="A65" s="51" t="s">
        <v>243</v>
      </c>
      <c r="B65" s="51" t="s">
        <v>19</v>
      </c>
      <c r="C65" s="51" t="s">
        <v>218</v>
      </c>
      <c r="D65" s="51" t="s">
        <v>244</v>
      </c>
      <c r="E65" s="52">
        <v>4</v>
      </c>
      <c r="F65" s="52">
        <f>E65*VLOOKUP(B65,dagsoorttabel1,2,FALSE)</f>
        <v>0.65306122448979587</v>
      </c>
      <c r="G65" s="53"/>
      <c r="H65" s="54"/>
      <c r="I65" s="51" t="s">
        <v>227</v>
      </c>
      <c r="J65" s="55"/>
      <c r="K65" s="52">
        <f>F65</f>
        <v>0.65306122448979587</v>
      </c>
      <c r="L65" s="56">
        <f>ROUND(J65,2)*K65</f>
        <v>0</v>
      </c>
      <c r="M65" s="52">
        <f>K65*dagenperjaar1</f>
        <v>160</v>
      </c>
      <c r="N65" s="56">
        <f>M65*ROUND(J65,2)</f>
        <v>0</v>
      </c>
    </row>
    <row r="66" spans="1:14" x14ac:dyDescent="0.2">
      <c r="A66" s="42" t="s">
        <v>245</v>
      </c>
      <c r="B66" s="43"/>
      <c r="C66" s="43"/>
      <c r="D66" s="43"/>
      <c r="E66" s="43"/>
      <c r="F66" s="43"/>
      <c r="G66" s="43"/>
      <c r="H66" s="43"/>
      <c r="I66" s="43"/>
      <c r="J66" s="43"/>
      <c r="K66" s="44">
        <f>SUM(K65:K65)</f>
        <v>0.65306122448979587</v>
      </c>
      <c r="L66" s="45">
        <f>SUM(L65:L65)</f>
        <v>0</v>
      </c>
      <c r="M66" s="44">
        <f>SUM(M65:M65)</f>
        <v>160</v>
      </c>
      <c r="N66" s="46">
        <f>SUM(N65:N65)</f>
        <v>0</v>
      </c>
    </row>
    <row r="67" spans="1:14" x14ac:dyDescent="0.2">
      <c r="A67" s="47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8"/>
    </row>
    <row r="68" spans="1:14" x14ac:dyDescent="0.2">
      <c r="A68" s="42" t="s">
        <v>246</v>
      </c>
      <c r="B68" s="43"/>
      <c r="C68" s="43"/>
      <c r="D68" s="43"/>
      <c r="E68" s="43"/>
      <c r="F68" s="43"/>
      <c r="G68" s="43"/>
      <c r="H68" s="43"/>
      <c r="I68" s="43"/>
      <c r="J68" s="45">
        <f>IF(urenjaar4&gt;0,SUMIF(M65:M65,"&gt;0",N65:N65)/urenjaar4,0)</f>
        <v>0</v>
      </c>
      <c r="K68" s="43"/>
      <c r="L68" s="43"/>
      <c r="M68" s="43"/>
      <c r="N68" s="48"/>
    </row>
    <row r="69" spans="1:14" x14ac:dyDescent="0.2">
      <c r="A69" s="47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8"/>
    </row>
    <row r="71" spans="1:14" x14ac:dyDescent="0.2">
      <c r="A71" s="42" t="s">
        <v>247</v>
      </c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4">
        <f>urenjaar1+urenjaar3+urenjaar4</f>
        <v>220</v>
      </c>
      <c r="N71" s="45">
        <f>prijsjaar1+prijsjaar3+prijsjaar4</f>
        <v>0</v>
      </c>
    </row>
  </sheetData>
  <pageMargins left="0.7" right="0.7" top="0.75" bottom="0.75" header="0.3" footer="0.3"/>
  <pageSetup paperSize="9" scale="70" orientation="landscape" r:id="rId1"/>
  <headerFooter>
    <oddFooter>&amp;LHogeschool der Kunsten Den Haag EA 2023                     &amp;ROpmaakdatum: 13-03-2023
Intexso - De Start 5 - Leusden
+31 (33) 2778485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8725F-909F-4630-B8B2-7C4787BFB558}">
  <dimension ref="A1:J57"/>
  <sheetViews>
    <sheetView workbookViewId="0">
      <selection activeCell="D28" sqref="D28"/>
    </sheetView>
  </sheetViews>
  <sheetFormatPr defaultRowHeight="12.75" x14ac:dyDescent="0.2"/>
  <cols>
    <col min="1" max="1" width="5.625" customWidth="1"/>
    <col min="2" max="2" width="6.125" customWidth="1"/>
    <col min="3" max="3" width="11.625" customWidth="1"/>
    <col min="4" max="10" width="12.625" customWidth="1"/>
  </cols>
  <sheetData>
    <row r="1" spans="1:10" x14ac:dyDescent="0.2">
      <c r="A1" s="1" t="s">
        <v>248</v>
      </c>
    </row>
    <row r="3" spans="1:10" x14ac:dyDescent="0.2">
      <c r="A3" s="57" t="s">
        <v>149</v>
      </c>
      <c r="B3" s="57" t="s">
        <v>7</v>
      </c>
      <c r="C3" s="57" t="s">
        <v>249</v>
      </c>
      <c r="D3" s="57" t="s">
        <v>250</v>
      </c>
      <c r="E3" s="57" t="s">
        <v>251</v>
      </c>
      <c r="F3" s="57" t="s">
        <v>252</v>
      </c>
      <c r="G3" s="57" t="s">
        <v>253</v>
      </c>
      <c r="H3" s="57" t="s">
        <v>35</v>
      </c>
      <c r="I3" s="57" t="s">
        <v>254</v>
      </c>
      <c r="J3" s="57" t="s">
        <v>255</v>
      </c>
    </row>
    <row r="4" spans="1:10" x14ac:dyDescent="0.2">
      <c r="A4" s="58"/>
      <c r="B4" s="58"/>
      <c r="C4" s="58"/>
      <c r="D4" s="58"/>
      <c r="E4" s="58"/>
      <c r="F4" s="58"/>
      <c r="G4" s="58"/>
      <c r="H4" s="58"/>
      <c r="I4" s="58"/>
      <c r="J4" s="59" t="s">
        <v>151</v>
      </c>
    </row>
    <row r="5" spans="1:10" x14ac:dyDescent="0.2">
      <c r="A5" s="15" t="s">
        <v>157</v>
      </c>
      <c r="B5" s="15" t="s">
        <v>12</v>
      </c>
      <c r="C5" s="15" t="s">
        <v>256</v>
      </c>
      <c r="D5" s="15" t="s">
        <v>158</v>
      </c>
      <c r="E5" s="30">
        <f t="shared" ref="E5:E42" si="0">IF(B5="","",VLOOKUP(B5,dagsoorttabel1,2,FALSE))</f>
        <v>0.79591836734693877</v>
      </c>
      <c r="F5" s="30">
        <v>1</v>
      </c>
      <c r="G5" s="30">
        <f>IF(prodnorm20&gt;0,1/ROUND(prodnorm20,4),0)</f>
        <v>0</v>
      </c>
      <c r="H5" s="32">
        <f>ROUND(dagwerk20,4+2)</f>
        <v>0</v>
      </c>
      <c r="I5" s="33">
        <f>ROUND(uurtarief20,2)</f>
        <v>0</v>
      </c>
      <c r="J5" s="30">
        <v>371</v>
      </c>
    </row>
    <row r="6" spans="1:10" x14ac:dyDescent="0.2">
      <c r="A6" s="20" t="s">
        <v>160</v>
      </c>
      <c r="B6" s="20" t="s">
        <v>12</v>
      </c>
      <c r="C6" s="20" t="s">
        <v>256</v>
      </c>
      <c r="D6" s="20" t="s">
        <v>158</v>
      </c>
      <c r="E6" s="34">
        <f t="shared" si="0"/>
        <v>0.79591836734693877</v>
      </c>
      <c r="F6" s="34">
        <v>1</v>
      </c>
      <c r="G6" s="34">
        <f>IF(prodnorm21&gt;0,1/ROUND(prodnorm21,4),0)</f>
        <v>0</v>
      </c>
      <c r="H6" s="36">
        <f>ROUND(dagwerk21,4+2)</f>
        <v>0</v>
      </c>
      <c r="I6" s="37">
        <f>ROUND(uurtarief21,2)</f>
        <v>0</v>
      </c>
      <c r="J6" s="34">
        <v>101</v>
      </c>
    </row>
    <row r="7" spans="1:10" x14ac:dyDescent="0.2">
      <c r="A7" s="20" t="s">
        <v>162</v>
      </c>
      <c r="B7" s="20" t="s">
        <v>12</v>
      </c>
      <c r="C7" s="20" t="s">
        <v>256</v>
      </c>
      <c r="D7" s="20" t="s">
        <v>158</v>
      </c>
      <c r="E7" s="34">
        <f t="shared" si="0"/>
        <v>0.79591836734693877</v>
      </c>
      <c r="F7" s="34">
        <v>1</v>
      </c>
      <c r="G7" s="34">
        <f>IF(prodnorm22&gt;0,1/ROUND(prodnorm22,4),0)</f>
        <v>0</v>
      </c>
      <c r="H7" s="36">
        <f>ROUND(dagwerk22,4+2)</f>
        <v>0</v>
      </c>
      <c r="I7" s="37">
        <f>ROUND(uurtarief22,2)</f>
        <v>0</v>
      </c>
      <c r="J7" s="34">
        <v>10</v>
      </c>
    </row>
    <row r="8" spans="1:10" x14ac:dyDescent="0.2">
      <c r="A8" s="20" t="s">
        <v>164</v>
      </c>
      <c r="B8" s="20" t="s">
        <v>20</v>
      </c>
      <c r="C8" s="20" t="s">
        <v>256</v>
      </c>
      <c r="D8" s="20" t="s">
        <v>158</v>
      </c>
      <c r="E8" s="34">
        <f t="shared" si="0"/>
        <v>0.15918367346938775</v>
      </c>
      <c r="F8" s="34">
        <v>1</v>
      </c>
      <c r="G8" s="34">
        <f>IF(prodnorm23&gt;0,1/ROUND(prodnorm23,4),0)</f>
        <v>0</v>
      </c>
      <c r="H8" s="36">
        <f>ROUND(dagwerk23,4+2)</f>
        <v>0</v>
      </c>
      <c r="I8" s="37">
        <f>ROUND(uurtarief23,2)</f>
        <v>0</v>
      </c>
      <c r="J8" s="34">
        <v>421.6</v>
      </c>
    </row>
    <row r="9" spans="1:10" x14ac:dyDescent="0.2">
      <c r="A9" s="20" t="s">
        <v>166</v>
      </c>
      <c r="B9" s="20" t="s">
        <v>20</v>
      </c>
      <c r="C9" s="20" t="s">
        <v>256</v>
      </c>
      <c r="D9" s="20" t="s">
        <v>158</v>
      </c>
      <c r="E9" s="34">
        <f t="shared" si="0"/>
        <v>0.15918367346938775</v>
      </c>
      <c r="F9" s="34">
        <v>1</v>
      </c>
      <c r="G9" s="34">
        <f>IF(prodnorm24&gt;0,1/ROUND(prodnorm24,4),0)</f>
        <v>0</v>
      </c>
      <c r="H9" s="36">
        <f>ROUND(dagwerk24,4+2)</f>
        <v>0</v>
      </c>
      <c r="I9" s="37">
        <f>ROUND(uurtarief24,2)</f>
        <v>0</v>
      </c>
      <c r="J9" s="34">
        <v>594.79</v>
      </c>
    </row>
    <row r="10" spans="1:10" x14ac:dyDescent="0.2">
      <c r="A10" s="20" t="s">
        <v>168</v>
      </c>
      <c r="B10" s="20" t="s">
        <v>12</v>
      </c>
      <c r="C10" s="20" t="s">
        <v>256</v>
      </c>
      <c r="D10" s="20" t="s">
        <v>158</v>
      </c>
      <c r="E10" s="34">
        <f t="shared" si="0"/>
        <v>0.79591836734693877</v>
      </c>
      <c r="F10" s="34">
        <v>1</v>
      </c>
      <c r="G10" s="34">
        <f>IF(prodnorm25&gt;0,1/ROUND(prodnorm25,4),0)</f>
        <v>0</v>
      </c>
      <c r="H10" s="36">
        <f>ROUND(dagwerk25,4+2)</f>
        <v>0</v>
      </c>
      <c r="I10" s="37">
        <f>ROUND(uurtarief25,2)</f>
        <v>0</v>
      </c>
      <c r="J10" s="34">
        <v>194</v>
      </c>
    </row>
    <row r="11" spans="1:10" x14ac:dyDescent="0.2">
      <c r="A11" s="20" t="s">
        <v>170</v>
      </c>
      <c r="B11" s="20" t="s">
        <v>12</v>
      </c>
      <c r="C11" s="20" t="s">
        <v>256</v>
      </c>
      <c r="D11" s="20" t="s">
        <v>158</v>
      </c>
      <c r="E11" s="34">
        <f t="shared" si="0"/>
        <v>0.79591836734693877</v>
      </c>
      <c r="F11" s="34">
        <v>1</v>
      </c>
      <c r="G11" s="34">
        <f>IF(prodnorm26&gt;0,1/ROUND(prodnorm26,4),0)</f>
        <v>0</v>
      </c>
      <c r="H11" s="36">
        <f>ROUND(dagwerk26,4+2)</f>
        <v>0</v>
      </c>
      <c r="I11" s="37">
        <f>ROUND(uurtarief26,2)</f>
        <v>0</v>
      </c>
      <c r="J11" s="34">
        <v>29</v>
      </c>
    </row>
    <row r="12" spans="1:10" x14ac:dyDescent="0.2">
      <c r="A12" s="20" t="s">
        <v>172</v>
      </c>
      <c r="B12" s="20" t="s">
        <v>12</v>
      </c>
      <c r="C12" s="20" t="s">
        <v>256</v>
      </c>
      <c r="D12" s="20" t="s">
        <v>158</v>
      </c>
      <c r="E12" s="34">
        <f t="shared" si="0"/>
        <v>0.79591836734693877</v>
      </c>
      <c r="F12" s="34">
        <v>1</v>
      </c>
      <c r="G12" s="34">
        <f>IF(prodnorm27&gt;0,1/ROUND(prodnorm27,4),0)</f>
        <v>0</v>
      </c>
      <c r="H12" s="36">
        <f>ROUND(dagwerk27,4+2)</f>
        <v>0</v>
      </c>
      <c r="I12" s="37">
        <f>ROUND(uurtarief27,2)</f>
        <v>0</v>
      </c>
      <c r="J12" s="34">
        <v>2</v>
      </c>
    </row>
    <row r="13" spans="1:10" x14ac:dyDescent="0.2">
      <c r="A13" s="20" t="s">
        <v>174</v>
      </c>
      <c r="B13" s="20" t="s">
        <v>12</v>
      </c>
      <c r="C13" s="20" t="s">
        <v>256</v>
      </c>
      <c r="D13" s="20" t="s">
        <v>158</v>
      </c>
      <c r="E13" s="34">
        <f t="shared" si="0"/>
        <v>0.79591836734693877</v>
      </c>
      <c r="F13" s="34">
        <v>1</v>
      </c>
      <c r="G13" s="34">
        <f>IF(prodnorm28&gt;0,1/ROUND(prodnorm28,4),0)</f>
        <v>0</v>
      </c>
      <c r="H13" s="36">
        <f>ROUND(dagwerk28,4+2)</f>
        <v>0</v>
      </c>
      <c r="I13" s="37">
        <f>ROUND(uurtarief28,2)</f>
        <v>0</v>
      </c>
      <c r="J13" s="34">
        <v>4.5</v>
      </c>
    </row>
    <row r="14" spans="1:10" x14ac:dyDescent="0.2">
      <c r="A14" s="20" t="s">
        <v>176</v>
      </c>
      <c r="B14" s="20" t="s">
        <v>13</v>
      </c>
      <c r="C14" s="20" t="s">
        <v>256</v>
      </c>
      <c r="D14" s="20" t="s">
        <v>158</v>
      </c>
      <c r="E14" s="34">
        <f t="shared" si="0"/>
        <v>0.63673469387755099</v>
      </c>
      <c r="F14" s="34">
        <v>1</v>
      </c>
      <c r="G14" s="34">
        <f>IF(prodnorm29&gt;0,1/ROUND(prodnorm29,4),0)</f>
        <v>0</v>
      </c>
      <c r="H14" s="36">
        <f>ROUND(dagwerk29,4+2)</f>
        <v>0</v>
      </c>
      <c r="I14" s="37">
        <f>ROUND(uurtarief29,2)</f>
        <v>0</v>
      </c>
      <c r="J14" s="34">
        <v>3004</v>
      </c>
    </row>
    <row r="15" spans="1:10" x14ac:dyDescent="0.2">
      <c r="A15" s="20" t="s">
        <v>178</v>
      </c>
      <c r="B15" s="20" t="s">
        <v>13</v>
      </c>
      <c r="C15" s="20" t="s">
        <v>256</v>
      </c>
      <c r="D15" s="20" t="s">
        <v>158</v>
      </c>
      <c r="E15" s="34">
        <f t="shared" si="0"/>
        <v>0.63673469387755099</v>
      </c>
      <c r="F15" s="34">
        <v>1</v>
      </c>
      <c r="G15" s="34">
        <f>IF(prodnorm30&gt;0,1/ROUND(prodnorm30,4),0)</f>
        <v>0</v>
      </c>
      <c r="H15" s="36">
        <f>ROUND(dagwerk30,4+2)</f>
        <v>0</v>
      </c>
      <c r="I15" s="37">
        <f>ROUND(uurtarief30,2)</f>
        <v>0</v>
      </c>
      <c r="J15" s="34">
        <v>159</v>
      </c>
    </row>
    <row r="16" spans="1:10" x14ac:dyDescent="0.2">
      <c r="A16" s="20" t="s">
        <v>180</v>
      </c>
      <c r="B16" s="20" t="s">
        <v>12</v>
      </c>
      <c r="C16" s="20" t="s">
        <v>256</v>
      </c>
      <c r="D16" s="20" t="s">
        <v>158</v>
      </c>
      <c r="E16" s="34">
        <f t="shared" si="0"/>
        <v>0.79591836734693877</v>
      </c>
      <c r="F16" s="34">
        <v>1</v>
      </c>
      <c r="G16" s="34">
        <f>IF(prodnorm31&gt;0,1/ROUND(prodnorm31,4),0)</f>
        <v>0</v>
      </c>
      <c r="H16" s="36">
        <f>ROUND(dagwerk31,4+2)</f>
        <v>0</v>
      </c>
      <c r="I16" s="37">
        <f>ROUND(uurtarief31,2)</f>
        <v>0</v>
      </c>
      <c r="J16" s="34">
        <v>114</v>
      </c>
    </row>
    <row r="17" spans="1:10" x14ac:dyDescent="0.2">
      <c r="A17" s="20" t="s">
        <v>182</v>
      </c>
      <c r="B17" s="20" t="s">
        <v>20</v>
      </c>
      <c r="C17" s="20" t="s">
        <v>256</v>
      </c>
      <c r="D17" s="20" t="s">
        <v>158</v>
      </c>
      <c r="E17" s="34">
        <f t="shared" si="0"/>
        <v>0.15918367346938775</v>
      </c>
      <c r="F17" s="34">
        <v>1</v>
      </c>
      <c r="G17" s="34">
        <f>IF(prodnorm32&gt;0,1/ROUND(prodnorm32,4),0)</f>
        <v>0</v>
      </c>
      <c r="H17" s="36">
        <f>ROUND(dagwerk32,4+2)</f>
        <v>0</v>
      </c>
      <c r="I17" s="37">
        <f>ROUND(uurtarief32,2)</f>
        <v>0</v>
      </c>
      <c r="J17" s="34">
        <v>2502</v>
      </c>
    </row>
    <row r="18" spans="1:10" x14ac:dyDescent="0.2">
      <c r="A18" s="20" t="s">
        <v>184</v>
      </c>
      <c r="B18" s="20" t="s">
        <v>12</v>
      </c>
      <c r="C18" s="20" t="s">
        <v>256</v>
      </c>
      <c r="D18" s="20" t="s">
        <v>158</v>
      </c>
      <c r="E18" s="34">
        <f t="shared" si="0"/>
        <v>0.79591836734693877</v>
      </c>
      <c r="F18" s="34">
        <v>1</v>
      </c>
      <c r="G18" s="34">
        <f>IF(prodnorm33&gt;0,1/ROUND(prodnorm33,4),0)</f>
        <v>0</v>
      </c>
      <c r="H18" s="36">
        <f>ROUND(dagwerk33,4+2)</f>
        <v>0</v>
      </c>
      <c r="I18" s="37">
        <f>ROUND(uurtarief33,2)</f>
        <v>0</v>
      </c>
      <c r="J18" s="34">
        <v>31</v>
      </c>
    </row>
    <row r="19" spans="1:10" x14ac:dyDescent="0.2">
      <c r="A19" s="20" t="s">
        <v>186</v>
      </c>
      <c r="B19" s="20" t="s">
        <v>12</v>
      </c>
      <c r="C19" s="20" t="s">
        <v>256</v>
      </c>
      <c r="D19" s="20" t="s">
        <v>158</v>
      </c>
      <c r="E19" s="34">
        <f t="shared" si="0"/>
        <v>0.79591836734693877</v>
      </c>
      <c r="F19" s="34">
        <v>1</v>
      </c>
      <c r="G19" s="34">
        <f>IF(prodnorm34&gt;0,1/ROUND(prodnorm34,4),0)</f>
        <v>0</v>
      </c>
      <c r="H19" s="36">
        <f>ROUND(dagwerk34,4+2)</f>
        <v>0</v>
      </c>
      <c r="I19" s="37">
        <f>ROUND(uurtarief34,2)</f>
        <v>0</v>
      </c>
      <c r="J19" s="34">
        <v>8</v>
      </c>
    </row>
    <row r="20" spans="1:10" x14ac:dyDescent="0.2">
      <c r="A20" s="20" t="s">
        <v>188</v>
      </c>
      <c r="B20" s="20" t="s">
        <v>12</v>
      </c>
      <c r="C20" s="20" t="s">
        <v>256</v>
      </c>
      <c r="D20" s="20" t="s">
        <v>158</v>
      </c>
      <c r="E20" s="34">
        <f t="shared" si="0"/>
        <v>0.79591836734693877</v>
      </c>
      <c r="F20" s="34">
        <v>1</v>
      </c>
      <c r="G20" s="34">
        <f>IF(prodnorm35&gt;0,1/ROUND(prodnorm35,4),0)</f>
        <v>0</v>
      </c>
      <c r="H20" s="36">
        <f>ROUND(dagwerk35,4+2)</f>
        <v>0</v>
      </c>
      <c r="I20" s="37">
        <f>ROUND(uurtarief35,2)</f>
        <v>0</v>
      </c>
      <c r="J20" s="34">
        <v>196.10000000000002</v>
      </c>
    </row>
    <row r="21" spans="1:10" x14ac:dyDescent="0.2">
      <c r="A21" s="20" t="s">
        <v>190</v>
      </c>
      <c r="B21" s="20" t="s">
        <v>12</v>
      </c>
      <c r="C21" s="20" t="s">
        <v>256</v>
      </c>
      <c r="D21" s="20" t="s">
        <v>158</v>
      </c>
      <c r="E21" s="34">
        <f t="shared" si="0"/>
        <v>0.79591836734693877</v>
      </c>
      <c r="F21" s="34">
        <v>1</v>
      </c>
      <c r="G21" s="34">
        <f>IF(prodnorm36&gt;0,1/ROUND(prodnorm36,4),0)</f>
        <v>0</v>
      </c>
      <c r="H21" s="36">
        <f>ROUND(dagwerk36,4+2)</f>
        <v>0</v>
      </c>
      <c r="I21" s="37">
        <f>ROUND(uurtarief36,2)</f>
        <v>0</v>
      </c>
      <c r="J21" s="34">
        <v>78</v>
      </c>
    </row>
    <row r="22" spans="1:10" x14ac:dyDescent="0.2">
      <c r="A22" s="20" t="s">
        <v>192</v>
      </c>
      <c r="B22" s="20" t="s">
        <v>12</v>
      </c>
      <c r="C22" s="20" t="s">
        <v>256</v>
      </c>
      <c r="D22" s="20" t="s">
        <v>158</v>
      </c>
      <c r="E22" s="34">
        <f t="shared" si="0"/>
        <v>0.79591836734693877</v>
      </c>
      <c r="F22" s="34">
        <v>1</v>
      </c>
      <c r="G22" s="34">
        <f>IF(prodnorm37&gt;0,1/ROUND(prodnorm37,4),0)</f>
        <v>0</v>
      </c>
      <c r="H22" s="36">
        <f>ROUND(dagwerk37,4+2)</f>
        <v>0</v>
      </c>
      <c r="I22" s="37">
        <f>ROUND(uurtarief37,2)</f>
        <v>0</v>
      </c>
      <c r="J22" s="34">
        <v>204</v>
      </c>
    </row>
    <row r="23" spans="1:10" x14ac:dyDescent="0.2">
      <c r="A23" s="20" t="s">
        <v>192</v>
      </c>
      <c r="B23" s="20" t="s">
        <v>20</v>
      </c>
      <c r="C23" s="20" t="s">
        <v>256</v>
      </c>
      <c r="D23" s="20" t="s">
        <v>158</v>
      </c>
      <c r="E23" s="34">
        <f t="shared" si="0"/>
        <v>0.15918367346938775</v>
      </c>
      <c r="F23" s="34">
        <v>1</v>
      </c>
      <c r="G23" s="34">
        <f>IF(prodnorm38&gt;0,1/ROUND(prodnorm38,4),0)</f>
        <v>0</v>
      </c>
      <c r="H23" s="36">
        <f>ROUND(dagwerk38,4+2)</f>
        <v>0</v>
      </c>
      <c r="I23" s="37">
        <f>ROUND(uurtarief38,2)</f>
        <v>0</v>
      </c>
      <c r="J23" s="34">
        <v>82</v>
      </c>
    </row>
    <row r="24" spans="1:10" x14ac:dyDescent="0.2">
      <c r="A24" s="20" t="s">
        <v>194</v>
      </c>
      <c r="B24" s="20" t="s">
        <v>12</v>
      </c>
      <c r="C24" s="20" t="s">
        <v>256</v>
      </c>
      <c r="D24" s="20" t="s">
        <v>158</v>
      </c>
      <c r="E24" s="34">
        <f t="shared" si="0"/>
        <v>0.79591836734693877</v>
      </c>
      <c r="F24" s="34">
        <v>1</v>
      </c>
      <c r="G24" s="34">
        <f>IF(prodnorm39&gt;0,1/ROUND(prodnorm39,4),0)</f>
        <v>0</v>
      </c>
      <c r="H24" s="36">
        <f>ROUND(dagwerk39,4+2)</f>
        <v>0</v>
      </c>
      <c r="I24" s="37">
        <f>ROUND(uurtarief39,2)</f>
        <v>0</v>
      </c>
      <c r="J24" s="34">
        <v>1863</v>
      </c>
    </row>
    <row r="25" spans="1:10" x14ac:dyDescent="0.2">
      <c r="A25" s="20" t="s">
        <v>194</v>
      </c>
      <c r="B25" s="20" t="s">
        <v>20</v>
      </c>
      <c r="C25" s="20" t="s">
        <v>256</v>
      </c>
      <c r="D25" s="20" t="s">
        <v>158</v>
      </c>
      <c r="E25" s="34">
        <f t="shared" si="0"/>
        <v>0.15918367346938775</v>
      </c>
      <c r="F25" s="34">
        <v>1</v>
      </c>
      <c r="G25" s="34">
        <f>IF(prodnorm40&gt;0,1/ROUND(prodnorm40,4),0)</f>
        <v>0</v>
      </c>
      <c r="H25" s="36">
        <f>ROUND(dagwerk40,4+2)</f>
        <v>0</v>
      </c>
      <c r="I25" s="37">
        <f>ROUND(uurtarief40,2)</f>
        <v>0</v>
      </c>
      <c r="J25" s="34">
        <v>1927</v>
      </c>
    </row>
    <row r="26" spans="1:10" x14ac:dyDescent="0.2">
      <c r="A26" s="20" t="s">
        <v>196</v>
      </c>
      <c r="B26" s="20" t="s">
        <v>12</v>
      </c>
      <c r="C26" s="20" t="s">
        <v>256</v>
      </c>
      <c r="D26" s="20" t="s">
        <v>158</v>
      </c>
      <c r="E26" s="34">
        <f t="shared" si="0"/>
        <v>0.79591836734693877</v>
      </c>
      <c r="F26" s="34">
        <v>1</v>
      </c>
      <c r="G26" s="34">
        <f>IF(prodnorm41&gt;0,1/ROUND(prodnorm41,4),0)</f>
        <v>0</v>
      </c>
      <c r="H26" s="36">
        <f>ROUND(dagwerk41,4+2)</f>
        <v>0</v>
      </c>
      <c r="I26" s="37">
        <f>ROUND(uurtarief41,2)</f>
        <v>0</v>
      </c>
      <c r="J26" s="34">
        <v>5</v>
      </c>
    </row>
    <row r="27" spans="1:10" x14ac:dyDescent="0.2">
      <c r="A27" s="20" t="s">
        <v>198</v>
      </c>
      <c r="B27" s="20" t="s">
        <v>15</v>
      </c>
      <c r="C27" s="20" t="s">
        <v>256</v>
      </c>
      <c r="D27" s="20" t="s">
        <v>158</v>
      </c>
      <c r="E27" s="34">
        <f t="shared" si="0"/>
        <v>0.47755102040816327</v>
      </c>
      <c r="F27" s="34">
        <v>1</v>
      </c>
      <c r="G27" s="34">
        <f>IF(prodnorm42&gt;0,1/ROUND(prodnorm42,4),0)</f>
        <v>0</v>
      </c>
      <c r="H27" s="36">
        <f>ROUND(dagwerk42,4+2)</f>
        <v>0</v>
      </c>
      <c r="I27" s="37">
        <f>ROUND(uurtarief42,2)</f>
        <v>0</v>
      </c>
      <c r="J27" s="34">
        <v>1482.3</v>
      </c>
    </row>
    <row r="28" spans="1:10" x14ac:dyDescent="0.2">
      <c r="A28" s="20" t="s">
        <v>198</v>
      </c>
      <c r="B28" s="20" t="s">
        <v>20</v>
      </c>
      <c r="C28" s="20" t="s">
        <v>256</v>
      </c>
      <c r="D28" s="20" t="s">
        <v>158</v>
      </c>
      <c r="E28" s="34">
        <f t="shared" si="0"/>
        <v>0.15918367346938775</v>
      </c>
      <c r="F28" s="34">
        <v>1</v>
      </c>
      <c r="G28" s="34">
        <f>IF(prodnorm43&gt;0,1/ROUND(prodnorm43,4),0)</f>
        <v>0</v>
      </c>
      <c r="H28" s="36">
        <f>ROUND(dagwerk43,4+2)</f>
        <v>0</v>
      </c>
      <c r="I28" s="37">
        <f>ROUND(uurtarief43,2)</f>
        <v>0</v>
      </c>
      <c r="J28" s="34">
        <v>570</v>
      </c>
    </row>
    <row r="29" spans="1:10" x14ac:dyDescent="0.2">
      <c r="A29" s="20" t="s">
        <v>200</v>
      </c>
      <c r="B29" s="20" t="s">
        <v>20</v>
      </c>
      <c r="C29" s="20" t="s">
        <v>256</v>
      </c>
      <c r="D29" s="20" t="s">
        <v>158</v>
      </c>
      <c r="E29" s="34">
        <f t="shared" si="0"/>
        <v>0.15918367346938775</v>
      </c>
      <c r="F29" s="34">
        <v>1</v>
      </c>
      <c r="G29" s="34">
        <f>IF(prodnorm44&gt;0,1/ROUND(prodnorm44,4),0)</f>
        <v>0</v>
      </c>
      <c r="H29" s="36">
        <f>ROUND(dagwerk44,4+2)</f>
        <v>0</v>
      </c>
      <c r="I29" s="37">
        <f>ROUND(uurtarief44,2)</f>
        <v>0</v>
      </c>
      <c r="J29" s="34">
        <v>61</v>
      </c>
    </row>
    <row r="30" spans="1:10" x14ac:dyDescent="0.2">
      <c r="A30" s="20" t="s">
        <v>202</v>
      </c>
      <c r="B30" s="20" t="s">
        <v>15</v>
      </c>
      <c r="C30" s="20" t="s">
        <v>256</v>
      </c>
      <c r="D30" s="20" t="s">
        <v>158</v>
      </c>
      <c r="E30" s="34">
        <f t="shared" si="0"/>
        <v>0.47755102040816327</v>
      </c>
      <c r="F30" s="34">
        <v>1</v>
      </c>
      <c r="G30" s="34">
        <f>IF(prodnorm45&gt;0,1/ROUND(prodnorm45,4),0)</f>
        <v>0</v>
      </c>
      <c r="H30" s="36">
        <f>ROUND(dagwerk45,4+2)</f>
        <v>0</v>
      </c>
      <c r="I30" s="37">
        <f>ROUND(uurtarief45,2)</f>
        <v>0</v>
      </c>
      <c r="J30" s="34">
        <v>91.5</v>
      </c>
    </row>
    <row r="31" spans="1:10" x14ac:dyDescent="0.2">
      <c r="A31" s="20" t="s">
        <v>204</v>
      </c>
      <c r="B31" s="20" t="s">
        <v>12</v>
      </c>
      <c r="C31" s="20" t="s">
        <v>256</v>
      </c>
      <c r="D31" s="20" t="s">
        <v>158</v>
      </c>
      <c r="E31" s="34">
        <f t="shared" si="0"/>
        <v>0.79591836734693877</v>
      </c>
      <c r="F31" s="34">
        <v>1</v>
      </c>
      <c r="G31" s="34">
        <f>IF(prodnorm46&gt;0,1/ROUND(prodnorm46,4),0)</f>
        <v>0</v>
      </c>
      <c r="H31" s="36">
        <f>ROUND(dagwerk46,4+2)</f>
        <v>0</v>
      </c>
      <c r="I31" s="37">
        <f>ROUND(uurtarief46,2)</f>
        <v>0</v>
      </c>
      <c r="J31" s="34">
        <v>70</v>
      </c>
    </row>
    <row r="32" spans="1:10" x14ac:dyDescent="0.2">
      <c r="A32" s="20" t="s">
        <v>206</v>
      </c>
      <c r="B32" s="20" t="s">
        <v>23</v>
      </c>
      <c r="C32" s="20" t="s">
        <v>256</v>
      </c>
      <c r="D32" s="20" t="s">
        <v>158</v>
      </c>
      <c r="E32" s="34">
        <f t="shared" si="0"/>
        <v>4.8979591836734691E-2</v>
      </c>
      <c r="F32" s="34">
        <v>1</v>
      </c>
      <c r="G32" s="34">
        <f>IF(prodnorm47&gt;0,1/ROUND(prodnorm47,4),0)</f>
        <v>0</v>
      </c>
      <c r="H32" s="36">
        <f>ROUND(dagwerk47,4+2)</f>
        <v>0</v>
      </c>
      <c r="I32" s="37">
        <f>ROUND(uurtarief47,2)</f>
        <v>0</v>
      </c>
      <c r="J32" s="34">
        <v>99</v>
      </c>
    </row>
    <row r="33" spans="1:10" x14ac:dyDescent="0.2">
      <c r="A33" s="20" t="s">
        <v>208</v>
      </c>
      <c r="B33" s="20" t="s">
        <v>29</v>
      </c>
      <c r="C33" s="20" t="s">
        <v>256</v>
      </c>
      <c r="D33" s="20" t="s">
        <v>209</v>
      </c>
      <c r="E33" s="34">
        <f t="shared" si="0"/>
        <v>4.0816326530612249E-3</v>
      </c>
      <c r="F33" s="34">
        <v>1</v>
      </c>
      <c r="G33" s="34">
        <f>IF(prodnorm48&gt;0,1/ROUND(prodnorm48,4),0)</f>
        <v>0</v>
      </c>
      <c r="H33" s="36">
        <f>ROUND(dagwerk48,4+2)</f>
        <v>0</v>
      </c>
      <c r="I33" s="37">
        <f>ROUND(uurtarief48,2)</f>
        <v>0</v>
      </c>
      <c r="J33" s="34">
        <v>4547.3999999999996</v>
      </c>
    </row>
    <row r="34" spans="1:10" x14ac:dyDescent="0.2">
      <c r="A34" s="20" t="s">
        <v>211</v>
      </c>
      <c r="B34" s="20" t="s">
        <v>29</v>
      </c>
      <c r="C34" s="20" t="s">
        <v>256</v>
      </c>
      <c r="D34" s="20" t="s">
        <v>209</v>
      </c>
      <c r="E34" s="34">
        <f t="shared" si="0"/>
        <v>4.0816326530612249E-3</v>
      </c>
      <c r="F34" s="34">
        <v>1</v>
      </c>
      <c r="G34" s="34">
        <f>IF(prodnorm49&gt;0,1/ROUND(prodnorm49,4),0)</f>
        <v>0</v>
      </c>
      <c r="H34" s="36">
        <f>ROUND(dagwerk49,4+2)</f>
        <v>0</v>
      </c>
      <c r="I34" s="37">
        <f>ROUND(uurtarief49,2)</f>
        <v>0</v>
      </c>
      <c r="J34" s="34">
        <v>382</v>
      </c>
    </row>
    <row r="35" spans="1:10" x14ac:dyDescent="0.2">
      <c r="A35" s="20" t="s">
        <v>213</v>
      </c>
      <c r="B35" s="20" t="s">
        <v>23</v>
      </c>
      <c r="C35" s="20" t="s">
        <v>256</v>
      </c>
      <c r="D35" s="20" t="s">
        <v>209</v>
      </c>
      <c r="E35" s="34">
        <f t="shared" si="0"/>
        <v>4.8979591836734691E-2</v>
      </c>
      <c r="F35" s="34">
        <v>1</v>
      </c>
      <c r="G35" s="34">
        <f>IF(prodnorm50&gt;0,1/ROUND(prodnorm50,4),0)</f>
        <v>0</v>
      </c>
      <c r="H35" s="36">
        <f>ROUND(dagwerk50,4+2)</f>
        <v>0</v>
      </c>
      <c r="I35" s="37">
        <f>ROUND(uurtarief50,2)</f>
        <v>0</v>
      </c>
      <c r="J35" s="34">
        <v>1153</v>
      </c>
    </row>
    <row r="36" spans="1:10" x14ac:dyDescent="0.2">
      <c r="A36" s="20" t="s">
        <v>215</v>
      </c>
      <c r="B36" s="20" t="s">
        <v>28</v>
      </c>
      <c r="C36" s="20" t="s">
        <v>256</v>
      </c>
      <c r="D36" s="20" t="s">
        <v>209</v>
      </c>
      <c r="E36" s="34">
        <f t="shared" si="0"/>
        <v>8.1632653061224497E-3</v>
      </c>
      <c r="F36" s="34">
        <v>1</v>
      </c>
      <c r="G36" s="34">
        <f>IF(prodnorm51&gt;0,1/ROUND(prodnorm51,4),0)</f>
        <v>0</v>
      </c>
      <c r="H36" s="36">
        <f>ROUND(dagwerk51,4+2)</f>
        <v>0</v>
      </c>
      <c r="I36" s="37">
        <f>ROUND(uurtarief51,2)</f>
        <v>0</v>
      </c>
      <c r="J36" s="34">
        <v>183</v>
      </c>
    </row>
    <row r="37" spans="1:10" x14ac:dyDescent="0.2">
      <c r="A37" s="20" t="s">
        <v>217</v>
      </c>
      <c r="B37" s="20" t="s">
        <v>12</v>
      </c>
      <c r="C37" s="20" t="s">
        <v>256</v>
      </c>
      <c r="D37" s="20" t="s">
        <v>218</v>
      </c>
      <c r="E37" s="34">
        <f t="shared" si="0"/>
        <v>0.79591836734693877</v>
      </c>
      <c r="F37" s="34">
        <v>1</v>
      </c>
      <c r="G37" s="34">
        <f>IF(prodnorm14&gt;0,1/ROUND(prodnorm14,4),0)</f>
        <v>0</v>
      </c>
      <c r="H37" s="36">
        <f>ROUND(dagwerk14,4+2)</f>
        <v>0</v>
      </c>
      <c r="I37" s="37">
        <f>ROUND(uurtarief14,2)</f>
        <v>0</v>
      </c>
      <c r="J37" s="34">
        <v>1947</v>
      </c>
    </row>
    <row r="38" spans="1:10" x14ac:dyDescent="0.2">
      <c r="A38" s="20" t="s">
        <v>217</v>
      </c>
      <c r="B38" s="20" t="s">
        <v>22</v>
      </c>
      <c r="C38" s="20" t="s">
        <v>256</v>
      </c>
      <c r="D38" s="20" t="s">
        <v>218</v>
      </c>
      <c r="E38" s="34">
        <f t="shared" si="0"/>
        <v>8.1632653061224483E-2</v>
      </c>
      <c r="F38" s="34">
        <v>1</v>
      </c>
      <c r="G38" s="34">
        <f>IF(prodnorm15&gt;0,1/ROUND(prodnorm15,4),0)</f>
        <v>0</v>
      </c>
      <c r="H38" s="36">
        <f>ROUND(dagwerk15,4+2)</f>
        <v>0</v>
      </c>
      <c r="I38" s="37">
        <f>ROUND(uurtarief15,2)</f>
        <v>0</v>
      </c>
      <c r="J38" s="34">
        <v>1000</v>
      </c>
    </row>
    <row r="39" spans="1:10" x14ac:dyDescent="0.2">
      <c r="A39" s="20" t="s">
        <v>221</v>
      </c>
      <c r="B39" s="20" t="s">
        <v>20</v>
      </c>
      <c r="C39" s="20" t="s">
        <v>256</v>
      </c>
      <c r="D39" s="20" t="s">
        <v>218</v>
      </c>
      <c r="E39" s="34">
        <f t="shared" si="0"/>
        <v>0.15918367346938775</v>
      </c>
      <c r="F39" s="34">
        <v>1</v>
      </c>
      <c r="G39" s="34">
        <f>IF(prodnorm16&gt;0,1/ROUND(prodnorm16,4),0)</f>
        <v>0</v>
      </c>
      <c r="H39" s="36">
        <f>ROUND(dagwerk16,4+2)</f>
        <v>0</v>
      </c>
      <c r="I39" s="37">
        <f>ROUND(uurtarief16,2)</f>
        <v>0</v>
      </c>
      <c r="J39" s="34">
        <v>2919</v>
      </c>
    </row>
    <row r="40" spans="1:10" x14ac:dyDescent="0.2">
      <c r="A40" s="20" t="s">
        <v>223</v>
      </c>
      <c r="B40" s="20" t="s">
        <v>28</v>
      </c>
      <c r="C40" s="20" t="s">
        <v>256</v>
      </c>
      <c r="D40" s="20" t="s">
        <v>218</v>
      </c>
      <c r="E40" s="34">
        <f t="shared" si="0"/>
        <v>8.1632653061224497E-3</v>
      </c>
      <c r="F40" s="34">
        <v>1</v>
      </c>
      <c r="G40" s="34">
        <f>IF(prodnorm17&gt;0,1/ROUND(prodnorm17,4),0)</f>
        <v>0</v>
      </c>
      <c r="H40" s="36">
        <f>ROUND(dagwerk17,4+2)</f>
        <v>0</v>
      </c>
      <c r="I40" s="37">
        <f>ROUND(uurtarief17,2)</f>
        <v>0</v>
      </c>
      <c r="J40" s="34">
        <v>224</v>
      </c>
    </row>
    <row r="41" spans="1:10" x14ac:dyDescent="0.2">
      <c r="A41" s="20" t="s">
        <v>225</v>
      </c>
      <c r="B41" s="20" t="s">
        <v>22</v>
      </c>
      <c r="C41" s="20" t="s">
        <v>256</v>
      </c>
      <c r="D41" s="20" t="s">
        <v>218</v>
      </c>
      <c r="E41" s="34">
        <f t="shared" si="0"/>
        <v>8.1632653061224483E-2</v>
      </c>
      <c r="F41" s="34">
        <v>1</v>
      </c>
      <c r="G41" s="34">
        <v>1</v>
      </c>
      <c r="H41" s="36">
        <f>ROUND(dagwerk18,4+2)</f>
        <v>0</v>
      </c>
      <c r="I41" s="37">
        <f>ROUND(uurtarief18,2)</f>
        <v>0</v>
      </c>
      <c r="J41" s="34">
        <v>3</v>
      </c>
    </row>
    <row r="42" spans="1:10" x14ac:dyDescent="0.2">
      <c r="A42" s="25" t="s">
        <v>228</v>
      </c>
      <c r="B42" s="25" t="s">
        <v>20</v>
      </c>
      <c r="C42" s="25" t="s">
        <v>256</v>
      </c>
      <c r="D42" s="25" t="s">
        <v>218</v>
      </c>
      <c r="E42" s="39">
        <f t="shared" si="0"/>
        <v>0.15918367346938775</v>
      </c>
      <c r="F42" s="39">
        <v>1</v>
      </c>
      <c r="G42" s="39">
        <f>ROUND(prodnorm19,4)/60</f>
        <v>0</v>
      </c>
      <c r="H42" s="50">
        <f>ROUND(dagwerk19,4+2)</f>
        <v>0</v>
      </c>
      <c r="I42" s="41">
        <f>ROUND(uurtarief19,2)</f>
        <v>0</v>
      </c>
      <c r="J42" s="39">
        <v>8</v>
      </c>
    </row>
    <row r="43" spans="1:10" x14ac:dyDescent="0.2">
      <c r="A43" s="42" t="s">
        <v>231</v>
      </c>
      <c r="B43" s="43"/>
      <c r="C43" s="43"/>
      <c r="D43" s="43"/>
      <c r="E43" s="43"/>
      <c r="F43" s="43"/>
      <c r="G43" s="43"/>
      <c r="H43" s="43"/>
      <c r="I43" s="43"/>
      <c r="J43" s="60"/>
    </row>
    <row r="45" spans="1:10" x14ac:dyDescent="0.2">
      <c r="A45" s="15" t="s">
        <v>233</v>
      </c>
      <c r="B45" s="15" t="s">
        <v>22</v>
      </c>
      <c r="C45" s="15" t="s">
        <v>257</v>
      </c>
      <c r="D45" s="15" t="s">
        <v>158</v>
      </c>
      <c r="E45" s="30">
        <f t="shared" ref="E45:E53" si="1">IF(B45="","",VLOOKUP(B45,dagsoorttabel1,2,FALSE))</f>
        <v>8.1632653061224483E-2</v>
      </c>
      <c r="F45" s="30">
        <v>1</v>
      </c>
      <c r="G45" s="30">
        <f>IF(prodnorm53&gt;0,1/ROUND(prodnorm53,4),0)</f>
        <v>0</v>
      </c>
      <c r="H45" s="32">
        <f>ROUND(dagwerk53,4+2)</f>
        <v>0</v>
      </c>
      <c r="I45" s="33">
        <f>ROUND(uurtarief53,2)</f>
        <v>0</v>
      </c>
      <c r="J45" s="30">
        <v>57</v>
      </c>
    </row>
    <row r="46" spans="1:10" x14ac:dyDescent="0.2">
      <c r="A46" s="20" t="s">
        <v>234</v>
      </c>
      <c r="B46" s="20" t="s">
        <v>22</v>
      </c>
      <c r="C46" s="20" t="s">
        <v>257</v>
      </c>
      <c r="D46" s="20" t="s">
        <v>158</v>
      </c>
      <c r="E46" s="34">
        <f t="shared" si="1"/>
        <v>8.1632653061224483E-2</v>
      </c>
      <c r="F46" s="34">
        <v>1</v>
      </c>
      <c r="G46" s="34">
        <f>IF(prodnorm54&gt;0,1/ROUND(prodnorm54,4),0)</f>
        <v>0</v>
      </c>
      <c r="H46" s="36">
        <f>ROUND(dagwerk54,4+2)</f>
        <v>0</v>
      </c>
      <c r="I46" s="37">
        <f>ROUND(uurtarief54,2)</f>
        <v>0</v>
      </c>
      <c r="J46" s="34">
        <v>344</v>
      </c>
    </row>
    <row r="47" spans="1:10" x14ac:dyDescent="0.2">
      <c r="A47" s="20" t="s">
        <v>234</v>
      </c>
      <c r="B47" s="20" t="s">
        <v>17</v>
      </c>
      <c r="C47" s="20" t="s">
        <v>257</v>
      </c>
      <c r="D47" s="20" t="s">
        <v>158</v>
      </c>
      <c r="E47" s="34">
        <f t="shared" si="1"/>
        <v>0.20408163265306123</v>
      </c>
      <c r="F47" s="34">
        <v>1</v>
      </c>
      <c r="G47" s="34">
        <f>IF(prodnorm55&gt;0,1/ROUND(prodnorm55,4),0)</f>
        <v>0</v>
      </c>
      <c r="H47" s="36">
        <f>ROUND(dagwerk55,4+2)</f>
        <v>0</v>
      </c>
      <c r="I47" s="37">
        <f>ROUND(uurtarief55,2)</f>
        <v>0</v>
      </c>
      <c r="J47" s="34">
        <v>28</v>
      </c>
    </row>
    <row r="48" spans="1:10" x14ac:dyDescent="0.2">
      <c r="A48" s="20" t="s">
        <v>235</v>
      </c>
      <c r="B48" s="20" t="s">
        <v>24</v>
      </c>
      <c r="C48" s="20" t="s">
        <v>257</v>
      </c>
      <c r="D48" s="20" t="s">
        <v>158</v>
      </c>
      <c r="E48" s="34">
        <f t="shared" si="1"/>
        <v>4.0816326530612242E-2</v>
      </c>
      <c r="F48" s="34">
        <v>1</v>
      </c>
      <c r="G48" s="34">
        <f>IF(prodnorm56&gt;0,1/ROUND(prodnorm56,4),0)</f>
        <v>0</v>
      </c>
      <c r="H48" s="36">
        <f>ROUND(dagwerk56,4+2)</f>
        <v>0</v>
      </c>
      <c r="I48" s="37">
        <f>ROUND(uurtarief56,2)</f>
        <v>0</v>
      </c>
      <c r="J48" s="34">
        <v>2.5</v>
      </c>
    </row>
    <row r="49" spans="1:10" x14ac:dyDescent="0.2">
      <c r="A49" s="20" t="s">
        <v>236</v>
      </c>
      <c r="B49" s="20" t="s">
        <v>17</v>
      </c>
      <c r="C49" s="20" t="s">
        <v>257</v>
      </c>
      <c r="D49" s="20" t="s">
        <v>158</v>
      </c>
      <c r="E49" s="34">
        <f t="shared" si="1"/>
        <v>0.20408163265306123</v>
      </c>
      <c r="F49" s="34">
        <v>1</v>
      </c>
      <c r="G49" s="34">
        <f>IF(prodnorm57&gt;0,1/ROUND(prodnorm57,4),0)</f>
        <v>0</v>
      </c>
      <c r="H49" s="36">
        <f>ROUND(dagwerk57,4+2)</f>
        <v>0</v>
      </c>
      <c r="I49" s="37">
        <f>ROUND(uurtarief57,2)</f>
        <v>0</v>
      </c>
      <c r="J49" s="34">
        <v>10</v>
      </c>
    </row>
    <row r="50" spans="1:10" x14ac:dyDescent="0.2">
      <c r="A50" s="20" t="s">
        <v>237</v>
      </c>
      <c r="B50" s="20" t="s">
        <v>22</v>
      </c>
      <c r="C50" s="20" t="s">
        <v>257</v>
      </c>
      <c r="D50" s="20" t="s">
        <v>158</v>
      </c>
      <c r="E50" s="34">
        <f t="shared" si="1"/>
        <v>8.1632653061224483E-2</v>
      </c>
      <c r="F50" s="34">
        <v>1</v>
      </c>
      <c r="G50" s="34">
        <f>IF(prodnorm58&gt;0,1/ROUND(prodnorm58,4),0)</f>
        <v>0</v>
      </c>
      <c r="H50" s="36">
        <f>ROUND(dagwerk58,4+2)</f>
        <v>0</v>
      </c>
      <c r="I50" s="37">
        <f>ROUND(uurtarief58,2)</f>
        <v>0</v>
      </c>
      <c r="J50" s="34">
        <v>8</v>
      </c>
    </row>
    <row r="51" spans="1:10" x14ac:dyDescent="0.2">
      <c r="A51" s="20" t="s">
        <v>238</v>
      </c>
      <c r="B51" s="20" t="s">
        <v>17</v>
      </c>
      <c r="C51" s="20" t="s">
        <v>257</v>
      </c>
      <c r="D51" s="20" t="s">
        <v>158</v>
      </c>
      <c r="E51" s="34">
        <f t="shared" si="1"/>
        <v>0.20408163265306123</v>
      </c>
      <c r="F51" s="34">
        <v>1</v>
      </c>
      <c r="G51" s="34">
        <f>IF(prodnorm59&gt;0,1/ROUND(prodnorm59,4),0)</f>
        <v>0</v>
      </c>
      <c r="H51" s="36">
        <f>ROUND(dagwerk59,4+2)</f>
        <v>0</v>
      </c>
      <c r="I51" s="37">
        <f>ROUND(uurtarief59,2)</f>
        <v>0</v>
      </c>
      <c r="J51" s="34">
        <v>54.5</v>
      </c>
    </row>
    <row r="52" spans="1:10" x14ac:dyDescent="0.2">
      <c r="A52" s="20" t="s">
        <v>239</v>
      </c>
      <c r="B52" s="20" t="s">
        <v>24</v>
      </c>
      <c r="C52" s="20" t="s">
        <v>257</v>
      </c>
      <c r="D52" s="20" t="s">
        <v>158</v>
      </c>
      <c r="E52" s="34">
        <f t="shared" si="1"/>
        <v>4.0816326530612242E-2</v>
      </c>
      <c r="F52" s="34">
        <v>1</v>
      </c>
      <c r="G52" s="34">
        <f>IF(prodnorm60&gt;0,1/ROUND(prodnorm60,4),0)</f>
        <v>0</v>
      </c>
      <c r="H52" s="36">
        <f>ROUND(dagwerk60,4+2)</f>
        <v>0</v>
      </c>
      <c r="I52" s="37">
        <f>ROUND(uurtarief60,2)</f>
        <v>0</v>
      </c>
      <c r="J52" s="34">
        <v>596</v>
      </c>
    </row>
    <row r="53" spans="1:10" x14ac:dyDescent="0.2">
      <c r="A53" s="25" t="s">
        <v>239</v>
      </c>
      <c r="B53" s="25" t="s">
        <v>17</v>
      </c>
      <c r="C53" s="25" t="s">
        <v>257</v>
      </c>
      <c r="D53" s="25" t="s">
        <v>158</v>
      </c>
      <c r="E53" s="39">
        <f t="shared" si="1"/>
        <v>0.20408163265306123</v>
      </c>
      <c r="F53" s="39">
        <v>1</v>
      </c>
      <c r="G53" s="39">
        <f>IF(prodnorm61&gt;0,1/ROUND(prodnorm61,4),0)</f>
        <v>0</v>
      </c>
      <c r="H53" s="50">
        <f>ROUND(dagwerk61,4+2)</f>
        <v>0</v>
      </c>
      <c r="I53" s="41">
        <f>ROUND(uurtarief61,2)</f>
        <v>0</v>
      </c>
      <c r="J53" s="39">
        <v>36</v>
      </c>
    </row>
    <row r="54" spans="1:10" x14ac:dyDescent="0.2">
      <c r="A54" s="42" t="s">
        <v>240</v>
      </c>
      <c r="B54" s="43"/>
      <c r="C54" s="43"/>
      <c r="D54" s="43"/>
      <c r="E54" s="43"/>
      <c r="F54" s="43"/>
      <c r="G54" s="43"/>
      <c r="H54" s="43"/>
      <c r="I54" s="43"/>
      <c r="J54" s="60"/>
    </row>
    <row r="56" spans="1:10" x14ac:dyDescent="0.2">
      <c r="A56" s="51" t="s">
        <v>243</v>
      </c>
      <c r="B56" s="51" t="s">
        <v>19</v>
      </c>
      <c r="C56" s="51" t="s">
        <v>258</v>
      </c>
      <c r="D56" s="51" t="s">
        <v>218</v>
      </c>
      <c r="E56" s="52">
        <f>IF(B56="","",VLOOKUP(B56,dagsoorttabel1,2,FALSE))</f>
        <v>0.16326530612244897</v>
      </c>
      <c r="F56" s="52">
        <v>1</v>
      </c>
      <c r="G56" s="52">
        <v>1</v>
      </c>
      <c r="H56" s="61">
        <f>ROUND(dagwerk65,4+2)</f>
        <v>0</v>
      </c>
      <c r="I56" s="56">
        <f>ROUND(uurtarief65,2)</f>
        <v>0</v>
      </c>
      <c r="J56" s="52">
        <v>4</v>
      </c>
    </row>
    <row r="57" spans="1:10" x14ac:dyDescent="0.2">
      <c r="A57" s="42" t="s">
        <v>245</v>
      </c>
      <c r="B57" s="43"/>
      <c r="C57" s="43"/>
      <c r="D57" s="43"/>
      <c r="E57" s="43"/>
      <c r="F57" s="43"/>
      <c r="G57" s="43"/>
      <c r="H57" s="43"/>
      <c r="I57" s="43"/>
      <c r="J57" s="60"/>
    </row>
  </sheetData>
  <pageMargins left="0.7" right="0.7" top="0.75" bottom="0.75" header="0.3" footer="0.3"/>
  <pageSetup paperSize="9" scale="70" orientation="landscape" r:id="rId1"/>
  <headerFooter>
    <oddFooter>&amp;LHogeschool der Kunsten Den Haag EA 2023                     &amp;ROpmaakdatum: 13-03-2023
Intexso - De Start 5 - Leusden
+31 (33) 2778485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CD8E0-53A9-4536-85FA-FDD6E3E4C500}">
  <dimension ref="A1:R22"/>
  <sheetViews>
    <sheetView workbookViewId="0"/>
  </sheetViews>
  <sheetFormatPr defaultRowHeight="12.75" x14ac:dyDescent="0.2"/>
  <cols>
    <col min="1" max="1" width="8.625" customWidth="1"/>
    <col min="2" max="2" width="28.625" customWidth="1"/>
    <col min="3" max="4" width="15.625" customWidth="1"/>
    <col min="5" max="5" width="6.125" customWidth="1"/>
    <col min="6" max="6" width="10.625" customWidth="1"/>
    <col min="7" max="14" width="12.125" customWidth="1"/>
    <col min="15" max="16" width="12.625" customWidth="1"/>
    <col min="17" max="18" width="13.625" customWidth="1"/>
  </cols>
  <sheetData>
    <row r="1" spans="1:18" x14ac:dyDescent="0.2">
      <c r="A1" s="1" t="str">
        <f>CONCATENATE("Bijlage I.3: ",tabeltype," objecten")</f>
        <v>Bijlage I.3: Invultabel objecten</v>
      </c>
    </row>
    <row r="3" spans="1:18" ht="51" x14ac:dyDescent="0.2">
      <c r="A3" s="8" t="s">
        <v>259</v>
      </c>
      <c r="B3" s="8" t="s">
        <v>260</v>
      </c>
      <c r="C3" s="8" t="s">
        <v>261</v>
      </c>
      <c r="D3" s="8" t="s">
        <v>262</v>
      </c>
      <c r="E3" s="8" t="s">
        <v>7</v>
      </c>
      <c r="F3" s="8" t="s">
        <v>263</v>
      </c>
      <c r="G3" s="8" t="s">
        <v>264</v>
      </c>
      <c r="H3" s="8" t="s">
        <v>265</v>
      </c>
      <c r="I3" s="8" t="s">
        <v>266</v>
      </c>
      <c r="J3" s="8" t="s">
        <v>267</v>
      </c>
      <c r="K3" s="8" t="s">
        <v>268</v>
      </c>
      <c r="L3" s="8" t="s">
        <v>269</v>
      </c>
      <c r="M3" s="8" t="s">
        <v>270</v>
      </c>
      <c r="N3" s="8" t="s">
        <v>271</v>
      </c>
      <c r="O3" s="8" t="s">
        <v>272</v>
      </c>
      <c r="P3" s="8" t="s">
        <v>155</v>
      </c>
      <c r="Q3" s="8" t="s">
        <v>273</v>
      </c>
      <c r="R3" s="8" t="s">
        <v>274</v>
      </c>
    </row>
    <row r="4" spans="1:18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1"/>
    </row>
    <row r="5" spans="1:18" x14ac:dyDescent="0.2">
      <c r="A5" s="12" t="s">
        <v>38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4"/>
    </row>
    <row r="6" spans="1:18" x14ac:dyDescent="0.2">
      <c r="A6" s="51" t="s">
        <v>275</v>
      </c>
      <c r="B6" s="51" t="s">
        <v>276</v>
      </c>
      <c r="C6" s="51" t="s">
        <v>277</v>
      </c>
      <c r="D6" s="51" t="s">
        <v>278</v>
      </c>
      <c r="E6" s="62" t="s">
        <v>12</v>
      </c>
      <c r="F6" s="63">
        <f>gemuurtarief1</f>
        <v>0</v>
      </c>
      <c r="G6" s="52">
        <f>SUMPRODUCT(taakfreqtabel1,uurfactortabel1,kengetaltabel1,object1_opptabel1)*(1/VLOOKUP(E6,dagsoorttabel1,2,FALSE))</f>
        <v>0.30769230769230765</v>
      </c>
      <c r="H6" s="52">
        <f>SUMPRODUCT(dagwerktabel1,taakfreqtabel1,uurfactortabel1,kengetaltabel1,object1_opptabel1)*(1/VLOOKUP(E6,dagsoorttabel1,2,FALSE))</f>
        <v>0</v>
      </c>
      <c r="I6" s="64"/>
      <c r="J6" s="52">
        <f>H6+I6</f>
        <v>0</v>
      </c>
      <c r="K6" s="52">
        <f>G6+I6</f>
        <v>0.30769230769230765</v>
      </c>
      <c r="L6" s="56">
        <f>SUMPRODUCT(taakfreqtabel1,kengetaltabel1,tarieftabel1,object1_opptabel1)*(1/VLOOKUP(E6,dagsoorttabel1,2,FALSE))</f>
        <v>0</v>
      </c>
      <c r="M6" s="56">
        <f>F6*I6</f>
        <v>0</v>
      </c>
      <c r="N6" s="56">
        <f>SUM(L6:M6)</f>
        <v>0</v>
      </c>
      <c r="O6" s="52">
        <f>J6*dagenperjaar1*VLOOKUP(E6,dagsoorttabel1,2,FALSE)</f>
        <v>0</v>
      </c>
      <c r="P6" s="52">
        <f>K6*dagenperjaar1*VLOOKUP(E6,dagsoorttabel1,2,FALSE)</f>
        <v>59.999999999999993</v>
      </c>
      <c r="Q6" s="56">
        <f>N6*dagenperjaar1*VLOOKUP(E6,dagsoorttabel1,2,FALSE)</f>
        <v>0</v>
      </c>
      <c r="R6" s="56">
        <f>Q6/12</f>
        <v>0</v>
      </c>
    </row>
    <row r="7" spans="1:18" x14ac:dyDescent="0.2">
      <c r="A7" s="42" t="s">
        <v>231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4">
        <f>SUM(O6:O6)</f>
        <v>0</v>
      </c>
      <c r="P7" s="44">
        <f>SUM(P6:P6)</f>
        <v>59.999999999999993</v>
      </c>
      <c r="Q7" s="45">
        <f>SUM(Q6:Q6)</f>
        <v>0</v>
      </c>
      <c r="R7" s="46">
        <f>SUM(R6:R6)</f>
        <v>0</v>
      </c>
    </row>
    <row r="8" spans="1:18" x14ac:dyDescent="0.2">
      <c r="A8" s="47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8"/>
    </row>
    <row r="9" spans="1:18" x14ac:dyDescent="0.2">
      <c r="A9" s="9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1"/>
    </row>
    <row r="10" spans="1:18" x14ac:dyDescent="0.2">
      <c r="A10" s="12" t="s">
        <v>137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4"/>
    </row>
    <row r="11" spans="1:18" x14ac:dyDescent="0.2">
      <c r="A11" s="51" t="s">
        <v>275</v>
      </c>
      <c r="B11" s="51" t="s">
        <v>276</v>
      </c>
      <c r="C11" s="51" t="s">
        <v>277</v>
      </c>
      <c r="D11" s="51" t="s">
        <v>278</v>
      </c>
      <c r="E11" s="62" t="s">
        <v>17</v>
      </c>
      <c r="F11" s="63">
        <f>gemuurtarief3</f>
        <v>0</v>
      </c>
      <c r="G11" s="52">
        <f>SUMPRODUCT(taakfreqtabel3,uurfactortabel3,kengetaltabel3,object1_opptabel3)*(1/VLOOKUP(E11,dagsoorttabel1,2,FALSE))</f>
        <v>0</v>
      </c>
      <c r="H11" s="52">
        <f>SUMPRODUCT(dagwerktabel3,taakfreqtabel3,uurfactortabel3,kengetaltabel3,object1_opptabel3)*(1/VLOOKUP(E11,dagsoorttabel1,2,FALSE))</f>
        <v>0</v>
      </c>
      <c r="I11" s="64"/>
      <c r="J11" s="52">
        <f>H11+I11</f>
        <v>0</v>
      </c>
      <c r="K11" s="52">
        <f>G11+I11</f>
        <v>0</v>
      </c>
      <c r="L11" s="56">
        <f>SUMPRODUCT(taakfreqtabel3,kengetaltabel3,tarieftabel3,object1_opptabel3)*(1/VLOOKUP(E11,dagsoorttabel1,2,FALSE))</f>
        <v>0</v>
      </c>
      <c r="M11" s="56">
        <f>F11*I11</f>
        <v>0</v>
      </c>
      <c r="N11" s="56">
        <f>SUM(L11:M11)</f>
        <v>0</v>
      </c>
      <c r="O11" s="52">
        <f>J11*dagenperjaar1*VLOOKUP(E11,dagsoorttabel1,2,FALSE)</f>
        <v>0</v>
      </c>
      <c r="P11" s="52">
        <f>K11*dagenperjaar1*VLOOKUP(E11,dagsoorttabel1,2,FALSE)</f>
        <v>0</v>
      </c>
      <c r="Q11" s="56">
        <f>N11*dagenperjaar1*VLOOKUP(E11,dagsoorttabel1,2,FALSE)</f>
        <v>0</v>
      </c>
      <c r="R11" s="56">
        <f>Q11/12</f>
        <v>0</v>
      </c>
    </row>
    <row r="12" spans="1:18" x14ac:dyDescent="0.2">
      <c r="A12" s="42" t="s">
        <v>240</v>
      </c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4">
        <f>SUM(O11:O11)</f>
        <v>0</v>
      </c>
      <c r="P12" s="44">
        <f>SUM(P11:P11)</f>
        <v>0</v>
      </c>
      <c r="Q12" s="45">
        <f>SUM(Q11:Q11)</f>
        <v>0</v>
      </c>
      <c r="R12" s="46">
        <f>SUM(R11:R11)</f>
        <v>0</v>
      </c>
    </row>
    <row r="13" spans="1:18" x14ac:dyDescent="0.2">
      <c r="A13" s="47"/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8"/>
    </row>
    <row r="14" spans="1:18" x14ac:dyDescent="0.2">
      <c r="A14" s="9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1"/>
    </row>
    <row r="15" spans="1:18" x14ac:dyDescent="0.2">
      <c r="A15" s="12" t="s">
        <v>242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4"/>
    </row>
    <row r="16" spans="1:18" x14ac:dyDescent="0.2">
      <c r="A16" s="51" t="s">
        <v>275</v>
      </c>
      <c r="B16" s="51" t="s">
        <v>276</v>
      </c>
      <c r="C16" s="51" t="s">
        <v>277</v>
      </c>
      <c r="D16" s="51" t="s">
        <v>278</v>
      </c>
      <c r="E16" s="62" t="s">
        <v>19</v>
      </c>
      <c r="F16" s="63">
        <f>gemuurtarief4</f>
        <v>0</v>
      </c>
      <c r="G16" s="52">
        <f>SUMPRODUCT(taakfreqtabel4,uurfactortabel4,kengetaltabel4,object1_opptabel4)*(1/VLOOKUP(E16,dagsoorttabel1,2,FALSE))</f>
        <v>4</v>
      </c>
      <c r="H16" s="52">
        <f>SUMPRODUCT(dagwerktabel4,taakfreqtabel4,uurfactortabel4,kengetaltabel4,object1_opptabel4)*(1/VLOOKUP(E16,dagsoorttabel1,2,FALSE))</f>
        <v>0</v>
      </c>
      <c r="I16" s="64"/>
      <c r="J16" s="52">
        <f>H16+I16</f>
        <v>0</v>
      </c>
      <c r="K16" s="52">
        <f>G16+I16</f>
        <v>4</v>
      </c>
      <c r="L16" s="56">
        <f>SUMPRODUCT(taakfreqtabel4,kengetaltabel4,tarieftabel4,object1_opptabel4)*(1/VLOOKUP(E16,dagsoorttabel1,2,FALSE))</f>
        <v>0</v>
      </c>
      <c r="M16" s="56">
        <f>F16*I16</f>
        <v>0</v>
      </c>
      <c r="N16" s="56">
        <f>SUM(L16:M16)</f>
        <v>0</v>
      </c>
      <c r="O16" s="52">
        <f>J16*dagenperjaar1*VLOOKUP(E16,dagsoorttabel1,2,FALSE)</f>
        <v>0</v>
      </c>
      <c r="P16" s="52">
        <f>K16*dagenperjaar1*VLOOKUP(E16,dagsoorttabel1,2,FALSE)</f>
        <v>160</v>
      </c>
      <c r="Q16" s="56">
        <f>N16*dagenperjaar1*VLOOKUP(E16,dagsoorttabel1,2,FALSE)</f>
        <v>0</v>
      </c>
      <c r="R16" s="56">
        <f>Q16/12</f>
        <v>0</v>
      </c>
    </row>
    <row r="17" spans="1:18" x14ac:dyDescent="0.2">
      <c r="A17" s="42" t="s">
        <v>245</v>
      </c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4">
        <f>SUM(O16:O16)</f>
        <v>0</v>
      </c>
      <c r="P17" s="44">
        <f>SUM(P16:P16)</f>
        <v>160</v>
      </c>
      <c r="Q17" s="45">
        <f>SUM(Q16:Q16)</f>
        <v>0</v>
      </c>
      <c r="R17" s="46">
        <f>SUM(R16:R16)</f>
        <v>0</v>
      </c>
    </row>
    <row r="18" spans="1:18" x14ac:dyDescent="0.2">
      <c r="A18" s="47"/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8"/>
    </row>
    <row r="20" spans="1:18" x14ac:dyDescent="0.2">
      <c r="A20" s="42" t="s">
        <v>279</v>
      </c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4">
        <f>urenjaartotaalhf1+urenjaartotaalhf3+urenjaartotaalhf4</f>
        <v>0</v>
      </c>
      <c r="P20" s="44">
        <f>urenjaartotaal1+urenjaartotaal3+urenjaartotaal4</f>
        <v>220</v>
      </c>
      <c r="Q20" s="45">
        <f>prijsjaartotaal1+prijsjaartotaal3+prijsjaartotaal4</f>
        <v>0</v>
      </c>
      <c r="R20" s="45">
        <f>prijsmaandtotaal1+prijsmaandtotaal3+prijsmaandtotaal4</f>
        <v>0</v>
      </c>
    </row>
    <row r="22" spans="1:18" x14ac:dyDescent="0.2">
      <c r="A22" s="42" t="s">
        <v>280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5">
        <f>Q20*1.21</f>
        <v>0</v>
      </c>
      <c r="R22" s="45">
        <f>R20*1.21</f>
        <v>0</v>
      </c>
    </row>
  </sheetData>
  <pageMargins left="0.7" right="0.7" top="0.75" bottom="0.75" header="0.3" footer="0.3"/>
  <pageSetup paperSize="9" scale="65" orientation="landscape" r:id="rId1"/>
  <headerFooter>
    <oddFooter>&amp;LHogeschool der Kunsten Den Haag EA 2023                     &amp;ROpmaakdatum: 13-03-2023
Intexso - De Start 5 - Leusden
+31 (33) 2778485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0037C-77D1-4FB9-BA32-5BDF8D9315FE}">
  <dimension ref="A1:K46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40.625" customWidth="1"/>
    <col min="5" max="5" width="11.625" customWidth="1"/>
    <col min="6" max="7" width="14.625" customWidth="1"/>
    <col min="8" max="8" width="12.625" customWidth="1"/>
    <col min="9" max="10" width="14.625" customWidth="1"/>
    <col min="11" max="11" width="13.625" customWidth="1"/>
  </cols>
  <sheetData>
    <row r="1" spans="1:11" x14ac:dyDescent="0.2">
      <c r="A1" s="1" t="str">
        <f>CONCATENATE("Bijlage I.4: ",tabeltype," niet-meewerkende objectleiding")</f>
        <v>Bijlage I.4: Invultabel niet-meewerkende objectleiding</v>
      </c>
    </row>
    <row r="3" spans="1:11" ht="38.25" x14ac:dyDescent="0.2">
      <c r="A3" s="8" t="s">
        <v>281</v>
      </c>
      <c r="B3" s="8" t="s">
        <v>7</v>
      </c>
      <c r="C3" s="8" t="s">
        <v>282</v>
      </c>
      <c r="D3" s="8" t="s">
        <v>283</v>
      </c>
      <c r="E3" s="8" t="s">
        <v>284</v>
      </c>
      <c r="F3" s="8" t="s">
        <v>285</v>
      </c>
      <c r="G3" s="8" t="s">
        <v>286</v>
      </c>
      <c r="H3" s="8" t="s">
        <v>155</v>
      </c>
      <c r="I3" s="8" t="s">
        <v>287</v>
      </c>
      <c r="J3" s="8" t="s">
        <v>288</v>
      </c>
      <c r="K3" s="8" t="s">
        <v>289</v>
      </c>
    </row>
    <row r="4" spans="1:11" x14ac:dyDescent="0.2">
      <c r="A4" s="65"/>
      <c r="B4" s="66"/>
      <c r="C4" s="66"/>
      <c r="D4" s="66"/>
      <c r="E4" s="66"/>
      <c r="F4" s="66"/>
      <c r="G4" s="66"/>
      <c r="H4" s="66"/>
      <c r="I4" s="66"/>
      <c r="J4" s="66"/>
      <c r="K4" s="67"/>
    </row>
    <row r="5" spans="1:11" x14ac:dyDescent="0.2">
      <c r="A5" s="12" t="s">
        <v>38</v>
      </c>
      <c r="B5" s="13"/>
      <c r="C5" s="13"/>
      <c r="D5" s="13"/>
      <c r="E5" s="13"/>
      <c r="F5" s="13"/>
      <c r="G5" s="13"/>
      <c r="H5" s="13"/>
      <c r="I5" s="13"/>
      <c r="J5" s="13"/>
      <c r="K5" s="14"/>
    </row>
    <row r="6" spans="1:11" x14ac:dyDescent="0.2">
      <c r="A6" s="9"/>
      <c r="B6" s="10"/>
      <c r="C6" s="10"/>
      <c r="D6" s="10"/>
      <c r="E6" s="10"/>
      <c r="F6" s="10"/>
      <c r="G6" s="10"/>
      <c r="H6" s="10"/>
      <c r="I6" s="10"/>
      <c r="J6" s="10"/>
      <c r="K6" s="11"/>
    </row>
    <row r="7" spans="1:11" x14ac:dyDescent="0.2">
      <c r="A7" s="68" t="s">
        <v>290</v>
      </c>
      <c r="B7" s="13"/>
      <c r="C7" s="13"/>
      <c r="D7" s="13"/>
      <c r="E7" s="13"/>
      <c r="F7" s="13"/>
      <c r="G7" s="13"/>
      <c r="H7" s="13"/>
      <c r="I7" s="13"/>
      <c r="J7" s="13"/>
      <c r="K7" s="14"/>
    </row>
    <row r="8" spans="1:11" x14ac:dyDescent="0.2">
      <c r="A8" s="15" t="s">
        <v>291</v>
      </c>
      <c r="B8" s="15" t="s">
        <v>12</v>
      </c>
      <c r="C8" s="16">
        <f>IF(ISBLANK(B8),0,IF(ISERROR(VALUE(B8)),VLOOKUP(B8,dagsoorttabel1,2,FALSE)*dagenperjaar1,VALUE(B8)))</f>
        <v>195</v>
      </c>
      <c r="D8" s="15" t="s">
        <v>292</v>
      </c>
      <c r="E8" s="19"/>
      <c r="F8" s="18"/>
      <c r="G8" s="69"/>
      <c r="H8" s="30">
        <f>IF(ISBLANK(G8),0,G8*C8)+IF(ISBLANK(F8),0,F8*objecturen1_1)</f>
        <v>0</v>
      </c>
      <c r="I8" s="30">
        <f>IF(C8=0,0,H8/C8)</f>
        <v>0</v>
      </c>
      <c r="J8" s="33">
        <f>IF(ISBLANK(E8),0,ROUND(E8,2)*H8)</f>
        <v>0</v>
      </c>
      <c r="K8" s="33">
        <f>J8/12</f>
        <v>0</v>
      </c>
    </row>
    <row r="9" spans="1:11" x14ac:dyDescent="0.2">
      <c r="A9" s="20"/>
      <c r="B9" s="20"/>
      <c r="C9" s="70">
        <f>dagenperjaar1</f>
        <v>245</v>
      </c>
      <c r="D9" s="71" t="s">
        <v>293</v>
      </c>
      <c r="E9" s="24"/>
      <c r="F9" s="23"/>
      <c r="G9" s="72"/>
      <c r="H9" s="34">
        <f>IF(ISBLANK(G9),0,G9*C9)+IF(ISBLANK(F9),0,F9*objecturen1_1)</f>
        <v>0</v>
      </c>
      <c r="I9" s="34">
        <f>IF(C9=0,0,H9/C9)</f>
        <v>0</v>
      </c>
      <c r="J9" s="37">
        <f>IF(ISBLANK(E9),0,ROUND(E9,2)*H9)</f>
        <v>0</v>
      </c>
      <c r="K9" s="37">
        <f>J9/12</f>
        <v>0</v>
      </c>
    </row>
    <row r="10" spans="1:11" x14ac:dyDescent="0.2">
      <c r="A10" s="20"/>
      <c r="B10" s="20"/>
      <c r="C10" s="70">
        <f>dagenperjaar1</f>
        <v>245</v>
      </c>
      <c r="D10" s="71" t="s">
        <v>293</v>
      </c>
      <c r="E10" s="24"/>
      <c r="F10" s="23"/>
      <c r="G10" s="72"/>
      <c r="H10" s="34">
        <f>IF(ISBLANK(G10),0,G10*C10)+IF(ISBLANK(F10),0,F10*objecturen1_1)</f>
        <v>0</v>
      </c>
      <c r="I10" s="34">
        <f>IF(C10=0,0,H10/C10)</f>
        <v>0</v>
      </c>
      <c r="J10" s="37">
        <f>IF(ISBLANK(E10),0,ROUND(E10,2)*H10)</f>
        <v>0</v>
      </c>
      <c r="K10" s="37">
        <f>J10/12</f>
        <v>0</v>
      </c>
    </row>
    <row r="11" spans="1:11" x14ac:dyDescent="0.2">
      <c r="A11" s="20"/>
      <c r="B11" s="20"/>
      <c r="C11" s="70">
        <f>dagenperjaar1</f>
        <v>245</v>
      </c>
      <c r="D11" s="71" t="s">
        <v>294</v>
      </c>
      <c r="E11" s="24"/>
      <c r="F11" s="73"/>
      <c r="G11" s="22"/>
      <c r="H11" s="34">
        <f>IF(ISBLANK(G11),0,G11*C11)+IF(ISBLANK(F11),0,F11*objecturen1_1)</f>
        <v>0</v>
      </c>
      <c r="I11" s="34">
        <f>IF(C11=0,0,H11/C11)</f>
        <v>0</v>
      </c>
      <c r="J11" s="37">
        <f>IF(ISBLANK(E11),0,ROUND(E11,2)*H11)</f>
        <v>0</v>
      </c>
      <c r="K11" s="37">
        <f>J11/12</f>
        <v>0</v>
      </c>
    </row>
    <row r="12" spans="1:11" x14ac:dyDescent="0.2">
      <c r="A12" s="25"/>
      <c r="B12" s="25"/>
      <c r="C12" s="74">
        <f>dagenperjaar1</f>
        <v>245</v>
      </c>
      <c r="D12" s="75" t="s">
        <v>294</v>
      </c>
      <c r="E12" s="29"/>
      <c r="F12" s="76"/>
      <c r="G12" s="27"/>
      <c r="H12" s="39">
        <f>IF(ISBLANK(G12),0,G12*C12)+IF(ISBLANK(F12),0,F12*objecturen1_1)</f>
        <v>0</v>
      </c>
      <c r="I12" s="39">
        <f>IF(C12=0,0,H12/C12)</f>
        <v>0</v>
      </c>
      <c r="J12" s="41">
        <f>IF(ISBLANK(E12),0,ROUND(E12,2)*H12)</f>
        <v>0</v>
      </c>
      <c r="K12" s="41">
        <f>J12/12</f>
        <v>0</v>
      </c>
    </row>
    <row r="13" spans="1:11" x14ac:dyDescent="0.2">
      <c r="A13" s="77" t="s">
        <v>295</v>
      </c>
      <c r="B13" s="43"/>
      <c r="C13" s="43"/>
      <c r="D13" s="43"/>
      <c r="E13" s="43"/>
      <c r="F13" s="43"/>
      <c r="G13" s="43"/>
      <c r="H13" s="44">
        <f>SUM(H8:H12)</f>
        <v>0</v>
      </c>
      <c r="I13" s="43"/>
      <c r="J13" s="45">
        <f>SUM(J8:J12)</f>
        <v>0</v>
      </c>
      <c r="K13" s="46">
        <f>SUM(K8:K12)</f>
        <v>0</v>
      </c>
    </row>
    <row r="14" spans="1:11" x14ac:dyDescent="0.2">
      <c r="A14" s="47"/>
      <c r="B14" s="43"/>
      <c r="C14" s="43"/>
      <c r="D14" s="43"/>
      <c r="E14" s="43"/>
      <c r="F14" s="43"/>
      <c r="G14" s="43"/>
      <c r="H14" s="43"/>
      <c r="I14" s="43"/>
      <c r="J14" s="43"/>
      <c r="K14" s="48"/>
    </row>
    <row r="15" spans="1:11" x14ac:dyDescent="0.2">
      <c r="A15" s="42" t="s">
        <v>231</v>
      </c>
      <c r="B15" s="43"/>
      <c r="C15" s="43"/>
      <c r="D15" s="43"/>
      <c r="E15" s="43"/>
      <c r="F15" s="43"/>
      <c r="G15" s="43"/>
      <c r="H15" s="44">
        <f>tzujt1_1</f>
        <v>0</v>
      </c>
      <c r="I15" s="43"/>
      <c r="J15" s="45">
        <f>tzpjt1_1</f>
        <v>0</v>
      </c>
      <c r="K15" s="46">
        <f>tzpmt1_1</f>
        <v>0</v>
      </c>
    </row>
    <row r="16" spans="1:11" x14ac:dyDescent="0.2">
      <c r="A16" s="47"/>
      <c r="B16" s="43"/>
      <c r="C16" s="43"/>
      <c r="D16" s="43"/>
      <c r="E16" s="43"/>
      <c r="F16" s="43"/>
      <c r="G16" s="43"/>
      <c r="H16" s="43"/>
      <c r="I16" s="43"/>
      <c r="J16" s="43"/>
      <c r="K16" s="48"/>
    </row>
    <row r="17" spans="1:11" x14ac:dyDescent="0.2">
      <c r="A17" s="65"/>
      <c r="B17" s="66"/>
      <c r="C17" s="66"/>
      <c r="D17" s="66"/>
      <c r="E17" s="66"/>
      <c r="F17" s="66"/>
      <c r="G17" s="66"/>
      <c r="H17" s="66"/>
      <c r="I17" s="66"/>
      <c r="J17" s="66"/>
      <c r="K17" s="67"/>
    </row>
    <row r="18" spans="1:11" x14ac:dyDescent="0.2">
      <c r="A18" s="12" t="s">
        <v>137</v>
      </c>
      <c r="B18" s="13"/>
      <c r="C18" s="13"/>
      <c r="D18" s="13"/>
      <c r="E18" s="13"/>
      <c r="F18" s="13"/>
      <c r="G18" s="13"/>
      <c r="H18" s="13"/>
      <c r="I18" s="13"/>
      <c r="J18" s="13"/>
      <c r="K18" s="14"/>
    </row>
    <row r="19" spans="1:11" x14ac:dyDescent="0.2">
      <c r="A19" s="9"/>
      <c r="B19" s="10"/>
      <c r="C19" s="10"/>
      <c r="D19" s="10"/>
      <c r="E19" s="10"/>
      <c r="F19" s="10"/>
      <c r="G19" s="10"/>
      <c r="H19" s="10"/>
      <c r="I19" s="10"/>
      <c r="J19" s="10"/>
      <c r="K19" s="11"/>
    </row>
    <row r="20" spans="1:11" x14ac:dyDescent="0.2">
      <c r="A20" s="68" t="s">
        <v>290</v>
      </c>
      <c r="B20" s="13"/>
      <c r="C20" s="13"/>
      <c r="D20" s="13"/>
      <c r="E20" s="13"/>
      <c r="F20" s="13"/>
      <c r="G20" s="13"/>
      <c r="H20" s="13"/>
      <c r="I20" s="13"/>
      <c r="J20" s="13"/>
      <c r="K20" s="14"/>
    </row>
    <row r="21" spans="1:11" x14ac:dyDescent="0.2">
      <c r="A21" s="15" t="s">
        <v>296</v>
      </c>
      <c r="B21" s="15" t="s">
        <v>17</v>
      </c>
      <c r="C21" s="16">
        <f>IF(ISBLANK(B21),0,IF(ISERROR(VALUE(B21)),VLOOKUP(B21,dagsoorttabel1,2,FALSE)*dagenperjaar1,VALUE(B21)))</f>
        <v>50</v>
      </c>
      <c r="D21" s="15" t="s">
        <v>292</v>
      </c>
      <c r="E21" s="19"/>
      <c r="F21" s="18"/>
      <c r="G21" s="69"/>
      <c r="H21" s="30">
        <f>IF(ISBLANK(G21),0,G21*C21)+IF(ISBLANK(F21),0,F21*objecturen1_3)</f>
        <v>0</v>
      </c>
      <c r="I21" s="30">
        <f>IF(C21=0,0,H21/C21)</f>
        <v>0</v>
      </c>
      <c r="J21" s="33">
        <f>IF(ISBLANK(E21),0,ROUND(E21,2)*H21)</f>
        <v>0</v>
      </c>
      <c r="K21" s="33">
        <f>J21/12</f>
        <v>0</v>
      </c>
    </row>
    <row r="22" spans="1:11" x14ac:dyDescent="0.2">
      <c r="A22" s="20"/>
      <c r="B22" s="20"/>
      <c r="C22" s="70">
        <f>dagenperjaar1</f>
        <v>245</v>
      </c>
      <c r="D22" s="71" t="s">
        <v>293</v>
      </c>
      <c r="E22" s="24"/>
      <c r="F22" s="23"/>
      <c r="G22" s="72"/>
      <c r="H22" s="34">
        <f>IF(ISBLANK(G22),0,G22*C22)+IF(ISBLANK(F22),0,F22*objecturen1_3)</f>
        <v>0</v>
      </c>
      <c r="I22" s="34">
        <f>IF(C22=0,0,H22/C22)</f>
        <v>0</v>
      </c>
      <c r="J22" s="37">
        <f>IF(ISBLANK(E22),0,ROUND(E22,2)*H22)</f>
        <v>0</v>
      </c>
      <c r="K22" s="37">
        <f>J22/12</f>
        <v>0</v>
      </c>
    </row>
    <row r="23" spans="1:11" x14ac:dyDescent="0.2">
      <c r="A23" s="20"/>
      <c r="B23" s="20"/>
      <c r="C23" s="70">
        <f>dagenperjaar1</f>
        <v>245</v>
      </c>
      <c r="D23" s="71" t="s">
        <v>293</v>
      </c>
      <c r="E23" s="24"/>
      <c r="F23" s="23"/>
      <c r="G23" s="72"/>
      <c r="H23" s="34">
        <f>IF(ISBLANK(G23),0,G23*C23)+IF(ISBLANK(F23),0,F23*objecturen1_3)</f>
        <v>0</v>
      </c>
      <c r="I23" s="34">
        <f>IF(C23=0,0,H23/C23)</f>
        <v>0</v>
      </c>
      <c r="J23" s="37">
        <f>IF(ISBLANK(E23),0,ROUND(E23,2)*H23)</f>
        <v>0</v>
      </c>
      <c r="K23" s="37">
        <f>J23/12</f>
        <v>0</v>
      </c>
    </row>
    <row r="24" spans="1:11" x14ac:dyDescent="0.2">
      <c r="A24" s="20"/>
      <c r="B24" s="20"/>
      <c r="C24" s="70">
        <f>dagenperjaar1</f>
        <v>245</v>
      </c>
      <c r="D24" s="71" t="s">
        <v>294</v>
      </c>
      <c r="E24" s="24"/>
      <c r="F24" s="73"/>
      <c r="G24" s="22"/>
      <c r="H24" s="34">
        <f>IF(ISBLANK(G24),0,G24*C24)+IF(ISBLANK(F24),0,F24*objecturen1_3)</f>
        <v>0</v>
      </c>
      <c r="I24" s="34">
        <f>IF(C24=0,0,H24/C24)</f>
        <v>0</v>
      </c>
      <c r="J24" s="37">
        <f>IF(ISBLANK(E24),0,ROUND(E24,2)*H24)</f>
        <v>0</v>
      </c>
      <c r="K24" s="37">
        <f>J24/12</f>
        <v>0</v>
      </c>
    </row>
    <row r="25" spans="1:11" x14ac:dyDescent="0.2">
      <c r="A25" s="25"/>
      <c r="B25" s="25"/>
      <c r="C25" s="74">
        <f>dagenperjaar1</f>
        <v>245</v>
      </c>
      <c r="D25" s="75" t="s">
        <v>294</v>
      </c>
      <c r="E25" s="29"/>
      <c r="F25" s="76"/>
      <c r="G25" s="27"/>
      <c r="H25" s="39">
        <f>IF(ISBLANK(G25),0,G25*C25)+IF(ISBLANK(F25),0,F25*objecturen1_3)</f>
        <v>0</v>
      </c>
      <c r="I25" s="39">
        <f>IF(C25=0,0,H25/C25)</f>
        <v>0</v>
      </c>
      <c r="J25" s="41">
        <f>IF(ISBLANK(E25),0,ROUND(E25,2)*H25)</f>
        <v>0</v>
      </c>
      <c r="K25" s="41">
        <f>J25/12</f>
        <v>0</v>
      </c>
    </row>
    <row r="26" spans="1:11" x14ac:dyDescent="0.2">
      <c r="A26" s="77" t="s">
        <v>295</v>
      </c>
      <c r="B26" s="43"/>
      <c r="C26" s="43"/>
      <c r="D26" s="43"/>
      <c r="E26" s="43"/>
      <c r="F26" s="43"/>
      <c r="G26" s="43"/>
      <c r="H26" s="44">
        <f>SUM(H21:H25)</f>
        <v>0</v>
      </c>
      <c r="I26" s="43"/>
      <c r="J26" s="45">
        <f>SUM(J21:J25)</f>
        <v>0</v>
      </c>
      <c r="K26" s="46">
        <f>SUM(K21:K25)</f>
        <v>0</v>
      </c>
    </row>
    <row r="27" spans="1:11" x14ac:dyDescent="0.2">
      <c r="A27" s="47"/>
      <c r="B27" s="43"/>
      <c r="C27" s="43"/>
      <c r="D27" s="43"/>
      <c r="E27" s="43"/>
      <c r="F27" s="43"/>
      <c r="G27" s="43"/>
      <c r="H27" s="43"/>
      <c r="I27" s="43"/>
      <c r="J27" s="43"/>
      <c r="K27" s="48"/>
    </row>
    <row r="28" spans="1:11" x14ac:dyDescent="0.2">
      <c r="A28" s="42" t="s">
        <v>240</v>
      </c>
      <c r="B28" s="43"/>
      <c r="C28" s="43"/>
      <c r="D28" s="43"/>
      <c r="E28" s="43"/>
      <c r="F28" s="43"/>
      <c r="G28" s="43"/>
      <c r="H28" s="44">
        <f>tzujt1_3</f>
        <v>0</v>
      </c>
      <c r="I28" s="43"/>
      <c r="J28" s="45">
        <f>tzpjt1_3</f>
        <v>0</v>
      </c>
      <c r="K28" s="46">
        <f>tzpmt1_3</f>
        <v>0</v>
      </c>
    </row>
    <row r="29" spans="1:11" x14ac:dyDescent="0.2">
      <c r="A29" s="47"/>
      <c r="B29" s="43"/>
      <c r="C29" s="43"/>
      <c r="D29" s="43"/>
      <c r="E29" s="43"/>
      <c r="F29" s="43"/>
      <c r="G29" s="43"/>
      <c r="H29" s="43"/>
      <c r="I29" s="43"/>
      <c r="J29" s="43"/>
      <c r="K29" s="48"/>
    </row>
    <row r="30" spans="1:11" x14ac:dyDescent="0.2">
      <c r="A30" s="65"/>
      <c r="B30" s="66"/>
      <c r="C30" s="66"/>
      <c r="D30" s="66"/>
      <c r="E30" s="66"/>
      <c r="F30" s="66"/>
      <c r="G30" s="66"/>
      <c r="H30" s="66"/>
      <c r="I30" s="66"/>
      <c r="J30" s="66"/>
      <c r="K30" s="67"/>
    </row>
    <row r="31" spans="1:11" x14ac:dyDescent="0.2">
      <c r="A31" s="12" t="s">
        <v>242</v>
      </c>
      <c r="B31" s="13"/>
      <c r="C31" s="13"/>
      <c r="D31" s="13"/>
      <c r="E31" s="13"/>
      <c r="F31" s="13"/>
      <c r="G31" s="13"/>
      <c r="H31" s="13"/>
      <c r="I31" s="13"/>
      <c r="J31" s="13"/>
      <c r="K31" s="14"/>
    </row>
    <row r="32" spans="1:11" x14ac:dyDescent="0.2">
      <c r="A32" s="9"/>
      <c r="B32" s="10"/>
      <c r="C32" s="10"/>
      <c r="D32" s="10"/>
      <c r="E32" s="10"/>
      <c r="F32" s="10"/>
      <c r="G32" s="10"/>
      <c r="H32" s="10"/>
      <c r="I32" s="10"/>
      <c r="J32" s="10"/>
      <c r="K32" s="11"/>
    </row>
    <row r="33" spans="1:11" x14ac:dyDescent="0.2">
      <c r="A33" s="68" t="s">
        <v>290</v>
      </c>
      <c r="B33" s="13"/>
      <c r="C33" s="13"/>
      <c r="D33" s="13"/>
      <c r="E33" s="13"/>
      <c r="F33" s="13"/>
      <c r="G33" s="13"/>
      <c r="H33" s="13"/>
      <c r="I33" s="13"/>
      <c r="J33" s="13"/>
      <c r="K33" s="14"/>
    </row>
    <row r="34" spans="1:11" x14ac:dyDescent="0.2">
      <c r="A34" s="15" t="s">
        <v>297</v>
      </c>
      <c r="B34" s="15" t="s">
        <v>19</v>
      </c>
      <c r="C34" s="16">
        <f>IF(ISBLANK(B34),0,IF(ISERROR(VALUE(B34)),VLOOKUP(B34,dagsoorttabel1,2,FALSE)*dagenperjaar1,VALUE(B34)))</f>
        <v>40</v>
      </c>
      <c r="D34" s="15" t="s">
        <v>292</v>
      </c>
      <c r="E34" s="19"/>
      <c r="F34" s="18"/>
      <c r="G34" s="69"/>
      <c r="H34" s="30">
        <f>IF(ISBLANK(G34),0,G34*C34)+IF(ISBLANK(F34),0,F34*objecturen1_4)</f>
        <v>0</v>
      </c>
      <c r="I34" s="30">
        <f>IF(C34=0,0,H34/C34)</f>
        <v>0</v>
      </c>
      <c r="J34" s="33">
        <f>IF(ISBLANK(E34),0,ROUND(E34,2)*H34)</f>
        <v>0</v>
      </c>
      <c r="K34" s="33">
        <f>J34/12</f>
        <v>0</v>
      </c>
    </row>
    <row r="35" spans="1:11" x14ac:dyDescent="0.2">
      <c r="A35" s="20"/>
      <c r="B35" s="20"/>
      <c r="C35" s="70">
        <f>dagenperjaar1</f>
        <v>245</v>
      </c>
      <c r="D35" s="71" t="s">
        <v>293</v>
      </c>
      <c r="E35" s="24"/>
      <c r="F35" s="23"/>
      <c r="G35" s="72"/>
      <c r="H35" s="34">
        <f>IF(ISBLANK(G35),0,G35*C35)+IF(ISBLANK(F35),0,F35*objecturen1_4)</f>
        <v>0</v>
      </c>
      <c r="I35" s="34">
        <f>IF(C35=0,0,H35/C35)</f>
        <v>0</v>
      </c>
      <c r="J35" s="37">
        <f>IF(ISBLANK(E35),0,ROUND(E35,2)*H35)</f>
        <v>0</v>
      </c>
      <c r="K35" s="37">
        <f>J35/12</f>
        <v>0</v>
      </c>
    </row>
    <row r="36" spans="1:11" x14ac:dyDescent="0.2">
      <c r="A36" s="20"/>
      <c r="B36" s="20"/>
      <c r="C36" s="70">
        <f>dagenperjaar1</f>
        <v>245</v>
      </c>
      <c r="D36" s="71" t="s">
        <v>293</v>
      </c>
      <c r="E36" s="24"/>
      <c r="F36" s="23"/>
      <c r="G36" s="72"/>
      <c r="H36" s="34">
        <f>IF(ISBLANK(G36),0,G36*C36)+IF(ISBLANK(F36),0,F36*objecturen1_4)</f>
        <v>0</v>
      </c>
      <c r="I36" s="34">
        <f>IF(C36=0,0,H36/C36)</f>
        <v>0</v>
      </c>
      <c r="J36" s="37">
        <f>IF(ISBLANK(E36),0,ROUND(E36,2)*H36)</f>
        <v>0</v>
      </c>
      <c r="K36" s="37">
        <f>J36/12</f>
        <v>0</v>
      </c>
    </row>
    <row r="37" spans="1:11" x14ac:dyDescent="0.2">
      <c r="A37" s="20"/>
      <c r="B37" s="20"/>
      <c r="C37" s="70">
        <f>dagenperjaar1</f>
        <v>245</v>
      </c>
      <c r="D37" s="71" t="s">
        <v>294</v>
      </c>
      <c r="E37" s="24"/>
      <c r="F37" s="73"/>
      <c r="G37" s="22"/>
      <c r="H37" s="34">
        <f>IF(ISBLANK(G37),0,G37*C37)+IF(ISBLANK(F37),0,F37*objecturen1_4)</f>
        <v>0</v>
      </c>
      <c r="I37" s="34">
        <f>IF(C37=0,0,H37/C37)</f>
        <v>0</v>
      </c>
      <c r="J37" s="37">
        <f>IF(ISBLANK(E37),0,ROUND(E37,2)*H37)</f>
        <v>0</v>
      </c>
      <c r="K37" s="37">
        <f>J37/12</f>
        <v>0</v>
      </c>
    </row>
    <row r="38" spans="1:11" x14ac:dyDescent="0.2">
      <c r="A38" s="25"/>
      <c r="B38" s="25"/>
      <c r="C38" s="74">
        <f>dagenperjaar1</f>
        <v>245</v>
      </c>
      <c r="D38" s="75" t="s">
        <v>294</v>
      </c>
      <c r="E38" s="29"/>
      <c r="F38" s="76"/>
      <c r="G38" s="27"/>
      <c r="H38" s="39">
        <f>IF(ISBLANK(G38),0,G38*C38)+IF(ISBLANK(F38),0,F38*objecturen1_4)</f>
        <v>0</v>
      </c>
      <c r="I38" s="39">
        <f>IF(C38=0,0,H38/C38)</f>
        <v>0</v>
      </c>
      <c r="J38" s="41">
        <f>IF(ISBLANK(E38),0,ROUND(E38,2)*H38)</f>
        <v>0</v>
      </c>
      <c r="K38" s="41">
        <f>J38/12</f>
        <v>0</v>
      </c>
    </row>
    <row r="39" spans="1:11" x14ac:dyDescent="0.2">
      <c r="A39" s="77" t="s">
        <v>295</v>
      </c>
      <c r="B39" s="43"/>
      <c r="C39" s="43"/>
      <c r="D39" s="43"/>
      <c r="E39" s="43"/>
      <c r="F39" s="43"/>
      <c r="G39" s="43"/>
      <c r="H39" s="44">
        <f>SUM(H34:H38)</f>
        <v>0</v>
      </c>
      <c r="I39" s="43"/>
      <c r="J39" s="45">
        <f>SUM(J34:J38)</f>
        <v>0</v>
      </c>
      <c r="K39" s="46">
        <f>SUM(K34:K38)</f>
        <v>0</v>
      </c>
    </row>
    <row r="40" spans="1:11" x14ac:dyDescent="0.2">
      <c r="A40" s="47"/>
      <c r="B40" s="43"/>
      <c r="C40" s="43"/>
      <c r="D40" s="43"/>
      <c r="E40" s="43"/>
      <c r="F40" s="43"/>
      <c r="G40" s="43"/>
      <c r="H40" s="43"/>
      <c r="I40" s="43"/>
      <c r="J40" s="43"/>
      <c r="K40" s="48"/>
    </row>
    <row r="41" spans="1:11" x14ac:dyDescent="0.2">
      <c r="A41" s="42" t="s">
        <v>245</v>
      </c>
      <c r="B41" s="43"/>
      <c r="C41" s="43"/>
      <c r="D41" s="43"/>
      <c r="E41" s="43"/>
      <c r="F41" s="43"/>
      <c r="G41" s="43"/>
      <c r="H41" s="44">
        <f>tzujt1_4</f>
        <v>0</v>
      </c>
      <c r="I41" s="43"/>
      <c r="J41" s="45">
        <f>tzpjt1_4</f>
        <v>0</v>
      </c>
      <c r="K41" s="46">
        <f>tzpmt1_4</f>
        <v>0</v>
      </c>
    </row>
    <row r="42" spans="1:11" x14ac:dyDescent="0.2">
      <c r="A42" s="47"/>
      <c r="B42" s="43"/>
      <c r="C42" s="43"/>
      <c r="D42" s="43"/>
      <c r="E42" s="43"/>
      <c r="F42" s="43"/>
      <c r="G42" s="43"/>
      <c r="H42" s="43"/>
      <c r="I42" s="43"/>
      <c r="J42" s="43"/>
      <c r="K42" s="48"/>
    </row>
    <row r="44" spans="1:11" x14ac:dyDescent="0.2">
      <c r="A44" s="42" t="s">
        <v>298</v>
      </c>
      <c r="B44" s="43"/>
      <c r="C44" s="43"/>
      <c r="D44" s="43"/>
      <c r="E44" s="43"/>
      <c r="F44" s="43"/>
      <c r="G44" s="43"/>
      <c r="H44" s="44">
        <f>tzujt1+tzujt3+tzujt4</f>
        <v>0</v>
      </c>
      <c r="I44" s="43"/>
      <c r="J44" s="45">
        <f>tzpjt1+tzpjt3+tzpjt4</f>
        <v>0</v>
      </c>
      <c r="K44" s="45">
        <f>tzpmt1+tzpmt3+tzpmt4</f>
        <v>0</v>
      </c>
    </row>
    <row r="46" spans="1:11" x14ac:dyDescent="0.2">
      <c r="A46" s="42" t="s">
        <v>299</v>
      </c>
      <c r="B46" s="43"/>
      <c r="C46" s="43"/>
      <c r="D46" s="43"/>
      <c r="E46" s="43"/>
      <c r="F46" s="43"/>
      <c r="G46" s="43"/>
      <c r="H46" s="43"/>
      <c r="I46" s="43"/>
      <c r="J46" s="45">
        <f>J44*1.21</f>
        <v>0</v>
      </c>
      <c r="K46" s="45">
        <f>K44*1.21</f>
        <v>0</v>
      </c>
    </row>
  </sheetData>
  <pageMargins left="0.7" right="0.7" top="0.75" bottom="0.75" header="0.3" footer="0.3"/>
  <pageSetup paperSize="9" scale="65" orientation="landscape" r:id="rId1"/>
  <headerFooter>
    <oddFooter>&amp;LHogeschool der Kunsten Den Haag EA 2023                     &amp;ROpmaakdatum: 13-03-2023
Intexso - De Start 5 - Leusden
+31 (33) 2778485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CBB64-5E18-42F5-A5BA-776821358000}">
  <dimension ref="A1:L6"/>
  <sheetViews>
    <sheetView workbookViewId="0"/>
  </sheetViews>
  <sheetFormatPr defaultRowHeight="12.75" x14ac:dyDescent="0.2"/>
  <cols>
    <col min="1" max="1" width="8.625" customWidth="1"/>
    <col min="2" max="2" width="32.625" customWidth="1"/>
    <col min="3" max="3" width="20.625" customWidth="1"/>
    <col min="4" max="4" width="18.625" customWidth="1"/>
    <col min="5" max="6" width="12.625" customWidth="1"/>
    <col min="7" max="12" width="13.625" customWidth="1"/>
  </cols>
  <sheetData>
    <row r="1" spans="1:12" x14ac:dyDescent="0.2">
      <c r="A1" s="1" t="str">
        <f>CONCATENATE("Bijlage I.5: ",tabeltype," totaalblad objecten")</f>
        <v>Bijlage I.5: Invultabel totaalblad objecten</v>
      </c>
    </row>
    <row r="3" spans="1:12" ht="38.25" x14ac:dyDescent="0.2">
      <c r="A3" s="8" t="s">
        <v>259</v>
      </c>
      <c r="B3" s="8" t="s">
        <v>260</v>
      </c>
      <c r="C3" s="8" t="s">
        <v>261</v>
      </c>
      <c r="D3" s="8" t="s">
        <v>262</v>
      </c>
      <c r="E3" s="8" t="s">
        <v>272</v>
      </c>
      <c r="F3" s="8" t="s">
        <v>155</v>
      </c>
      <c r="G3" s="8" t="s">
        <v>300</v>
      </c>
      <c r="H3" s="8" t="s">
        <v>301</v>
      </c>
      <c r="I3" s="8" t="s">
        <v>302</v>
      </c>
      <c r="J3" s="8" t="s">
        <v>303</v>
      </c>
      <c r="K3" s="8" t="s">
        <v>304</v>
      </c>
      <c r="L3" s="8" t="s">
        <v>305</v>
      </c>
    </row>
    <row r="4" spans="1:12" x14ac:dyDescent="0.2">
      <c r="A4" s="51" t="s">
        <v>275</v>
      </c>
      <c r="B4" s="51" t="s">
        <v>276</v>
      </c>
      <c r="C4" s="51" t="s">
        <v>277</v>
      </c>
      <c r="D4" s="51" t="s">
        <v>278</v>
      </c>
      <c r="E4" s="52">
        <f>objecturenhf1_1+objecturenhf1_3+objecturenhf1_4</f>
        <v>0</v>
      </c>
      <c r="F4" s="52">
        <f>objecturen1_1+objecturen1_3+objecturen1_4</f>
        <v>220</v>
      </c>
      <c r="G4" s="56">
        <f>objectprijs1_1+objectprijs1_3+objectprijs1_4</f>
        <v>0</v>
      </c>
      <c r="H4" s="52">
        <f>tzujt1_1+tzujt1_3+tzujt1_4</f>
        <v>0</v>
      </c>
      <c r="I4" s="56">
        <f>tzpjt1_1+tzpjt1_3+tzpjt1_4</f>
        <v>0</v>
      </c>
      <c r="J4" s="56">
        <f>G4+I4</f>
        <v>0</v>
      </c>
      <c r="K4" s="56">
        <f>J4/12</f>
        <v>0</v>
      </c>
      <c r="L4" s="56">
        <f>K4*1.21</f>
        <v>0</v>
      </c>
    </row>
    <row r="6" spans="1:12" x14ac:dyDescent="0.2">
      <c r="A6" s="42" t="s">
        <v>306</v>
      </c>
      <c r="B6" s="43"/>
      <c r="C6" s="43"/>
      <c r="D6" s="43"/>
      <c r="E6" s="44">
        <f t="shared" ref="E6:L6" si="0">SUM(E4:E4)</f>
        <v>0</v>
      </c>
      <c r="F6" s="44">
        <f t="shared" si="0"/>
        <v>220</v>
      </c>
      <c r="G6" s="45">
        <f t="shared" si="0"/>
        <v>0</v>
      </c>
      <c r="H6" s="44">
        <f t="shared" si="0"/>
        <v>0</v>
      </c>
      <c r="I6" s="45">
        <f t="shared" si="0"/>
        <v>0</v>
      </c>
      <c r="J6" s="45">
        <f t="shared" si="0"/>
        <v>0</v>
      </c>
      <c r="K6" s="45">
        <f t="shared" si="0"/>
        <v>0</v>
      </c>
      <c r="L6" s="45">
        <f t="shared" si="0"/>
        <v>0</v>
      </c>
    </row>
  </sheetData>
  <pageMargins left="0.7" right="0.7" top="0.75" bottom="0.75" header="0.3" footer="0.3"/>
  <pageSetup paperSize="9" scale="65" orientation="landscape" r:id="rId1"/>
  <headerFooter>
    <oddFooter>&amp;LHogeschool der Kunsten Den Haag EA 2023                     &amp;ROpmaakdatum: 13-03-2023
Intexso - De Start 5 - Leusden
+31 (33) 2778485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5CE4C-F6FC-4014-80BD-4AE4F17BB4C2}">
  <dimension ref="A1:M19"/>
  <sheetViews>
    <sheetView tabSelected="1" workbookViewId="0">
      <selection activeCell="F12" sqref="F12"/>
    </sheetView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50.625" customWidth="1"/>
    <col min="5" max="6" width="14.625" customWidth="1"/>
    <col min="7" max="9" width="11.625" customWidth="1"/>
    <col min="10" max="10" width="12.625" customWidth="1"/>
    <col min="11" max="11" width="14.625" customWidth="1"/>
    <col min="12" max="13" width="13.625" customWidth="1"/>
  </cols>
  <sheetData>
    <row r="1" spans="1:13" x14ac:dyDescent="0.2">
      <c r="A1" s="1" t="str">
        <f>CONCATENATE("Bijlage I.6: ",tabeltype," afroep")</f>
        <v>Bijlage I.6: Invultabel afroep</v>
      </c>
    </row>
    <row r="3" spans="1:13" ht="38.25" x14ac:dyDescent="0.2">
      <c r="A3" s="8" t="s">
        <v>307</v>
      </c>
      <c r="B3" s="8" t="s">
        <v>7</v>
      </c>
      <c r="C3" s="8" t="s">
        <v>308</v>
      </c>
      <c r="D3" s="8" t="s">
        <v>33</v>
      </c>
      <c r="E3" s="8" t="s">
        <v>36</v>
      </c>
      <c r="F3" s="8" t="s">
        <v>309</v>
      </c>
      <c r="G3" s="8" t="s">
        <v>310</v>
      </c>
      <c r="H3" s="8" t="s">
        <v>311</v>
      </c>
      <c r="I3" s="8" t="s">
        <v>312</v>
      </c>
      <c r="J3" s="8" t="s">
        <v>313</v>
      </c>
      <c r="K3" s="8" t="s">
        <v>156</v>
      </c>
      <c r="L3" s="8" t="s">
        <v>274</v>
      </c>
      <c r="M3" s="8" t="s">
        <v>155</v>
      </c>
    </row>
    <row r="4" spans="1:13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1"/>
    </row>
    <row r="5" spans="1:13" x14ac:dyDescent="0.2">
      <c r="A5" s="12" t="s">
        <v>38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4"/>
    </row>
    <row r="6" spans="1:13" x14ac:dyDescent="0.2">
      <c r="A6" s="15" t="s">
        <v>314</v>
      </c>
      <c r="B6" s="15" t="s">
        <v>28</v>
      </c>
      <c r="C6" s="16">
        <f t="shared" ref="C6:C11" si="0">IF(ISBLANK(B6),0,IF(ISERROR(VALUE(B6)),VLOOKUP(B6,dagsoorttabel1,2,FALSE)*dagenperjaar1,VALUE(B6)))</f>
        <v>2</v>
      </c>
      <c r="D6" s="15" t="s">
        <v>315</v>
      </c>
      <c r="E6" s="15" t="s">
        <v>316</v>
      </c>
      <c r="F6" s="78">
        <v>25.8</v>
      </c>
      <c r="G6" s="19"/>
      <c r="H6" s="17"/>
      <c r="I6" s="79"/>
      <c r="J6" s="33">
        <f t="shared" ref="J6:J11" si="1">IF(ISBLANK(H6),0,F6 / H6 * G6)</f>
        <v>0</v>
      </c>
      <c r="K6" s="33">
        <f t="shared" ref="K6:K11" si="2">C6*J6</f>
        <v>0</v>
      </c>
      <c r="L6" s="33">
        <f t="shared" ref="L6:L12" si="3">K6/12</f>
        <v>0</v>
      </c>
      <c r="M6" s="30" t="str">
        <f t="shared" ref="M6:M11" si="4">IF(AND(SUM(K6)&gt;0,SUM(G6)&lt;=0),"INCOMPLEET",IF(SUM(G6)&gt;0,K6/G6,""))</f>
        <v/>
      </c>
    </row>
    <row r="7" spans="1:13" x14ac:dyDescent="0.2">
      <c r="A7" s="20" t="s">
        <v>314</v>
      </c>
      <c r="B7" s="20" t="s">
        <v>26</v>
      </c>
      <c r="C7" s="21">
        <f t="shared" si="0"/>
        <v>4</v>
      </c>
      <c r="D7" s="20" t="s">
        <v>315</v>
      </c>
      <c r="E7" s="20" t="s">
        <v>316</v>
      </c>
      <c r="F7" s="81">
        <v>50</v>
      </c>
      <c r="G7" s="24"/>
      <c r="H7" s="22"/>
      <c r="I7" s="80"/>
      <c r="J7" s="37">
        <f t="shared" si="1"/>
        <v>0</v>
      </c>
      <c r="K7" s="37">
        <f t="shared" si="2"/>
        <v>0</v>
      </c>
      <c r="L7" s="37">
        <f t="shared" si="3"/>
        <v>0</v>
      </c>
      <c r="M7" s="34" t="str">
        <f t="shared" si="4"/>
        <v/>
      </c>
    </row>
    <row r="8" spans="1:13" x14ac:dyDescent="0.2">
      <c r="A8" s="20" t="s">
        <v>317</v>
      </c>
      <c r="B8" s="20" t="s">
        <v>26</v>
      </c>
      <c r="C8" s="21">
        <f t="shared" si="0"/>
        <v>4</v>
      </c>
      <c r="D8" s="20" t="s">
        <v>318</v>
      </c>
      <c r="E8" s="20" t="s">
        <v>316</v>
      </c>
      <c r="F8" s="81">
        <v>9</v>
      </c>
      <c r="G8" s="24"/>
      <c r="H8" s="22"/>
      <c r="I8" s="80"/>
      <c r="J8" s="37">
        <f t="shared" si="1"/>
        <v>0</v>
      </c>
      <c r="K8" s="37">
        <f t="shared" si="2"/>
        <v>0</v>
      </c>
      <c r="L8" s="37">
        <f t="shared" si="3"/>
        <v>0</v>
      </c>
      <c r="M8" s="34" t="str">
        <f t="shared" si="4"/>
        <v/>
      </c>
    </row>
    <row r="9" spans="1:13" x14ac:dyDescent="0.2">
      <c r="A9" s="20" t="s">
        <v>319</v>
      </c>
      <c r="B9" s="20" t="s">
        <v>26</v>
      </c>
      <c r="C9" s="21">
        <f t="shared" si="0"/>
        <v>4</v>
      </c>
      <c r="D9" s="20" t="s">
        <v>320</v>
      </c>
      <c r="E9" s="20" t="s">
        <v>316</v>
      </c>
      <c r="F9" s="81">
        <v>36</v>
      </c>
      <c r="G9" s="24"/>
      <c r="H9" s="22"/>
      <c r="I9" s="80"/>
      <c r="J9" s="37">
        <f t="shared" si="1"/>
        <v>0</v>
      </c>
      <c r="K9" s="37">
        <f t="shared" si="2"/>
        <v>0</v>
      </c>
      <c r="L9" s="37">
        <f t="shared" si="3"/>
        <v>0</v>
      </c>
      <c r="M9" s="34" t="str">
        <f t="shared" si="4"/>
        <v/>
      </c>
    </row>
    <row r="10" spans="1:13" x14ac:dyDescent="0.2">
      <c r="A10" s="20" t="s">
        <v>321</v>
      </c>
      <c r="B10" s="20" t="s">
        <v>26</v>
      </c>
      <c r="C10" s="21">
        <f t="shared" si="0"/>
        <v>4</v>
      </c>
      <c r="D10" s="20" t="s">
        <v>322</v>
      </c>
      <c r="E10" s="20" t="s">
        <v>316</v>
      </c>
      <c r="F10" s="81">
        <v>36</v>
      </c>
      <c r="G10" s="24"/>
      <c r="H10" s="22"/>
      <c r="I10" s="80"/>
      <c r="J10" s="37">
        <f t="shared" si="1"/>
        <v>0</v>
      </c>
      <c r="K10" s="37">
        <f t="shared" si="2"/>
        <v>0</v>
      </c>
      <c r="L10" s="37">
        <f t="shared" si="3"/>
        <v>0</v>
      </c>
      <c r="M10" s="34" t="str">
        <f t="shared" si="4"/>
        <v/>
      </c>
    </row>
    <row r="11" spans="1:13" x14ac:dyDescent="0.2">
      <c r="A11" s="25" t="s">
        <v>323</v>
      </c>
      <c r="B11" s="25" t="s">
        <v>26</v>
      </c>
      <c r="C11" s="26">
        <f t="shared" si="0"/>
        <v>4</v>
      </c>
      <c r="D11" s="25" t="s">
        <v>324</v>
      </c>
      <c r="E11" s="25" t="s">
        <v>316</v>
      </c>
      <c r="F11" s="81">
        <v>56</v>
      </c>
      <c r="G11" s="29"/>
      <c r="H11" s="27"/>
      <c r="I11" s="82"/>
      <c r="J11" s="41">
        <f t="shared" si="1"/>
        <v>0</v>
      </c>
      <c r="K11" s="41">
        <f t="shared" si="2"/>
        <v>0</v>
      </c>
      <c r="L11" s="41">
        <f t="shared" si="3"/>
        <v>0</v>
      </c>
      <c r="M11" s="39" t="str">
        <f t="shared" si="4"/>
        <v/>
      </c>
    </row>
    <row r="12" spans="1:13" x14ac:dyDescent="0.2">
      <c r="A12" s="42" t="s">
        <v>231</v>
      </c>
      <c r="B12" s="43"/>
      <c r="C12" s="43"/>
      <c r="D12" s="43"/>
      <c r="E12" s="43"/>
      <c r="F12" s="43"/>
      <c r="G12" s="43"/>
      <c r="H12" s="43"/>
      <c r="I12" s="43"/>
      <c r="J12" s="43"/>
      <c r="K12" s="45">
        <f>SUM(K6:K11)</f>
        <v>0</v>
      </c>
      <c r="L12" s="83">
        <f t="shared" si="3"/>
        <v>0</v>
      </c>
      <c r="M12" s="44">
        <f>SUM(M6:M11)</f>
        <v>0</v>
      </c>
    </row>
    <row r="13" spans="1:13" x14ac:dyDescent="0.2">
      <c r="A13" s="9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1"/>
    </row>
    <row r="14" spans="1:13" x14ac:dyDescent="0.2">
      <c r="A14" s="12" t="s">
        <v>242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4"/>
    </row>
    <row r="15" spans="1:13" x14ac:dyDescent="0.2">
      <c r="A15" s="15" t="s">
        <v>325</v>
      </c>
      <c r="B15" s="15" t="s">
        <v>29</v>
      </c>
      <c r="C15" s="16">
        <f>IF(ISBLANK(B15),0,IF(ISERROR(VALUE(B15)),VLOOKUP(B15,dagsoorttabel1,2,FALSE)*dagenperjaar1,VALUE(B15)))</f>
        <v>1</v>
      </c>
      <c r="D15" s="15" t="s">
        <v>326</v>
      </c>
      <c r="E15" s="15" t="s">
        <v>327</v>
      </c>
      <c r="F15" s="78">
        <v>15</v>
      </c>
      <c r="G15" s="19"/>
      <c r="H15" s="84"/>
      <c r="I15" s="19"/>
      <c r="J15" s="33">
        <f>IF(ISBLANK(F15),0,F15)*I15</f>
        <v>0</v>
      </c>
      <c r="K15" s="33">
        <f>C15*J15</f>
        <v>0</v>
      </c>
      <c r="L15" s="33">
        <f>K15/12</f>
        <v>0</v>
      </c>
      <c r="M15" s="30" t="str">
        <f>IF(AND(SUM(K15)&gt;0,SUM(G15)&lt;=0),"INCOMPLEET",IF(SUM(G15)&gt;0,K15/G15,""))</f>
        <v/>
      </c>
    </row>
    <row r="16" spans="1:13" x14ac:dyDescent="0.2">
      <c r="A16" s="25" t="s">
        <v>328</v>
      </c>
      <c r="B16" s="25" t="s">
        <v>29</v>
      </c>
      <c r="C16" s="26">
        <f>IF(ISBLANK(B16),0,IF(ISERROR(VALUE(B16)),VLOOKUP(B16,dagsoorttabel1,2,FALSE)*dagenperjaar1,VALUE(B16)))</f>
        <v>1</v>
      </c>
      <c r="D16" s="25" t="s">
        <v>329</v>
      </c>
      <c r="E16" s="25" t="s">
        <v>327</v>
      </c>
      <c r="F16" s="85">
        <v>15</v>
      </c>
      <c r="G16" s="29"/>
      <c r="H16" s="86"/>
      <c r="I16" s="29"/>
      <c r="J16" s="41">
        <f>IF(ISBLANK(F16),0,F16)*I16</f>
        <v>0</v>
      </c>
      <c r="K16" s="41">
        <f>C16*J16</f>
        <v>0</v>
      </c>
      <c r="L16" s="41">
        <f>K16/12</f>
        <v>0</v>
      </c>
      <c r="M16" s="39" t="str">
        <f>IF(AND(SUM(K16)&gt;0,SUM(G16)&lt;=0),"INCOMPLEET",IF(SUM(G16)&gt;0,K16/G16,""))</f>
        <v/>
      </c>
    </row>
    <row r="17" spans="1:13" x14ac:dyDescent="0.2">
      <c r="A17" s="42" t="s">
        <v>245</v>
      </c>
      <c r="B17" s="43"/>
      <c r="C17" s="43"/>
      <c r="D17" s="43"/>
      <c r="E17" s="43"/>
      <c r="F17" s="43"/>
      <c r="G17" s="43"/>
      <c r="H17" s="43"/>
      <c r="I17" s="43"/>
      <c r="J17" s="43"/>
      <c r="K17" s="45">
        <f>SUM(K15:K16)</f>
        <v>0</v>
      </c>
      <c r="L17" s="83">
        <f>K17/12</f>
        <v>0</v>
      </c>
      <c r="M17" s="44">
        <f>SUM(M15:M16)</f>
        <v>0</v>
      </c>
    </row>
    <row r="19" spans="1:13" x14ac:dyDescent="0.2">
      <c r="A19" s="42" t="s">
        <v>330</v>
      </c>
      <c r="B19" s="43"/>
      <c r="C19" s="43"/>
      <c r="D19" s="43"/>
      <c r="E19" s="43"/>
      <c r="F19" s="43"/>
      <c r="G19" s="43"/>
      <c r="H19" s="43"/>
      <c r="I19" s="43"/>
      <c r="J19" s="43"/>
      <c r="K19" s="45">
        <f>prijsjaarafroep1+prijsjaarafroep4</f>
        <v>0</v>
      </c>
      <c r="L19" s="83">
        <f>K19/12</f>
        <v>0</v>
      </c>
      <c r="M19" s="44">
        <f>urenjaarafroep1+urenjaarafroep4</f>
        <v>0</v>
      </c>
    </row>
  </sheetData>
  <pageMargins left="0.7" right="0.7" top="0.75" bottom="0.75" header="0.3" footer="0.3"/>
  <pageSetup paperSize="9" scale="65" orientation="landscape" r:id="rId1"/>
  <headerFooter>
    <oddFooter>&amp;LHogeschool der Kunsten Den Haag EA 2023                     &amp;ROpmaakdatum: 13-03-2023
Intexso - De Start 5 - Leusden
+31 (33) 2778485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F6C33-ED0B-4A9E-96C8-406AB49911DD}">
  <dimension ref="A1:E60"/>
  <sheetViews>
    <sheetView workbookViewId="0"/>
  </sheetViews>
  <sheetFormatPr defaultRowHeight="12.75" x14ac:dyDescent="0.2"/>
  <cols>
    <col min="1" max="1" width="7.625" customWidth="1"/>
    <col min="2" max="2" width="40.625" customWidth="1"/>
    <col min="3" max="3" width="18.625" customWidth="1"/>
    <col min="4" max="4" width="20.625" customWidth="1"/>
    <col min="5" max="5" width="15.625" customWidth="1"/>
  </cols>
  <sheetData>
    <row r="1" spans="1:5" x14ac:dyDescent="0.2">
      <c r="A1" s="1" t="str">
        <f>CONCATENATE("Bijlage I.7: ",tabeltype," afroep incidenteel")</f>
        <v>Bijlage I.7: Invultabel afroep incidenteel</v>
      </c>
    </row>
    <row r="3" spans="1:5" ht="38.25" x14ac:dyDescent="0.2">
      <c r="A3" s="8" t="s">
        <v>307</v>
      </c>
      <c r="B3" s="8" t="s">
        <v>33</v>
      </c>
      <c r="C3" s="8" t="s">
        <v>36</v>
      </c>
      <c r="D3" s="8" t="s">
        <v>331</v>
      </c>
      <c r="E3" s="8" t="s">
        <v>312</v>
      </c>
    </row>
    <row r="4" spans="1:5" x14ac:dyDescent="0.2">
      <c r="A4" s="9"/>
      <c r="B4" s="10"/>
      <c r="C4" s="10"/>
      <c r="D4" s="10"/>
      <c r="E4" s="11"/>
    </row>
    <row r="5" spans="1:5" x14ac:dyDescent="0.2">
      <c r="A5" s="12" t="s">
        <v>38</v>
      </c>
      <c r="B5" s="13"/>
      <c r="C5" s="13"/>
      <c r="D5" s="13"/>
      <c r="E5" s="14"/>
    </row>
    <row r="6" spans="1:5" x14ac:dyDescent="0.2">
      <c r="A6" s="15" t="s">
        <v>332</v>
      </c>
      <c r="B6" s="15" t="s">
        <v>333</v>
      </c>
      <c r="C6" s="15" t="s">
        <v>334</v>
      </c>
      <c r="D6" s="15" t="s">
        <v>335</v>
      </c>
      <c r="E6" s="19"/>
    </row>
    <row r="7" spans="1:5" x14ac:dyDescent="0.2">
      <c r="A7" s="20" t="s">
        <v>336</v>
      </c>
      <c r="B7" s="20" t="s">
        <v>333</v>
      </c>
      <c r="C7" s="20" t="s">
        <v>334</v>
      </c>
      <c r="D7" s="20" t="s">
        <v>337</v>
      </c>
      <c r="E7" s="24"/>
    </row>
    <row r="8" spans="1:5" x14ac:dyDescent="0.2">
      <c r="A8" s="20" t="s">
        <v>338</v>
      </c>
      <c r="B8" s="20" t="s">
        <v>333</v>
      </c>
      <c r="C8" s="20" t="s">
        <v>334</v>
      </c>
      <c r="D8" s="20" t="s">
        <v>339</v>
      </c>
      <c r="E8" s="24"/>
    </row>
    <row r="9" spans="1:5" x14ac:dyDescent="0.2">
      <c r="A9" s="20" t="s">
        <v>340</v>
      </c>
      <c r="B9" s="20" t="s">
        <v>333</v>
      </c>
      <c r="C9" s="20" t="s">
        <v>334</v>
      </c>
      <c r="D9" s="20" t="s">
        <v>341</v>
      </c>
      <c r="E9" s="24"/>
    </row>
    <row r="10" spans="1:5" x14ac:dyDescent="0.2">
      <c r="A10" s="20" t="s">
        <v>342</v>
      </c>
      <c r="B10" s="20" t="s">
        <v>343</v>
      </c>
      <c r="C10" s="20" t="s">
        <v>334</v>
      </c>
      <c r="D10" s="20" t="s">
        <v>335</v>
      </c>
      <c r="E10" s="24"/>
    </row>
    <row r="11" spans="1:5" x14ac:dyDescent="0.2">
      <c r="A11" s="20" t="s">
        <v>344</v>
      </c>
      <c r="B11" s="20" t="s">
        <v>343</v>
      </c>
      <c r="C11" s="20" t="s">
        <v>334</v>
      </c>
      <c r="D11" s="20" t="s">
        <v>337</v>
      </c>
      <c r="E11" s="24"/>
    </row>
    <row r="12" spans="1:5" x14ac:dyDescent="0.2">
      <c r="A12" s="20" t="s">
        <v>345</v>
      </c>
      <c r="B12" s="20" t="s">
        <v>343</v>
      </c>
      <c r="C12" s="20" t="s">
        <v>334</v>
      </c>
      <c r="D12" s="20" t="s">
        <v>339</v>
      </c>
      <c r="E12" s="24"/>
    </row>
    <row r="13" spans="1:5" x14ac:dyDescent="0.2">
      <c r="A13" s="20" t="s">
        <v>346</v>
      </c>
      <c r="B13" s="20" t="s">
        <v>343</v>
      </c>
      <c r="C13" s="20" t="s">
        <v>334</v>
      </c>
      <c r="D13" s="20" t="s">
        <v>341</v>
      </c>
      <c r="E13" s="24"/>
    </row>
    <row r="14" spans="1:5" x14ac:dyDescent="0.2">
      <c r="A14" s="20" t="s">
        <v>347</v>
      </c>
      <c r="B14" s="20" t="s">
        <v>348</v>
      </c>
      <c r="C14" s="20" t="s">
        <v>334</v>
      </c>
      <c r="D14" s="20" t="s">
        <v>335</v>
      </c>
      <c r="E14" s="24"/>
    </row>
    <row r="15" spans="1:5" x14ac:dyDescent="0.2">
      <c r="A15" s="20" t="s">
        <v>349</v>
      </c>
      <c r="B15" s="20" t="s">
        <v>348</v>
      </c>
      <c r="C15" s="20" t="s">
        <v>334</v>
      </c>
      <c r="D15" s="20" t="s">
        <v>337</v>
      </c>
      <c r="E15" s="24"/>
    </row>
    <row r="16" spans="1:5" x14ac:dyDescent="0.2">
      <c r="A16" s="20" t="s">
        <v>350</v>
      </c>
      <c r="B16" s="20" t="s">
        <v>348</v>
      </c>
      <c r="C16" s="20" t="s">
        <v>334</v>
      </c>
      <c r="D16" s="20" t="s">
        <v>339</v>
      </c>
      <c r="E16" s="24"/>
    </row>
    <row r="17" spans="1:5" x14ac:dyDescent="0.2">
      <c r="A17" s="20" t="s">
        <v>351</v>
      </c>
      <c r="B17" s="20" t="s">
        <v>348</v>
      </c>
      <c r="C17" s="20" t="s">
        <v>334</v>
      </c>
      <c r="D17" s="20" t="s">
        <v>341</v>
      </c>
      <c r="E17" s="24"/>
    </row>
    <row r="18" spans="1:5" x14ac:dyDescent="0.2">
      <c r="A18" s="20" t="s">
        <v>352</v>
      </c>
      <c r="B18" s="20" t="s">
        <v>315</v>
      </c>
      <c r="C18" s="20" t="s">
        <v>353</v>
      </c>
      <c r="D18" s="20" t="s">
        <v>354</v>
      </c>
      <c r="E18" s="24"/>
    </row>
    <row r="19" spans="1:5" x14ac:dyDescent="0.2">
      <c r="A19" s="20" t="s">
        <v>355</v>
      </c>
      <c r="B19" s="20" t="s">
        <v>315</v>
      </c>
      <c r="C19" s="20" t="s">
        <v>353</v>
      </c>
      <c r="D19" s="20" t="s">
        <v>356</v>
      </c>
      <c r="E19" s="24"/>
    </row>
    <row r="20" spans="1:5" x14ac:dyDescent="0.2">
      <c r="A20" s="20" t="s">
        <v>357</v>
      </c>
      <c r="B20" s="20" t="s">
        <v>315</v>
      </c>
      <c r="C20" s="20" t="s">
        <v>353</v>
      </c>
      <c r="D20" s="20" t="s">
        <v>358</v>
      </c>
      <c r="E20" s="24"/>
    </row>
    <row r="21" spans="1:5" x14ac:dyDescent="0.2">
      <c r="A21" s="20" t="s">
        <v>359</v>
      </c>
      <c r="B21" s="20" t="s">
        <v>315</v>
      </c>
      <c r="C21" s="20" t="s">
        <v>353</v>
      </c>
      <c r="D21" s="20" t="s">
        <v>360</v>
      </c>
      <c r="E21" s="24"/>
    </row>
    <row r="22" spans="1:5" x14ac:dyDescent="0.2">
      <c r="A22" s="20" t="s">
        <v>361</v>
      </c>
      <c r="B22" s="20" t="s">
        <v>362</v>
      </c>
      <c r="C22" s="20" t="s">
        <v>353</v>
      </c>
      <c r="D22" s="20" t="s">
        <v>354</v>
      </c>
      <c r="E22" s="24"/>
    </row>
    <row r="23" spans="1:5" x14ac:dyDescent="0.2">
      <c r="A23" s="20" t="s">
        <v>363</v>
      </c>
      <c r="B23" s="20" t="s">
        <v>362</v>
      </c>
      <c r="C23" s="20" t="s">
        <v>353</v>
      </c>
      <c r="D23" s="20" t="s">
        <v>356</v>
      </c>
      <c r="E23" s="24"/>
    </row>
    <row r="24" spans="1:5" x14ac:dyDescent="0.2">
      <c r="A24" s="20" t="s">
        <v>364</v>
      </c>
      <c r="B24" s="20" t="s">
        <v>362</v>
      </c>
      <c r="C24" s="20" t="s">
        <v>353</v>
      </c>
      <c r="D24" s="20" t="s">
        <v>358</v>
      </c>
      <c r="E24" s="24"/>
    </row>
    <row r="25" spans="1:5" x14ac:dyDescent="0.2">
      <c r="A25" s="20" t="s">
        <v>365</v>
      </c>
      <c r="B25" s="20" t="s">
        <v>362</v>
      </c>
      <c r="C25" s="20" t="s">
        <v>353</v>
      </c>
      <c r="D25" s="20" t="s">
        <v>360</v>
      </c>
      <c r="E25" s="24"/>
    </row>
    <row r="26" spans="1:5" x14ac:dyDescent="0.2">
      <c r="A26" s="20" t="s">
        <v>366</v>
      </c>
      <c r="B26" s="20" t="s">
        <v>367</v>
      </c>
      <c r="C26" s="20" t="s">
        <v>353</v>
      </c>
      <c r="D26" s="20" t="s">
        <v>354</v>
      </c>
      <c r="E26" s="24"/>
    </row>
    <row r="27" spans="1:5" x14ac:dyDescent="0.2">
      <c r="A27" s="20" t="s">
        <v>368</v>
      </c>
      <c r="B27" s="20" t="s">
        <v>367</v>
      </c>
      <c r="C27" s="20" t="s">
        <v>353</v>
      </c>
      <c r="D27" s="20" t="s">
        <v>356</v>
      </c>
      <c r="E27" s="24"/>
    </row>
    <row r="28" spans="1:5" x14ac:dyDescent="0.2">
      <c r="A28" s="20" t="s">
        <v>369</v>
      </c>
      <c r="B28" s="20" t="s">
        <v>367</v>
      </c>
      <c r="C28" s="20" t="s">
        <v>353</v>
      </c>
      <c r="D28" s="20" t="s">
        <v>358</v>
      </c>
      <c r="E28" s="24"/>
    </row>
    <row r="29" spans="1:5" x14ac:dyDescent="0.2">
      <c r="A29" s="20" t="s">
        <v>370</v>
      </c>
      <c r="B29" s="20" t="s">
        <v>367</v>
      </c>
      <c r="C29" s="20" t="s">
        <v>353</v>
      </c>
      <c r="D29" s="20" t="s">
        <v>360</v>
      </c>
      <c r="E29" s="24"/>
    </row>
    <row r="30" spans="1:5" x14ac:dyDescent="0.2">
      <c r="A30" s="20" t="s">
        <v>371</v>
      </c>
      <c r="B30" s="20" t="s">
        <v>372</v>
      </c>
      <c r="C30" s="20" t="s">
        <v>353</v>
      </c>
      <c r="D30" s="20" t="s">
        <v>354</v>
      </c>
      <c r="E30" s="24"/>
    </row>
    <row r="31" spans="1:5" x14ac:dyDescent="0.2">
      <c r="A31" s="20" t="s">
        <v>373</v>
      </c>
      <c r="B31" s="20" t="s">
        <v>372</v>
      </c>
      <c r="C31" s="20" t="s">
        <v>353</v>
      </c>
      <c r="D31" s="20" t="s">
        <v>356</v>
      </c>
      <c r="E31" s="24"/>
    </row>
    <row r="32" spans="1:5" x14ac:dyDescent="0.2">
      <c r="A32" s="20" t="s">
        <v>374</v>
      </c>
      <c r="B32" s="20" t="s">
        <v>372</v>
      </c>
      <c r="C32" s="20" t="s">
        <v>353</v>
      </c>
      <c r="D32" s="20" t="s">
        <v>358</v>
      </c>
      <c r="E32" s="24"/>
    </row>
    <row r="33" spans="1:5" x14ac:dyDescent="0.2">
      <c r="A33" s="20" t="s">
        <v>375</v>
      </c>
      <c r="B33" s="20" t="s">
        <v>372</v>
      </c>
      <c r="C33" s="20" t="s">
        <v>353</v>
      </c>
      <c r="D33" s="20" t="s">
        <v>360</v>
      </c>
      <c r="E33" s="24"/>
    </row>
    <row r="34" spans="1:5" x14ac:dyDescent="0.2">
      <c r="A34" s="20" t="s">
        <v>376</v>
      </c>
      <c r="B34" s="20" t="s">
        <v>377</v>
      </c>
      <c r="C34" s="20" t="s">
        <v>353</v>
      </c>
      <c r="D34" s="20" t="s">
        <v>354</v>
      </c>
      <c r="E34" s="24"/>
    </row>
    <row r="35" spans="1:5" x14ac:dyDescent="0.2">
      <c r="A35" s="20" t="s">
        <v>378</v>
      </c>
      <c r="B35" s="20" t="s">
        <v>377</v>
      </c>
      <c r="C35" s="20" t="s">
        <v>353</v>
      </c>
      <c r="D35" s="20" t="s">
        <v>356</v>
      </c>
      <c r="E35" s="24"/>
    </row>
    <row r="36" spans="1:5" x14ac:dyDescent="0.2">
      <c r="A36" s="20" t="s">
        <v>379</v>
      </c>
      <c r="B36" s="20" t="s">
        <v>377</v>
      </c>
      <c r="C36" s="20" t="s">
        <v>353</v>
      </c>
      <c r="D36" s="20" t="s">
        <v>358</v>
      </c>
      <c r="E36" s="24"/>
    </row>
    <row r="37" spans="1:5" x14ac:dyDescent="0.2">
      <c r="A37" s="20" t="s">
        <v>380</v>
      </c>
      <c r="B37" s="20" t="s">
        <v>377</v>
      </c>
      <c r="C37" s="20" t="s">
        <v>353</v>
      </c>
      <c r="D37" s="20" t="s">
        <v>360</v>
      </c>
      <c r="E37" s="24"/>
    </row>
    <row r="38" spans="1:5" x14ac:dyDescent="0.2">
      <c r="A38" s="20" t="s">
        <v>381</v>
      </c>
      <c r="B38" s="20" t="s">
        <v>382</v>
      </c>
      <c r="C38" s="20" t="s">
        <v>353</v>
      </c>
      <c r="D38" s="20" t="s">
        <v>354</v>
      </c>
      <c r="E38" s="24"/>
    </row>
    <row r="39" spans="1:5" x14ac:dyDescent="0.2">
      <c r="A39" s="20" t="s">
        <v>383</v>
      </c>
      <c r="B39" s="20" t="s">
        <v>382</v>
      </c>
      <c r="C39" s="20" t="s">
        <v>353</v>
      </c>
      <c r="D39" s="20" t="s">
        <v>356</v>
      </c>
      <c r="E39" s="24"/>
    </row>
    <row r="40" spans="1:5" x14ac:dyDescent="0.2">
      <c r="A40" s="20" t="s">
        <v>384</v>
      </c>
      <c r="B40" s="20" t="s">
        <v>382</v>
      </c>
      <c r="C40" s="20" t="s">
        <v>353</v>
      </c>
      <c r="D40" s="20" t="s">
        <v>358</v>
      </c>
      <c r="E40" s="24"/>
    </row>
    <row r="41" spans="1:5" x14ac:dyDescent="0.2">
      <c r="A41" s="20" t="s">
        <v>385</v>
      </c>
      <c r="B41" s="20" t="s">
        <v>382</v>
      </c>
      <c r="C41" s="20" t="s">
        <v>353</v>
      </c>
      <c r="D41" s="20" t="s">
        <v>360</v>
      </c>
      <c r="E41" s="24"/>
    </row>
    <row r="42" spans="1:5" x14ac:dyDescent="0.2">
      <c r="A42" s="20" t="s">
        <v>386</v>
      </c>
      <c r="B42" s="20" t="s">
        <v>387</v>
      </c>
      <c r="C42" s="20" t="s">
        <v>353</v>
      </c>
      <c r="D42" s="20" t="s">
        <v>354</v>
      </c>
      <c r="E42" s="24"/>
    </row>
    <row r="43" spans="1:5" x14ac:dyDescent="0.2">
      <c r="A43" s="20" t="s">
        <v>388</v>
      </c>
      <c r="B43" s="20" t="s">
        <v>387</v>
      </c>
      <c r="C43" s="20" t="s">
        <v>353</v>
      </c>
      <c r="D43" s="20" t="s">
        <v>356</v>
      </c>
      <c r="E43" s="24"/>
    </row>
    <row r="44" spans="1:5" x14ac:dyDescent="0.2">
      <c r="A44" s="20" t="s">
        <v>389</v>
      </c>
      <c r="B44" s="20" t="s">
        <v>387</v>
      </c>
      <c r="C44" s="20" t="s">
        <v>353</v>
      </c>
      <c r="D44" s="20" t="s">
        <v>358</v>
      </c>
      <c r="E44" s="24"/>
    </row>
    <row r="45" spans="1:5" x14ac:dyDescent="0.2">
      <c r="A45" s="20" t="s">
        <v>390</v>
      </c>
      <c r="B45" s="20" t="s">
        <v>387</v>
      </c>
      <c r="C45" s="20" t="s">
        <v>353</v>
      </c>
      <c r="D45" s="20" t="s">
        <v>360</v>
      </c>
      <c r="E45" s="24"/>
    </row>
    <row r="46" spans="1:5" x14ac:dyDescent="0.2">
      <c r="A46" s="20" t="s">
        <v>391</v>
      </c>
      <c r="B46" s="20" t="s">
        <v>392</v>
      </c>
      <c r="C46" s="20" t="s">
        <v>353</v>
      </c>
      <c r="D46" s="20" t="s">
        <v>354</v>
      </c>
      <c r="E46" s="24"/>
    </row>
    <row r="47" spans="1:5" x14ac:dyDescent="0.2">
      <c r="A47" s="20" t="s">
        <v>393</v>
      </c>
      <c r="B47" s="20" t="s">
        <v>392</v>
      </c>
      <c r="C47" s="20" t="s">
        <v>353</v>
      </c>
      <c r="D47" s="20" t="s">
        <v>356</v>
      </c>
      <c r="E47" s="24"/>
    </row>
    <row r="48" spans="1:5" x14ac:dyDescent="0.2">
      <c r="A48" s="20" t="s">
        <v>394</v>
      </c>
      <c r="B48" s="20" t="s">
        <v>392</v>
      </c>
      <c r="C48" s="20" t="s">
        <v>353</v>
      </c>
      <c r="D48" s="20" t="s">
        <v>358</v>
      </c>
      <c r="E48" s="24"/>
    </row>
    <row r="49" spans="1:5" x14ac:dyDescent="0.2">
      <c r="A49" s="20" t="s">
        <v>395</v>
      </c>
      <c r="B49" s="20" t="s">
        <v>392</v>
      </c>
      <c r="C49" s="20" t="s">
        <v>353</v>
      </c>
      <c r="D49" s="20" t="s">
        <v>360</v>
      </c>
      <c r="E49" s="24"/>
    </row>
    <row r="50" spans="1:5" x14ac:dyDescent="0.2">
      <c r="A50" s="20" t="s">
        <v>396</v>
      </c>
      <c r="B50" s="20" t="s">
        <v>397</v>
      </c>
      <c r="C50" s="20" t="s">
        <v>353</v>
      </c>
      <c r="D50" s="20" t="s">
        <v>354</v>
      </c>
      <c r="E50" s="24"/>
    </row>
    <row r="51" spans="1:5" x14ac:dyDescent="0.2">
      <c r="A51" s="20" t="s">
        <v>398</v>
      </c>
      <c r="B51" s="20" t="s">
        <v>399</v>
      </c>
      <c r="C51" s="20" t="s">
        <v>353</v>
      </c>
      <c r="D51" s="20" t="s">
        <v>356</v>
      </c>
      <c r="E51" s="24"/>
    </row>
    <row r="52" spans="1:5" x14ac:dyDescent="0.2">
      <c r="A52" s="20" t="s">
        <v>400</v>
      </c>
      <c r="B52" s="20" t="s">
        <v>397</v>
      </c>
      <c r="C52" s="20" t="s">
        <v>353</v>
      </c>
      <c r="D52" s="20" t="s">
        <v>358</v>
      </c>
      <c r="E52" s="24"/>
    </row>
    <row r="53" spans="1:5" x14ac:dyDescent="0.2">
      <c r="A53" s="20" t="s">
        <v>401</v>
      </c>
      <c r="B53" s="20" t="s">
        <v>397</v>
      </c>
      <c r="C53" s="20" t="s">
        <v>353</v>
      </c>
      <c r="D53" s="20" t="s">
        <v>360</v>
      </c>
      <c r="E53" s="24"/>
    </row>
    <row r="54" spans="1:5" x14ac:dyDescent="0.2">
      <c r="A54" s="20" t="s">
        <v>402</v>
      </c>
      <c r="B54" s="20" t="s">
        <v>403</v>
      </c>
      <c r="C54" s="20" t="s">
        <v>334</v>
      </c>
      <c r="D54" s="20" t="s">
        <v>335</v>
      </c>
      <c r="E54" s="24"/>
    </row>
    <row r="55" spans="1:5" x14ac:dyDescent="0.2">
      <c r="A55" s="20" t="s">
        <v>404</v>
      </c>
      <c r="B55" s="20" t="s">
        <v>403</v>
      </c>
      <c r="C55" s="20" t="s">
        <v>334</v>
      </c>
      <c r="D55" s="20" t="s">
        <v>337</v>
      </c>
      <c r="E55" s="24"/>
    </row>
    <row r="56" spans="1:5" x14ac:dyDescent="0.2">
      <c r="A56" s="20" t="s">
        <v>405</v>
      </c>
      <c r="B56" s="20" t="s">
        <v>403</v>
      </c>
      <c r="C56" s="20" t="s">
        <v>334</v>
      </c>
      <c r="D56" s="20" t="s">
        <v>339</v>
      </c>
      <c r="E56" s="24"/>
    </row>
    <row r="57" spans="1:5" x14ac:dyDescent="0.2">
      <c r="A57" s="25" t="s">
        <v>406</v>
      </c>
      <c r="B57" s="25" t="s">
        <v>403</v>
      </c>
      <c r="C57" s="25" t="s">
        <v>334</v>
      </c>
      <c r="D57" s="25" t="s">
        <v>341</v>
      </c>
      <c r="E57" s="29"/>
    </row>
    <row r="58" spans="1:5" x14ac:dyDescent="0.2">
      <c r="A58" s="42" t="s">
        <v>231</v>
      </c>
      <c r="B58" s="43"/>
      <c r="C58" s="43"/>
      <c r="D58" s="43"/>
      <c r="E58" s="87"/>
    </row>
    <row r="60" spans="1:5" x14ac:dyDescent="0.2">
      <c r="A60" s="42" t="s">
        <v>407</v>
      </c>
      <c r="B60" s="43"/>
      <c r="C60" s="43"/>
      <c r="D60" s="43"/>
      <c r="E60" s="87"/>
    </row>
  </sheetData>
  <pageMargins left="0.7" right="0.7" top="0.75" bottom="0.75" header="0.3" footer="0.3"/>
  <pageSetup paperSize="9" scale="65" orientation="landscape" r:id="rId1"/>
  <headerFooter>
    <oddFooter>&amp;LHogeschool der Kunsten Den Haag EA 2023                     &amp;ROpmaakdatum: 13-03-2023
Intexso - De Start 5 - Leusden
+31 (33) 2778485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13</vt:i4>
      </vt:variant>
      <vt:variant>
        <vt:lpstr>Benoemde bereiken</vt:lpstr>
      </vt:variant>
      <vt:variant>
        <vt:i4>480</vt:i4>
      </vt:variant>
    </vt:vector>
  </HeadingPairs>
  <TitlesOfParts>
    <vt:vector size="493" baseType="lpstr">
      <vt:lpstr>Omreken</vt:lpstr>
      <vt:lpstr>Categorienormen</vt:lpstr>
      <vt:lpstr>Regulier werk</vt:lpstr>
      <vt:lpstr>Objectinformatie</vt:lpstr>
      <vt:lpstr>Objecten</vt:lpstr>
      <vt:lpstr>Niet-meewerkende objectleiding</vt:lpstr>
      <vt:lpstr>Totaalblad Objecten</vt:lpstr>
      <vt:lpstr>Afroep</vt:lpstr>
      <vt:lpstr>Afroep incidenteel</vt:lpstr>
      <vt:lpstr>Regiewerk</vt:lpstr>
      <vt:lpstr>Glas</vt:lpstr>
      <vt:lpstr>Glas per locatie</vt:lpstr>
      <vt:lpstr>Totaal</vt:lpstr>
      <vt:lpstr>Afroep!Afdruktitels</vt:lpstr>
      <vt:lpstr>'Afroep incidenteel'!Afdruktitels</vt:lpstr>
      <vt:lpstr>Categorienormen!Afdruktitels</vt:lpstr>
      <vt:lpstr>Glas!Afdruktitels</vt:lpstr>
      <vt:lpstr>'Glas per locatie'!Afdruktitels</vt:lpstr>
      <vt:lpstr>'Niet-meewerkende objectleiding'!Afdruktitels</vt:lpstr>
      <vt:lpstr>Objecten!Afdruktitels</vt:lpstr>
      <vt:lpstr>Objectinformatie!Afdruktitels</vt:lpstr>
      <vt:lpstr>Regiewerk!Afdruktitels</vt:lpstr>
      <vt:lpstr>'Regulier werk'!Afdruktitels</vt:lpstr>
      <vt:lpstr>Totaal!Afdruktitels</vt:lpstr>
      <vt:lpstr>'Totaalblad Objecten'!Afdruktitels</vt:lpstr>
      <vt:lpstr>catdw_1_AHB_1</vt:lpstr>
      <vt:lpstr>catdw_1_AHV_39</vt:lpstr>
      <vt:lpstr>catdw_1_BBHB_1</vt:lpstr>
      <vt:lpstr>catdw_1_BBHV_39</vt:lpstr>
      <vt:lpstr>catdw_1_BBZB_1</vt:lpstr>
      <vt:lpstr>catdw_1_BBZV_39</vt:lpstr>
      <vt:lpstr>catdw_1_BHB_1</vt:lpstr>
      <vt:lpstr>catdw_1_BHV_39</vt:lpstr>
      <vt:lpstr>catdw_1_BZB_1</vt:lpstr>
      <vt:lpstr>catdw_1_BZV_39</vt:lpstr>
      <vt:lpstr>catdw_1_CHB_1</vt:lpstr>
      <vt:lpstr>catdw_1_CHV_39</vt:lpstr>
      <vt:lpstr>catdw_1_CZB_1</vt:lpstr>
      <vt:lpstr>catdw_1_CZV_39</vt:lpstr>
      <vt:lpstr>catdw_1_DHB_1</vt:lpstr>
      <vt:lpstr>catdw_1_DHV_39</vt:lpstr>
      <vt:lpstr>catdw_1_FHB_1</vt:lpstr>
      <vt:lpstr>catdw_1_FHV_39</vt:lpstr>
      <vt:lpstr>catdw_1_LHB_1</vt:lpstr>
      <vt:lpstr>catdw_1_LHV_39</vt:lpstr>
      <vt:lpstr>catdw_1_LZB_1</vt:lpstr>
      <vt:lpstr>catdw_1_LZV_39</vt:lpstr>
      <vt:lpstr>catdw_1_MHB_1</vt:lpstr>
      <vt:lpstr>catdw_1_MHV_39</vt:lpstr>
      <vt:lpstr>catdw_1_PAHB_1</vt:lpstr>
      <vt:lpstr>catdw_1_PAHV_39</vt:lpstr>
      <vt:lpstr>catdw_1_PHB_1</vt:lpstr>
      <vt:lpstr>catdw_1_PHV_39</vt:lpstr>
      <vt:lpstr>catdw_1_RHB_1</vt:lpstr>
      <vt:lpstr>catdw_1_RHV_39</vt:lpstr>
      <vt:lpstr>catdw_1_SHB_1</vt:lpstr>
      <vt:lpstr>catdw_1_SHV_39</vt:lpstr>
      <vt:lpstr>catdw_1_THB_1</vt:lpstr>
      <vt:lpstr>catdw_1_THV_39</vt:lpstr>
      <vt:lpstr>catdw_1_VHB_1</vt:lpstr>
      <vt:lpstr>catdw_1_VHV_39</vt:lpstr>
      <vt:lpstr>catdw_1_VZB_1</vt:lpstr>
      <vt:lpstr>catdw_1_VZV_39</vt:lpstr>
      <vt:lpstr>catdw_1_WHB_1</vt:lpstr>
      <vt:lpstr>catdw_1_WHHB_1</vt:lpstr>
      <vt:lpstr>catdw_1_WHIHV_39</vt:lpstr>
      <vt:lpstr>catdw_1_WHV_39</vt:lpstr>
      <vt:lpstr>catdw_1_WZB_1</vt:lpstr>
      <vt:lpstr>catdw_1_WZV_39</vt:lpstr>
      <vt:lpstr>catdw_1_XBB_1</vt:lpstr>
      <vt:lpstr>catdw_3_VBHB_1</vt:lpstr>
      <vt:lpstr>catdw_3_VBZB_1</vt:lpstr>
      <vt:lpstr>catdw_3_VBZV_10</vt:lpstr>
      <vt:lpstr>catdw_3_VFHB_1</vt:lpstr>
      <vt:lpstr>catdw_3_VPHB_1</vt:lpstr>
      <vt:lpstr>catdw_3_VPHV_10</vt:lpstr>
      <vt:lpstr>catdw_3_VRHB_1</vt:lpstr>
      <vt:lpstr>catdw_3_VSHB_1</vt:lpstr>
      <vt:lpstr>catdw_3_VSHV_10</vt:lpstr>
      <vt:lpstr>catdw_3_VVHB_1</vt:lpstr>
      <vt:lpstr>catdw_3_VVHV_10</vt:lpstr>
      <vt:lpstr>catfd_1_AHB_1</vt:lpstr>
      <vt:lpstr>catfd_1_AHV_39</vt:lpstr>
      <vt:lpstr>catfd_1_BBHB_1</vt:lpstr>
      <vt:lpstr>catfd_1_BBHV_39</vt:lpstr>
      <vt:lpstr>catfd_1_BBZB_1</vt:lpstr>
      <vt:lpstr>catfd_1_BBZV_39</vt:lpstr>
      <vt:lpstr>catfd_1_BHB_1</vt:lpstr>
      <vt:lpstr>catfd_1_BHV_39</vt:lpstr>
      <vt:lpstr>catfd_1_BZB_1</vt:lpstr>
      <vt:lpstr>catfd_1_BZV_39</vt:lpstr>
      <vt:lpstr>catfd_1_CHB_1</vt:lpstr>
      <vt:lpstr>catfd_1_CHV_39</vt:lpstr>
      <vt:lpstr>catfd_1_CZB_1</vt:lpstr>
      <vt:lpstr>catfd_1_CZV_39</vt:lpstr>
      <vt:lpstr>catfd_1_DHB_1</vt:lpstr>
      <vt:lpstr>catfd_1_DHV_39</vt:lpstr>
      <vt:lpstr>catfd_1_FHB_1</vt:lpstr>
      <vt:lpstr>catfd_1_FHV_39</vt:lpstr>
      <vt:lpstr>catfd_1_LHB_1</vt:lpstr>
      <vt:lpstr>catfd_1_LHV_39</vt:lpstr>
      <vt:lpstr>catfd_1_LZB_1</vt:lpstr>
      <vt:lpstr>catfd_1_LZV_39</vt:lpstr>
      <vt:lpstr>catfd_1_MHB_1</vt:lpstr>
      <vt:lpstr>catfd_1_MHV_39</vt:lpstr>
      <vt:lpstr>catfd_1_PAHB_1</vt:lpstr>
      <vt:lpstr>catfd_1_PAHV_39</vt:lpstr>
      <vt:lpstr>catfd_1_PHB_1</vt:lpstr>
      <vt:lpstr>catfd_1_PHV_39</vt:lpstr>
      <vt:lpstr>catfd_1_RHB_1</vt:lpstr>
      <vt:lpstr>catfd_1_RHV_39</vt:lpstr>
      <vt:lpstr>catfd_1_SHB_1</vt:lpstr>
      <vt:lpstr>catfd_1_SHV_39</vt:lpstr>
      <vt:lpstr>catfd_1_THB_1</vt:lpstr>
      <vt:lpstr>catfd_1_THV_39</vt:lpstr>
      <vt:lpstr>catfd_1_VHB_1</vt:lpstr>
      <vt:lpstr>catfd_1_VHV_39</vt:lpstr>
      <vt:lpstr>catfd_1_VZB_1</vt:lpstr>
      <vt:lpstr>catfd_1_VZV_39</vt:lpstr>
      <vt:lpstr>catfd_1_WHB_1</vt:lpstr>
      <vt:lpstr>catfd_1_WHHB_1</vt:lpstr>
      <vt:lpstr>catfd_1_WHIHV_39</vt:lpstr>
      <vt:lpstr>catfd_1_WHV_39</vt:lpstr>
      <vt:lpstr>catfd_1_WZB_1</vt:lpstr>
      <vt:lpstr>catfd_1_WZV_39</vt:lpstr>
      <vt:lpstr>catfd_1_XBB_1</vt:lpstr>
      <vt:lpstr>catfd_3_VBHB_1</vt:lpstr>
      <vt:lpstr>catfd_3_VBZB_1</vt:lpstr>
      <vt:lpstr>catfd_3_VBZV_10</vt:lpstr>
      <vt:lpstr>catfd_3_VFHB_1</vt:lpstr>
      <vt:lpstr>catfd_3_VPHB_1</vt:lpstr>
      <vt:lpstr>catfd_3_VPHV_10</vt:lpstr>
      <vt:lpstr>catfd_3_VRHB_1</vt:lpstr>
      <vt:lpstr>catfd_3_VSHB_1</vt:lpstr>
      <vt:lpstr>catfd_3_VSHV_10</vt:lpstr>
      <vt:lpstr>catfd_3_VVHB_1</vt:lpstr>
      <vt:lpstr>catfd_3_VVHV_10</vt:lpstr>
      <vt:lpstr>catpn_1_AHB_1</vt:lpstr>
      <vt:lpstr>catpn_1_AHV_39</vt:lpstr>
      <vt:lpstr>catpn_1_BBHB_1</vt:lpstr>
      <vt:lpstr>catpn_1_BBHV_39</vt:lpstr>
      <vt:lpstr>catpn_1_BBZB_1</vt:lpstr>
      <vt:lpstr>catpn_1_BBZV_39</vt:lpstr>
      <vt:lpstr>catpn_1_BHB_1</vt:lpstr>
      <vt:lpstr>catpn_1_BHV_39</vt:lpstr>
      <vt:lpstr>catpn_1_BZB_1</vt:lpstr>
      <vt:lpstr>catpn_1_BZV_39</vt:lpstr>
      <vt:lpstr>catpn_1_CHB_1</vt:lpstr>
      <vt:lpstr>catpn_1_CHV_39</vt:lpstr>
      <vt:lpstr>catpn_1_CZB_1</vt:lpstr>
      <vt:lpstr>catpn_1_CZV_39</vt:lpstr>
      <vt:lpstr>catpn_1_DHB_1</vt:lpstr>
      <vt:lpstr>catpn_1_DHV_39</vt:lpstr>
      <vt:lpstr>catpn_1_FHB_1</vt:lpstr>
      <vt:lpstr>catpn_1_FHV_39</vt:lpstr>
      <vt:lpstr>catpn_1_LHB_1</vt:lpstr>
      <vt:lpstr>catpn_1_LHV_39</vt:lpstr>
      <vt:lpstr>catpn_1_LZB_1</vt:lpstr>
      <vt:lpstr>catpn_1_LZV_39</vt:lpstr>
      <vt:lpstr>catpn_1_MHB_1</vt:lpstr>
      <vt:lpstr>catpn_1_MHV_39</vt:lpstr>
      <vt:lpstr>catpn_1_PAHB_1</vt:lpstr>
      <vt:lpstr>catpn_1_PAHV_39</vt:lpstr>
      <vt:lpstr>catpn_1_PHB_1</vt:lpstr>
      <vt:lpstr>catpn_1_PHV_39</vt:lpstr>
      <vt:lpstr>catpn_1_RHB_1</vt:lpstr>
      <vt:lpstr>catpn_1_RHV_39</vt:lpstr>
      <vt:lpstr>catpn_1_SHB_1</vt:lpstr>
      <vt:lpstr>catpn_1_SHV_39</vt:lpstr>
      <vt:lpstr>catpn_1_THB_1</vt:lpstr>
      <vt:lpstr>catpn_1_THV_39</vt:lpstr>
      <vt:lpstr>catpn_1_VHB_1</vt:lpstr>
      <vt:lpstr>catpn_1_VHV_39</vt:lpstr>
      <vt:lpstr>catpn_1_VZB_1</vt:lpstr>
      <vt:lpstr>catpn_1_VZV_39</vt:lpstr>
      <vt:lpstr>catpn_1_WHB_1</vt:lpstr>
      <vt:lpstr>catpn_1_WHHB_1</vt:lpstr>
      <vt:lpstr>catpn_1_WHIHV_39</vt:lpstr>
      <vt:lpstr>catpn_1_WHV_39</vt:lpstr>
      <vt:lpstr>catpn_1_WZB_1</vt:lpstr>
      <vt:lpstr>catpn_1_WZV_39</vt:lpstr>
      <vt:lpstr>catpn_1_XBB_1</vt:lpstr>
      <vt:lpstr>catpn_3_VBHB_1</vt:lpstr>
      <vt:lpstr>catpn_3_VBZB_1</vt:lpstr>
      <vt:lpstr>catpn_3_VBZV_10</vt:lpstr>
      <vt:lpstr>catpn_3_VFHB_1</vt:lpstr>
      <vt:lpstr>catpn_3_VPHB_1</vt:lpstr>
      <vt:lpstr>catpn_3_VPHV_10</vt:lpstr>
      <vt:lpstr>catpn_3_VRHB_1</vt:lpstr>
      <vt:lpstr>catpn_3_VSHB_1</vt:lpstr>
      <vt:lpstr>catpn_3_VSHV_10</vt:lpstr>
      <vt:lpstr>catpn_3_VVHB_1</vt:lpstr>
      <vt:lpstr>catpn_3_VVHV_10</vt:lpstr>
      <vt:lpstr>cattf_1_AHB_1</vt:lpstr>
      <vt:lpstr>cattf_1_AHV_39</vt:lpstr>
      <vt:lpstr>cattf_1_BBHB_1</vt:lpstr>
      <vt:lpstr>cattf_1_BBHV_39</vt:lpstr>
      <vt:lpstr>cattf_1_BBZB_1</vt:lpstr>
      <vt:lpstr>cattf_1_BBZV_39</vt:lpstr>
      <vt:lpstr>cattf_1_BHB_1</vt:lpstr>
      <vt:lpstr>cattf_1_BHV_39</vt:lpstr>
      <vt:lpstr>cattf_1_BZB_1</vt:lpstr>
      <vt:lpstr>cattf_1_BZV_39</vt:lpstr>
      <vt:lpstr>cattf_1_CHB_1</vt:lpstr>
      <vt:lpstr>cattf_1_CHV_39</vt:lpstr>
      <vt:lpstr>cattf_1_CZB_1</vt:lpstr>
      <vt:lpstr>cattf_1_CZV_39</vt:lpstr>
      <vt:lpstr>cattf_1_DHB_1</vt:lpstr>
      <vt:lpstr>cattf_1_DHV_39</vt:lpstr>
      <vt:lpstr>cattf_1_FHB_1</vt:lpstr>
      <vt:lpstr>cattf_1_FHV_39</vt:lpstr>
      <vt:lpstr>cattf_1_LHB_1</vt:lpstr>
      <vt:lpstr>cattf_1_LHV_39</vt:lpstr>
      <vt:lpstr>cattf_1_LZB_1</vt:lpstr>
      <vt:lpstr>cattf_1_LZV_39</vt:lpstr>
      <vt:lpstr>cattf_1_MHB_1</vt:lpstr>
      <vt:lpstr>cattf_1_MHV_39</vt:lpstr>
      <vt:lpstr>cattf_1_PAHB_1</vt:lpstr>
      <vt:lpstr>cattf_1_PAHV_39</vt:lpstr>
      <vt:lpstr>cattf_1_PHB_1</vt:lpstr>
      <vt:lpstr>cattf_1_PHV_39</vt:lpstr>
      <vt:lpstr>cattf_1_RHB_1</vt:lpstr>
      <vt:lpstr>cattf_1_RHV_39</vt:lpstr>
      <vt:lpstr>cattf_1_SHB_1</vt:lpstr>
      <vt:lpstr>cattf_1_SHV_39</vt:lpstr>
      <vt:lpstr>cattf_1_THB_1</vt:lpstr>
      <vt:lpstr>cattf_1_THV_39</vt:lpstr>
      <vt:lpstr>cattf_1_VHB_1</vt:lpstr>
      <vt:lpstr>cattf_1_VHV_39</vt:lpstr>
      <vt:lpstr>cattf_1_VZB_1</vt:lpstr>
      <vt:lpstr>cattf_1_VZV_39</vt:lpstr>
      <vt:lpstr>cattf_1_WHB_1</vt:lpstr>
      <vt:lpstr>cattf_1_WHHB_1</vt:lpstr>
      <vt:lpstr>cattf_1_WHIHV_39</vt:lpstr>
      <vt:lpstr>cattf_1_WHV_39</vt:lpstr>
      <vt:lpstr>cattf_1_WZB_1</vt:lpstr>
      <vt:lpstr>cattf_1_WZV_39</vt:lpstr>
      <vt:lpstr>cattf_1_XBB_1</vt:lpstr>
      <vt:lpstr>cattf_3_VBHB_1</vt:lpstr>
      <vt:lpstr>cattf_3_VBZB_1</vt:lpstr>
      <vt:lpstr>cattf_3_VBZV_10</vt:lpstr>
      <vt:lpstr>cattf_3_VFHB_1</vt:lpstr>
      <vt:lpstr>cattf_3_VPHB_1</vt:lpstr>
      <vt:lpstr>cattf_3_VPHV_10</vt:lpstr>
      <vt:lpstr>cattf_3_VRHB_1</vt:lpstr>
      <vt:lpstr>cattf_3_VSHB_1</vt:lpstr>
      <vt:lpstr>cattf_3_VSHV_10</vt:lpstr>
      <vt:lpstr>cattf_3_VVHB_1</vt:lpstr>
      <vt:lpstr>cattf_3_VVHV_10</vt:lpstr>
      <vt:lpstr>dagenperjaar1</vt:lpstr>
      <vt:lpstr>dagenperweek1</vt:lpstr>
      <vt:lpstr>dagsoorttabel1</vt:lpstr>
      <vt:lpstr>dagwerk14</vt:lpstr>
      <vt:lpstr>dagwerk15</vt:lpstr>
      <vt:lpstr>dagwerk16</vt:lpstr>
      <vt:lpstr>dagwerk17</vt:lpstr>
      <vt:lpstr>dagwerk18</vt:lpstr>
      <vt:lpstr>dagwerk19</vt:lpstr>
      <vt:lpstr>dagwerk20</vt:lpstr>
      <vt:lpstr>dagwerk21</vt:lpstr>
      <vt:lpstr>dagwerk22</vt:lpstr>
      <vt:lpstr>dagwerk23</vt:lpstr>
      <vt:lpstr>dagwerk24</vt:lpstr>
      <vt:lpstr>dagwerk25</vt:lpstr>
      <vt:lpstr>dagwerk26</vt:lpstr>
      <vt:lpstr>dagwerk27</vt:lpstr>
      <vt:lpstr>dagwerk28</vt:lpstr>
      <vt:lpstr>dagwerk29</vt:lpstr>
      <vt:lpstr>dagwerk30</vt:lpstr>
      <vt:lpstr>dagwerk31</vt:lpstr>
      <vt:lpstr>dagwerk32</vt:lpstr>
      <vt:lpstr>dagwerk33</vt:lpstr>
      <vt:lpstr>dagwerk34</vt:lpstr>
      <vt:lpstr>dagwerk35</vt:lpstr>
      <vt:lpstr>dagwerk36</vt:lpstr>
      <vt:lpstr>dagwerk37</vt:lpstr>
      <vt:lpstr>dagwerk38</vt:lpstr>
      <vt:lpstr>dagwerk39</vt:lpstr>
      <vt:lpstr>dagwerk40</vt:lpstr>
      <vt:lpstr>dagwerk41</vt:lpstr>
      <vt:lpstr>dagwerk42</vt:lpstr>
      <vt:lpstr>dagwerk43</vt:lpstr>
      <vt:lpstr>dagwerk44</vt:lpstr>
      <vt:lpstr>dagwerk45</vt:lpstr>
      <vt:lpstr>dagwerk46</vt:lpstr>
      <vt:lpstr>dagwerk47</vt:lpstr>
      <vt:lpstr>dagwerk48</vt:lpstr>
      <vt:lpstr>dagwerk49</vt:lpstr>
      <vt:lpstr>dagwerk50</vt:lpstr>
      <vt:lpstr>dagwerk51</vt:lpstr>
      <vt:lpstr>dagwerk53</vt:lpstr>
      <vt:lpstr>dagwerk54</vt:lpstr>
      <vt:lpstr>dagwerk55</vt:lpstr>
      <vt:lpstr>dagwerk56</vt:lpstr>
      <vt:lpstr>dagwerk57</vt:lpstr>
      <vt:lpstr>dagwerk58</vt:lpstr>
      <vt:lpstr>dagwerk59</vt:lpstr>
      <vt:lpstr>dagwerk60</vt:lpstr>
      <vt:lpstr>dagwerk61</vt:lpstr>
      <vt:lpstr>dagwerk65</vt:lpstr>
      <vt:lpstr>dagwerktabel1</vt:lpstr>
      <vt:lpstr>dagwerktabel3</vt:lpstr>
      <vt:lpstr>dagwerktabel4</vt:lpstr>
      <vt:lpstr>gemuurtarief1</vt:lpstr>
      <vt:lpstr>gemuurtarief3</vt:lpstr>
      <vt:lpstr>gemuurtarief4</vt:lpstr>
      <vt:lpstr>kengetaltabel1</vt:lpstr>
      <vt:lpstr>kengetaltabel3</vt:lpstr>
      <vt:lpstr>kengetaltabel4</vt:lpstr>
      <vt:lpstr>object1_opptabel1</vt:lpstr>
      <vt:lpstr>object1_opptabel3</vt:lpstr>
      <vt:lpstr>object1_opptabel4</vt:lpstr>
      <vt:lpstr>objectprijs1_1</vt:lpstr>
      <vt:lpstr>objectprijs1_3</vt:lpstr>
      <vt:lpstr>objectprijs1_4</vt:lpstr>
      <vt:lpstr>objecturen1_1</vt:lpstr>
      <vt:lpstr>objecturen1_3</vt:lpstr>
      <vt:lpstr>objecturen1_4</vt:lpstr>
      <vt:lpstr>objecturenhf1_1</vt:lpstr>
      <vt:lpstr>objecturenhf1_3</vt:lpstr>
      <vt:lpstr>objecturenhf1_4</vt:lpstr>
      <vt:lpstr>prijsdag1</vt:lpstr>
      <vt:lpstr>prijsdag3</vt:lpstr>
      <vt:lpstr>prijsdag4</vt:lpstr>
      <vt:lpstr>prijsjaar</vt:lpstr>
      <vt:lpstr>prijsjaar1</vt:lpstr>
      <vt:lpstr>prijsjaar3</vt:lpstr>
      <vt:lpstr>prijsjaar4</vt:lpstr>
      <vt:lpstr>prijsjaarafroep</vt:lpstr>
      <vt:lpstr>prijsjaarafroep1</vt:lpstr>
      <vt:lpstr>prijsjaarafroep4</vt:lpstr>
      <vt:lpstr>prijsjaarglas</vt:lpstr>
      <vt:lpstr>prijsjaarglas1</vt:lpstr>
      <vt:lpstr>prijsjaarnietmeewerkend</vt:lpstr>
      <vt:lpstr>prijsjaarregie</vt:lpstr>
      <vt:lpstr>prijsjaarregie1</vt:lpstr>
      <vt:lpstr>prijsjaartotaal</vt:lpstr>
      <vt:lpstr>prijsjaartotaal1</vt:lpstr>
      <vt:lpstr>prijsjaartotaal3</vt:lpstr>
      <vt:lpstr>prijsjaartotaal4</vt:lpstr>
      <vt:lpstr>prijsjaartotaaloverzicht</vt:lpstr>
      <vt:lpstr>prijsmaandtotaal1</vt:lpstr>
      <vt:lpstr>prijsmaandtotaal3</vt:lpstr>
      <vt:lpstr>prijsmaandtotaal4</vt:lpstr>
      <vt:lpstr>prodnorm14</vt:lpstr>
      <vt:lpstr>prodnorm15</vt:lpstr>
      <vt:lpstr>prodnorm16</vt:lpstr>
      <vt:lpstr>prodnorm17</vt:lpstr>
      <vt:lpstr>prodnorm18</vt:lpstr>
      <vt:lpstr>prodnorm19</vt:lpstr>
      <vt:lpstr>prodnorm20</vt:lpstr>
      <vt:lpstr>prodnorm21</vt:lpstr>
      <vt:lpstr>prodnorm22</vt:lpstr>
      <vt:lpstr>prodnorm23</vt:lpstr>
      <vt:lpstr>prodnorm24</vt:lpstr>
      <vt:lpstr>prodnorm25</vt:lpstr>
      <vt:lpstr>prodnorm26</vt:lpstr>
      <vt:lpstr>prodnorm27</vt:lpstr>
      <vt:lpstr>prodnorm28</vt:lpstr>
      <vt:lpstr>prodnorm29</vt:lpstr>
      <vt:lpstr>prodnorm30</vt:lpstr>
      <vt:lpstr>prodnorm31</vt:lpstr>
      <vt:lpstr>prodnorm32</vt:lpstr>
      <vt:lpstr>prodnorm33</vt:lpstr>
      <vt:lpstr>prodnorm34</vt:lpstr>
      <vt:lpstr>prodnorm35</vt:lpstr>
      <vt:lpstr>prodnorm36</vt:lpstr>
      <vt:lpstr>prodnorm37</vt:lpstr>
      <vt:lpstr>prodnorm38</vt:lpstr>
      <vt:lpstr>prodnorm39</vt:lpstr>
      <vt:lpstr>prodnorm40</vt:lpstr>
      <vt:lpstr>prodnorm41</vt:lpstr>
      <vt:lpstr>prodnorm42</vt:lpstr>
      <vt:lpstr>prodnorm43</vt:lpstr>
      <vt:lpstr>prodnorm44</vt:lpstr>
      <vt:lpstr>prodnorm45</vt:lpstr>
      <vt:lpstr>prodnorm46</vt:lpstr>
      <vt:lpstr>prodnorm47</vt:lpstr>
      <vt:lpstr>prodnorm48</vt:lpstr>
      <vt:lpstr>prodnorm49</vt:lpstr>
      <vt:lpstr>prodnorm50</vt:lpstr>
      <vt:lpstr>prodnorm51</vt:lpstr>
      <vt:lpstr>prodnorm53</vt:lpstr>
      <vt:lpstr>prodnorm54</vt:lpstr>
      <vt:lpstr>prodnorm55</vt:lpstr>
      <vt:lpstr>prodnorm56</vt:lpstr>
      <vt:lpstr>prodnorm57</vt:lpstr>
      <vt:lpstr>prodnorm58</vt:lpstr>
      <vt:lpstr>prodnorm59</vt:lpstr>
      <vt:lpstr>prodnorm60</vt:lpstr>
      <vt:lpstr>prodnorm61</vt:lpstr>
      <vt:lpstr>prodnorm65</vt:lpstr>
      <vt:lpstr>taakfreqtabel1</vt:lpstr>
      <vt:lpstr>taakfreqtabel3</vt:lpstr>
      <vt:lpstr>taakfreqtabel4</vt:lpstr>
      <vt:lpstr>tabeltype</vt:lpstr>
      <vt:lpstr>tarieftabel1</vt:lpstr>
      <vt:lpstr>tarieftabel3</vt:lpstr>
      <vt:lpstr>tarieftabel4</vt:lpstr>
      <vt:lpstr>tzpjt1</vt:lpstr>
      <vt:lpstr>tzpjt1_1</vt:lpstr>
      <vt:lpstr>tzpjt1_3</vt:lpstr>
      <vt:lpstr>tzpjt1_4</vt:lpstr>
      <vt:lpstr>tzpjt3</vt:lpstr>
      <vt:lpstr>tzpjt4</vt:lpstr>
      <vt:lpstr>tzpmt1</vt:lpstr>
      <vt:lpstr>tzpmt1_1</vt:lpstr>
      <vt:lpstr>tzpmt1_3</vt:lpstr>
      <vt:lpstr>tzpmt1_4</vt:lpstr>
      <vt:lpstr>tzpmt3</vt:lpstr>
      <vt:lpstr>tzpmt4</vt:lpstr>
      <vt:lpstr>tzujt1</vt:lpstr>
      <vt:lpstr>tzujt1_1</vt:lpstr>
      <vt:lpstr>tzujt1_3</vt:lpstr>
      <vt:lpstr>tzujt1_4</vt:lpstr>
      <vt:lpstr>tzujt3</vt:lpstr>
      <vt:lpstr>tzujt4</vt:lpstr>
      <vt:lpstr>urendag1</vt:lpstr>
      <vt:lpstr>urendag3</vt:lpstr>
      <vt:lpstr>urendag4</vt:lpstr>
      <vt:lpstr>urenjaar</vt:lpstr>
      <vt:lpstr>urenjaar1</vt:lpstr>
      <vt:lpstr>urenjaar3</vt:lpstr>
      <vt:lpstr>urenjaar4</vt:lpstr>
      <vt:lpstr>urenjaarafroep</vt:lpstr>
      <vt:lpstr>urenjaarafroep1</vt:lpstr>
      <vt:lpstr>urenjaarafroep4</vt:lpstr>
      <vt:lpstr>urenjaarglas</vt:lpstr>
      <vt:lpstr>urenjaarglas1</vt:lpstr>
      <vt:lpstr>urenjaarnietmeewerkend</vt:lpstr>
      <vt:lpstr>urenjaarregie</vt:lpstr>
      <vt:lpstr>urenjaarregie1</vt:lpstr>
      <vt:lpstr>urenjaartotaal</vt:lpstr>
      <vt:lpstr>urenjaartotaal1</vt:lpstr>
      <vt:lpstr>urenjaartotaal3</vt:lpstr>
      <vt:lpstr>urenjaartotaal4</vt:lpstr>
      <vt:lpstr>urenjaartotaalhf</vt:lpstr>
      <vt:lpstr>urenjaartotaalhf1</vt:lpstr>
      <vt:lpstr>urenjaartotaalhf3</vt:lpstr>
      <vt:lpstr>urenjaartotaalhf4</vt:lpstr>
      <vt:lpstr>urenjaartotaaloverzicht</vt:lpstr>
      <vt:lpstr>urenjaartotaaloverzichthf</vt:lpstr>
      <vt:lpstr>uurfactortabel1</vt:lpstr>
      <vt:lpstr>uurfactortabel3</vt:lpstr>
      <vt:lpstr>uurfactortabel4</vt:lpstr>
      <vt:lpstr>uurtarief14</vt:lpstr>
      <vt:lpstr>uurtarief15</vt:lpstr>
      <vt:lpstr>uurtarief16</vt:lpstr>
      <vt:lpstr>uurtarief17</vt:lpstr>
      <vt:lpstr>uurtarief18</vt:lpstr>
      <vt:lpstr>uurtarief19</vt:lpstr>
      <vt:lpstr>uurtarief20</vt:lpstr>
      <vt:lpstr>uurtarief21</vt:lpstr>
      <vt:lpstr>uurtarief22</vt:lpstr>
      <vt:lpstr>uurtarief23</vt:lpstr>
      <vt:lpstr>uurtarief24</vt:lpstr>
      <vt:lpstr>uurtarief25</vt:lpstr>
      <vt:lpstr>uurtarief26</vt:lpstr>
      <vt:lpstr>uurtarief27</vt:lpstr>
      <vt:lpstr>uurtarief28</vt:lpstr>
      <vt:lpstr>uurtarief29</vt:lpstr>
      <vt:lpstr>uurtarief30</vt:lpstr>
      <vt:lpstr>uurtarief31</vt:lpstr>
      <vt:lpstr>uurtarief32</vt:lpstr>
      <vt:lpstr>uurtarief33</vt:lpstr>
      <vt:lpstr>uurtarief34</vt:lpstr>
      <vt:lpstr>uurtarief35</vt:lpstr>
      <vt:lpstr>uurtarief36</vt:lpstr>
      <vt:lpstr>uurtarief37</vt:lpstr>
      <vt:lpstr>uurtarief38</vt:lpstr>
      <vt:lpstr>uurtarief39</vt:lpstr>
      <vt:lpstr>uurtarief40</vt:lpstr>
      <vt:lpstr>uurtarief41</vt:lpstr>
      <vt:lpstr>uurtarief42</vt:lpstr>
      <vt:lpstr>uurtarief43</vt:lpstr>
      <vt:lpstr>uurtarief44</vt:lpstr>
      <vt:lpstr>uurtarief45</vt:lpstr>
      <vt:lpstr>uurtarief46</vt:lpstr>
      <vt:lpstr>uurtarief47</vt:lpstr>
      <vt:lpstr>uurtarief48</vt:lpstr>
      <vt:lpstr>uurtarief49</vt:lpstr>
      <vt:lpstr>uurtarief50</vt:lpstr>
      <vt:lpstr>uurtarief51</vt:lpstr>
      <vt:lpstr>uurtarief53</vt:lpstr>
      <vt:lpstr>uurtarief54</vt:lpstr>
      <vt:lpstr>uurtarief55</vt:lpstr>
      <vt:lpstr>uurtarief56</vt:lpstr>
      <vt:lpstr>uurtarief57</vt:lpstr>
      <vt:lpstr>uurtarief58</vt:lpstr>
      <vt:lpstr>uurtarief59</vt:lpstr>
      <vt:lpstr>uurtarief60</vt:lpstr>
      <vt:lpstr>uurtarief61</vt:lpstr>
      <vt:lpstr>uurtarief65</vt:lpstr>
    </vt:vector>
  </TitlesOfParts>
  <Company>Intexso Adviesbureau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Maaike Schmelling</dc:creator>
  <cp:lastModifiedBy>Maaike Schmelling</cp:lastModifiedBy>
  <dcterms:created xsi:type="dcterms:W3CDTF">2023-03-13T10:04:08Z</dcterms:created>
  <dcterms:modified xsi:type="dcterms:W3CDTF">2023-03-13T13:01:20Z</dcterms:modified>
</cp:coreProperties>
</file>