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OMO\Aanbesteding schoonmaak 2022-2023\Bijlagen\"/>
    </mc:Choice>
  </mc:AlternateContent>
  <xr:revisionPtr revIDLastSave="0" documentId="8_{FA0A848E-2DC8-4F97-9C20-F36FB5B573CE}" xr6:coauthVersionLast="47" xr6:coauthVersionMax="47" xr10:uidLastSave="{00000000-0000-0000-0000-000000000000}"/>
  <bookViews>
    <workbookView xWindow="30617" yWindow="-103" windowWidth="30926" windowHeight="16766" activeTab="1" xr2:uid="{1A5D62EB-E07B-4742-AE4F-9DE980B387EB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froep incidenteel" sheetId="9" r:id="rId9"/>
    <sheet name="Regiewerk" sheetId="10" r:id="rId10"/>
    <sheet name="Totaal" sheetId="11" r:id="rId11"/>
  </sheets>
  <definedNames>
    <definedName name="_xlnm.Print_Titles" localSheetId="8">'Afroep incidenteel'!$1:$3</definedName>
    <definedName name="_xlnm.Print_Titles" localSheetId="1">Categorienormen!$1:$3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9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0">Totaal!$1:$3</definedName>
    <definedName name="_xlnm.Print_Titles" localSheetId="7">'Totaalblad Objecten'!$A:$A,'Totaalblad Objecten'!$1:$3</definedName>
    <definedName name="catdw_1_BKHB_1">Categorienormen!$F$35</definedName>
    <definedName name="catdw_1_BKHV_43">Categorienormen!$F$36</definedName>
    <definedName name="catdw_1_BKZB_1">Categorienormen!$F$37</definedName>
    <definedName name="catdw_1_BKZV_43">Categorienormen!$F$38</definedName>
    <definedName name="catdw_1_GFHB_1">Categorienormen!$F$6</definedName>
    <definedName name="catdw_1_GFHV_43">Categorienormen!$F$7</definedName>
    <definedName name="catdw_1_GSHB_1">Categorienormen!$F$8</definedName>
    <definedName name="catdw_1_GSHV_43">Categorienormen!$F$9</definedName>
    <definedName name="catdw_1_KAHB_1">Categorienormen!$F$16</definedName>
    <definedName name="catdw_1_KAHV_43">Categorienormen!$F$17</definedName>
    <definedName name="catdw_1_KDHB_1">Categorienormen!$F$18</definedName>
    <definedName name="catdw_1_KDHV_43">Categorienormen!$F$19</definedName>
    <definedName name="catdw_1_KKHB_1">Categorienormen!$F$20</definedName>
    <definedName name="catdw_1_KKHV_43">Categorienormen!$F$21</definedName>
    <definedName name="catdw_1_LAHB_1">Categorienormen!$F$39</definedName>
    <definedName name="catdw_1_LAHV_43">Categorienormen!$F$40</definedName>
    <definedName name="catdw_1_LLHB_1">Categorienormen!$F$41</definedName>
    <definedName name="catdw_1_LLHV_43">Categorienormen!$F$42</definedName>
    <definedName name="catdw_1_LLZB_1">Categorienormen!$F$43</definedName>
    <definedName name="catdw_1_LLZV_43">Categorienormen!$F$44</definedName>
    <definedName name="catdw_1_LOHB_1">Categorienormen!$F$45</definedName>
    <definedName name="catdw_1_LOHV_43">Categorienormen!$F$46</definedName>
    <definedName name="catdw_1_OAHB_1">Categorienormen!$F$22</definedName>
    <definedName name="catdw_1_OAHV_12">Categorienormen!$F$23</definedName>
    <definedName name="catdw_1_PAHB_1">Categorienormen!$F$47</definedName>
    <definedName name="catdw_1_PAHV_43">Categorienormen!$F$48</definedName>
    <definedName name="catdw_1_PLHB_1">Categorienormen!$F$49</definedName>
    <definedName name="catdw_1_PLHV_43">Categorienormen!$F$50</definedName>
    <definedName name="catdw_1_PSHB_1">Categorienormen!$F$51</definedName>
    <definedName name="catdw_1_PSHV_43">Categorienormen!$F$52</definedName>
    <definedName name="catdw_1_SDHB_1">Categorienormen!$F$10</definedName>
    <definedName name="catdw_1_SDHV_43">Categorienormen!$F$11</definedName>
    <definedName name="catdw_1_SKHB_1">Categorienormen!$F$12</definedName>
    <definedName name="catdw_1_SKHV_43">Categorienormen!$F$13</definedName>
    <definedName name="catdw_1_STHB_1">Categorienormen!$F$14</definedName>
    <definedName name="catdw_1_STHV_43">Categorienormen!$F$15</definedName>
    <definedName name="catdw_1_VAHB_1">Categorienormen!$F$24</definedName>
    <definedName name="catdw_1_VAHV_12">Categorienormen!$F$25</definedName>
    <definedName name="catdw_1_VAHV_43">Categorienormen!$F$26</definedName>
    <definedName name="catdw_1_VEHB_1">Categorienormen!$F$27</definedName>
    <definedName name="catdw_1_VEHV_43">Categorienormen!$F$28</definedName>
    <definedName name="catdw_1_VEZB_1">Categorienormen!$F$29</definedName>
    <definedName name="catdw_1_VEZV_43">Categorienormen!$F$30</definedName>
    <definedName name="catdw_1_VOHB_1">Categorienormen!$F$31</definedName>
    <definedName name="catdw_1_VOHV_43">Categorienormen!$F$32</definedName>
    <definedName name="catdw_1_VTHB_1">Categorienormen!$F$33</definedName>
    <definedName name="catdw_1_VTHV_43">Categorienormen!$F$34</definedName>
    <definedName name="catfd_1_BKHB_1">Categorienormen!$C$35</definedName>
    <definedName name="catfd_1_BKHV_43">Categorienormen!$C$36</definedName>
    <definedName name="catfd_1_BKZB_1">Categorienormen!$C$37</definedName>
    <definedName name="catfd_1_BKZV_43">Categorienormen!$C$38</definedName>
    <definedName name="catfd_1_GFHB_1">Categorienormen!$C$6</definedName>
    <definedName name="catfd_1_GFHV_43">Categorienormen!$C$7</definedName>
    <definedName name="catfd_1_GSHB_1">Categorienormen!$C$8</definedName>
    <definedName name="catfd_1_GSHV_43">Categorienormen!$C$9</definedName>
    <definedName name="catfd_1_KAHB_1">Categorienormen!$C$16</definedName>
    <definedName name="catfd_1_KAHV_43">Categorienormen!$C$17</definedName>
    <definedName name="catfd_1_KDHB_1">Categorienormen!$C$18</definedName>
    <definedName name="catfd_1_KDHV_43">Categorienormen!$C$19</definedName>
    <definedName name="catfd_1_KKHB_1">Categorienormen!$C$20</definedName>
    <definedName name="catfd_1_KKHV_43">Categorienormen!$C$21</definedName>
    <definedName name="catfd_1_LAHB_1">Categorienormen!$C$39</definedName>
    <definedName name="catfd_1_LAHV_43">Categorienormen!$C$40</definedName>
    <definedName name="catfd_1_LLHB_1">Categorienormen!$C$41</definedName>
    <definedName name="catfd_1_LLHV_43">Categorienormen!$C$42</definedName>
    <definedName name="catfd_1_LLZB_1">Categorienormen!$C$43</definedName>
    <definedName name="catfd_1_LLZV_43">Categorienormen!$C$44</definedName>
    <definedName name="catfd_1_LOHB_1">Categorienormen!$C$45</definedName>
    <definedName name="catfd_1_LOHV_43">Categorienormen!$C$46</definedName>
    <definedName name="catfd_1_OAHB_1">Categorienormen!$C$22</definedName>
    <definedName name="catfd_1_OAHV_12">Categorienormen!$C$23</definedName>
    <definedName name="catfd_1_PAHB_1">Categorienormen!$C$47</definedName>
    <definedName name="catfd_1_PAHV_43">Categorienormen!$C$48</definedName>
    <definedName name="catfd_1_PLHB_1">Categorienormen!$C$49</definedName>
    <definedName name="catfd_1_PLHV_43">Categorienormen!$C$50</definedName>
    <definedName name="catfd_1_PSHB_1">Categorienormen!$C$51</definedName>
    <definedName name="catfd_1_PSHV_43">Categorienormen!$C$52</definedName>
    <definedName name="catfd_1_SDHB_1">Categorienormen!$C$10</definedName>
    <definedName name="catfd_1_SDHV_43">Categorienormen!$C$11</definedName>
    <definedName name="catfd_1_SKHB_1">Categorienormen!$C$12</definedName>
    <definedName name="catfd_1_SKHV_43">Categorienormen!$C$13</definedName>
    <definedName name="catfd_1_STHB_1">Categorienormen!$C$14</definedName>
    <definedName name="catfd_1_STHV_43">Categorienormen!$C$15</definedName>
    <definedName name="catfd_1_VAHB_1">Categorienormen!$C$24</definedName>
    <definedName name="catfd_1_VAHV_12">Categorienormen!$C$25</definedName>
    <definedName name="catfd_1_VAHV_43">Categorienormen!$C$26</definedName>
    <definedName name="catfd_1_VEHB_1">Categorienormen!$C$27</definedName>
    <definedName name="catfd_1_VEHV_43">Categorienormen!$C$28</definedName>
    <definedName name="catfd_1_VEZB_1">Categorienormen!$C$29</definedName>
    <definedName name="catfd_1_VEZV_43">Categorienormen!$C$30</definedName>
    <definedName name="catfd_1_VOHB_1">Categorienormen!$C$31</definedName>
    <definedName name="catfd_1_VOHV_43">Categorienormen!$C$32</definedName>
    <definedName name="catfd_1_VTHB_1">Categorienormen!$C$33</definedName>
    <definedName name="catfd_1_VTHV_43">Categorienormen!$C$34</definedName>
    <definedName name="catpn_1_BKHB_1">Categorienormen!$E$35</definedName>
    <definedName name="catpn_1_BKHV_43">Categorienormen!$E$36</definedName>
    <definedName name="catpn_1_BKZB_1">Categorienormen!$E$37</definedName>
    <definedName name="catpn_1_BKZV_43">Categorienormen!$E$38</definedName>
    <definedName name="catpn_1_GFHB_1">Categorienormen!$E$6</definedName>
    <definedName name="catpn_1_GFHV_43">Categorienormen!$E$7</definedName>
    <definedName name="catpn_1_GSHB_1">Categorienormen!$E$8</definedName>
    <definedName name="catpn_1_GSHV_43">Categorienormen!$E$9</definedName>
    <definedName name="catpn_1_KAHB_1">Categorienormen!$E$16</definedName>
    <definedName name="catpn_1_KAHV_43">Categorienormen!$E$17</definedName>
    <definedName name="catpn_1_KDHB_1">Categorienormen!$E$18</definedName>
    <definedName name="catpn_1_KDHV_43">Categorienormen!$E$19</definedName>
    <definedName name="catpn_1_KKHB_1">Categorienormen!$E$20</definedName>
    <definedName name="catpn_1_KKHV_43">Categorienormen!$E$21</definedName>
    <definedName name="catpn_1_LAHB_1">Categorienormen!$E$39</definedName>
    <definedName name="catpn_1_LAHV_43">Categorienormen!$E$40</definedName>
    <definedName name="catpn_1_LLHB_1">Categorienormen!$E$41</definedName>
    <definedName name="catpn_1_LLHV_43">Categorienormen!$E$42</definedName>
    <definedName name="catpn_1_LLZB_1">Categorienormen!$E$43</definedName>
    <definedName name="catpn_1_LLZV_43">Categorienormen!$E$44</definedName>
    <definedName name="catpn_1_LOHB_1">Categorienormen!$E$45</definedName>
    <definedName name="catpn_1_LOHV_43">Categorienormen!$E$46</definedName>
    <definedName name="catpn_1_OAHB_1">Categorienormen!$E$22</definedName>
    <definedName name="catpn_1_OAHV_12">Categorienormen!$E$23</definedName>
    <definedName name="catpn_1_PAHB_1">Categorienormen!$E$47</definedName>
    <definedName name="catpn_1_PAHV_43">Categorienormen!$E$48</definedName>
    <definedName name="catpn_1_PLHB_1">Categorienormen!$E$49</definedName>
    <definedName name="catpn_1_PLHV_43">Categorienormen!$E$50</definedName>
    <definedName name="catpn_1_PSHB_1">Categorienormen!$E$51</definedName>
    <definedName name="catpn_1_PSHV_43">Categorienormen!$E$52</definedName>
    <definedName name="catpn_1_SDHB_1">Categorienormen!$E$10</definedName>
    <definedName name="catpn_1_SDHV_43">Categorienormen!$E$11</definedName>
    <definedName name="catpn_1_SKHB_1">Categorienormen!$E$12</definedName>
    <definedName name="catpn_1_SKHV_43">Categorienormen!$E$13</definedName>
    <definedName name="catpn_1_STHB_1">Categorienormen!$E$14</definedName>
    <definedName name="catpn_1_STHV_43">Categorienormen!$E$15</definedName>
    <definedName name="catpn_1_VAHB_1">Categorienormen!$E$24</definedName>
    <definedName name="catpn_1_VAHV_12">Categorienormen!$E$25</definedName>
    <definedName name="catpn_1_VAHV_43">Categorienormen!$E$26</definedName>
    <definedName name="catpn_1_VEHB_1">Categorienormen!$E$27</definedName>
    <definedName name="catpn_1_VEHV_43">Categorienormen!$E$28</definedName>
    <definedName name="catpn_1_VEZB_1">Categorienormen!$E$29</definedName>
    <definedName name="catpn_1_VEZV_43">Categorienormen!$E$30</definedName>
    <definedName name="catpn_1_VOHB_1">Categorienormen!$E$31</definedName>
    <definedName name="catpn_1_VOHV_43">Categorienormen!$E$32</definedName>
    <definedName name="catpn_1_VTHB_1">Categorienormen!$E$33</definedName>
    <definedName name="catpn_1_VTHV_43">Categorienormen!$E$34</definedName>
    <definedName name="cattf_1_BKHB_1">Categorienormen!$H$35</definedName>
    <definedName name="cattf_1_BKHV_43">Categorienormen!$H$36</definedName>
    <definedName name="cattf_1_BKZB_1">Categorienormen!$H$37</definedName>
    <definedName name="cattf_1_BKZV_43">Categorienormen!$H$38</definedName>
    <definedName name="cattf_1_GFHB_1">Categorienormen!$H$6</definedName>
    <definedName name="cattf_1_GFHV_43">Categorienormen!$H$7</definedName>
    <definedName name="cattf_1_GSHB_1">Categorienormen!$H$8</definedName>
    <definedName name="cattf_1_GSHV_43">Categorienormen!$H$9</definedName>
    <definedName name="cattf_1_KAHB_1">Categorienormen!$H$16</definedName>
    <definedName name="cattf_1_KAHV_43">Categorienormen!$H$17</definedName>
    <definedName name="cattf_1_KDHB_1">Categorienormen!$H$18</definedName>
    <definedName name="cattf_1_KDHV_43">Categorienormen!$H$19</definedName>
    <definedName name="cattf_1_KKHB_1">Categorienormen!$H$20</definedName>
    <definedName name="cattf_1_KKHV_43">Categorienormen!$H$21</definedName>
    <definedName name="cattf_1_LAHB_1">Categorienormen!$H$39</definedName>
    <definedName name="cattf_1_LAHV_43">Categorienormen!$H$40</definedName>
    <definedName name="cattf_1_LLHB_1">Categorienormen!$H$41</definedName>
    <definedName name="cattf_1_LLHV_43">Categorienormen!$H$42</definedName>
    <definedName name="cattf_1_LLZB_1">Categorienormen!$H$43</definedName>
    <definedName name="cattf_1_LLZV_43">Categorienormen!$H$44</definedName>
    <definedName name="cattf_1_LOHB_1">Categorienormen!$H$45</definedName>
    <definedName name="cattf_1_LOHV_43">Categorienormen!$H$46</definedName>
    <definedName name="cattf_1_OAHB_1">Categorienormen!$H$22</definedName>
    <definedName name="cattf_1_OAHV_12">Categorienormen!$H$23</definedName>
    <definedName name="cattf_1_PAHB_1">Categorienormen!$H$47</definedName>
    <definedName name="cattf_1_PAHV_43">Categorienormen!$H$48</definedName>
    <definedName name="cattf_1_PLHB_1">Categorienormen!$H$49</definedName>
    <definedName name="cattf_1_PLHV_43">Categorienormen!$H$50</definedName>
    <definedName name="cattf_1_PSHB_1">Categorienormen!$H$51</definedName>
    <definedName name="cattf_1_PSHV_43">Categorienormen!$H$52</definedName>
    <definedName name="cattf_1_SDHB_1">Categorienormen!$H$10</definedName>
    <definedName name="cattf_1_SDHV_43">Categorienormen!$H$11</definedName>
    <definedName name="cattf_1_SKHB_1">Categorienormen!$H$12</definedName>
    <definedName name="cattf_1_SKHV_43">Categorienormen!$H$13</definedName>
    <definedName name="cattf_1_STHB_1">Categorienormen!$H$14</definedName>
    <definedName name="cattf_1_STHV_43">Categorienormen!$H$15</definedName>
    <definedName name="cattf_1_VAHB_1">Categorienormen!$H$24</definedName>
    <definedName name="cattf_1_VAHV_12">Categorienormen!$H$25</definedName>
    <definedName name="cattf_1_VAHV_43">Categorienormen!$H$26</definedName>
    <definedName name="cattf_1_VEHB_1">Categorienormen!$H$27</definedName>
    <definedName name="cattf_1_VEHV_43">Categorienormen!$H$28</definedName>
    <definedName name="cattf_1_VEZB_1">Categorienormen!$H$29</definedName>
    <definedName name="cattf_1_VEZV_43">Categorienormen!$H$30</definedName>
    <definedName name="cattf_1_VOHB_1">Categorienormen!$H$31</definedName>
    <definedName name="cattf_1_VOHV_43">Categorienormen!$H$32</definedName>
    <definedName name="cattf_1_VTHB_1">Categorienormen!$H$33</definedName>
    <definedName name="cattf_1_VTHV_43">Categorienormen!$H$34</definedName>
    <definedName name="dagenperjaar1">Omreken!$B$9</definedName>
    <definedName name="dagenperjaar2">Omreken!$E$9</definedName>
    <definedName name="dagenperjaar3">Omreken!$H$9</definedName>
    <definedName name="dagenperjaar4">Omreken!$K$9</definedName>
    <definedName name="dagenperweek1">Omreken!$B$10</definedName>
    <definedName name="dagenperweek2">Omreken!$E$10</definedName>
    <definedName name="dagenperweek3">Omreken!$H$10</definedName>
    <definedName name="dagenperweek4">Omreken!$K$10</definedName>
    <definedName name="dagsoorttabel1">Omreken!$A$13:$B$28</definedName>
    <definedName name="dagsoorttabel2">Omreken!$D$13:$E$24</definedName>
    <definedName name="dagsoorttabel3">Omreken!$G$13:$H$24</definedName>
    <definedName name="dagsoorttabel4">Omreken!$J$13:$K$15</definedName>
    <definedName name="dagwerk1">'Regulier werk'!$H$6</definedName>
    <definedName name="dagwerk10">'Regulier werk'!$H$15</definedName>
    <definedName name="dagwerk11">'Regulier werk'!$H$16</definedName>
    <definedName name="dagwerk12">'Regulier werk'!$H$17</definedName>
    <definedName name="dagwerk13">'Regulier werk'!$H$18</definedName>
    <definedName name="dagwerk14">'Regulier werk'!$H$19</definedName>
    <definedName name="dagwerk15">'Regulier werk'!$H$20</definedName>
    <definedName name="dagwerk16">'Regulier werk'!$H$21</definedName>
    <definedName name="dagwerk17">'Regulier werk'!$H$22</definedName>
    <definedName name="dagwerk18">'Regulier werk'!$H$23</definedName>
    <definedName name="dagwerk19">'Regulier werk'!$H$24</definedName>
    <definedName name="dagwerk2">'Regulier werk'!$H$7</definedName>
    <definedName name="dagwerk20">'Regulier werk'!$H$25</definedName>
    <definedName name="dagwerk21">'Regulier werk'!$H$26</definedName>
    <definedName name="dagwerk22">'Regulier werk'!$H$27</definedName>
    <definedName name="dagwerk23">'Regulier werk'!$H$28</definedName>
    <definedName name="dagwerk24">'Regulier werk'!$H$29</definedName>
    <definedName name="dagwerk25">'Regulier werk'!$H$30</definedName>
    <definedName name="dagwerk26">'Regulier werk'!$H$31</definedName>
    <definedName name="dagwerk27">'Regulier werk'!$H$32</definedName>
    <definedName name="dagwerk28">'Regulier werk'!$H$33</definedName>
    <definedName name="dagwerk29">'Regulier werk'!$H$34</definedName>
    <definedName name="dagwerk3">'Regulier werk'!$H$8</definedName>
    <definedName name="dagwerk30">'Regulier werk'!$H$35</definedName>
    <definedName name="dagwerk4">'Regulier werk'!$H$9</definedName>
    <definedName name="dagwerk5">'Regulier werk'!$H$10</definedName>
    <definedName name="dagwerk6">'Regulier werk'!$H$11</definedName>
    <definedName name="dagwerk7">'Regulier werk'!$H$12</definedName>
    <definedName name="dagwerk8">'Regulier werk'!$H$13</definedName>
    <definedName name="dagwerk9">'Regulier werk'!$H$14</definedName>
    <definedName name="dagwerktabel1">Objectinformatie!$H$5:$H$34</definedName>
    <definedName name="gemuurtarief1">'Regulier werk'!$J$38</definedName>
    <definedName name="kengetaltabel1">Objectinformatie!$G$5:$G$34</definedName>
    <definedName name="object1_gemuurtarief1">'Ruimten werkdag'!$Q$209</definedName>
    <definedName name="object1_opptabel1">Objectinformatie!$J$5:$J$34</definedName>
    <definedName name="object1_prijsdag1">'Ruimten werkdag'!$T$209</definedName>
    <definedName name="object1_prijsjaar1">'Ruimten werkdag'!$V$209</definedName>
    <definedName name="object1_urendag1">'Ruimten werkdag'!$R$209</definedName>
    <definedName name="object1_urendaghf1">'Ruimten werkdag'!$S$209</definedName>
    <definedName name="object1_urenjaar1">'Ruimten werkdag'!$U$209</definedName>
    <definedName name="objectprijs1_1">Objecten!$L$6</definedName>
    <definedName name="objecturen1_1">Objecten!$K$6</definedName>
    <definedName name="objecturenhf1_1">Objecten!$J$6</definedName>
    <definedName name="prijsdag1">'Regulier werk'!$L$36</definedName>
    <definedName name="prijsjaar">'Regulier werk'!$N$41</definedName>
    <definedName name="prijsjaar1">'Regulier werk'!$N$36</definedName>
    <definedName name="prijsjaarnietmeewerkend">'Niet-meewerkende objectleiding'!$J$17</definedName>
    <definedName name="prijsjaarregie">Regiewerk!$K$11</definedName>
    <definedName name="prijsjaarregie1">Regiewerk!$K$9</definedName>
    <definedName name="prijsjaartotaal">Objecten!$L$10</definedName>
    <definedName name="prijsjaartotaal1">Objecten!$L$7</definedName>
    <definedName name="prijsjaartotaaloverzicht">'Totaalblad Objecten'!$B$12</definedName>
    <definedName name="prijsmaandtotaal1">Objecten!$M$7</definedName>
    <definedName name="prodnorm1">'Regulier werk'!$G$6</definedName>
    <definedName name="prodnorm10">'Regulier werk'!$G$15</definedName>
    <definedName name="prodnorm11">'Regulier werk'!$G$16</definedName>
    <definedName name="prodnorm12">'Regulier werk'!$G$17</definedName>
    <definedName name="prodnorm13">'Regulier werk'!$G$18</definedName>
    <definedName name="prodnorm14">'Regulier werk'!$G$19</definedName>
    <definedName name="prodnorm15">'Regulier werk'!$G$20</definedName>
    <definedName name="prodnorm16">'Regulier werk'!$G$21</definedName>
    <definedName name="prodnorm17">'Regulier werk'!$G$22</definedName>
    <definedName name="prodnorm18">'Regulier werk'!$G$23</definedName>
    <definedName name="prodnorm19">'Regulier werk'!$G$24</definedName>
    <definedName name="prodnorm2">'Regulier werk'!$G$7</definedName>
    <definedName name="prodnorm20">'Regulier werk'!$G$25</definedName>
    <definedName name="prodnorm21">'Regulier werk'!$G$26</definedName>
    <definedName name="prodnorm22">'Regulier werk'!$G$27</definedName>
    <definedName name="prodnorm23">'Regulier werk'!$G$28</definedName>
    <definedName name="prodnorm24">'Regulier werk'!$G$29</definedName>
    <definedName name="prodnorm25">'Regulier werk'!$G$30</definedName>
    <definedName name="prodnorm26">'Regulier werk'!$G$31</definedName>
    <definedName name="prodnorm27">'Regulier werk'!$G$32</definedName>
    <definedName name="prodnorm28">'Regulier werk'!$G$33</definedName>
    <definedName name="prodnorm29">'Regulier werk'!$G$34</definedName>
    <definedName name="prodnorm3">'Regulier werk'!$G$8</definedName>
    <definedName name="prodnorm30">'Regulier werk'!$G$35</definedName>
    <definedName name="prodnorm4">'Regulier werk'!$G$9</definedName>
    <definedName name="prodnorm5">'Regulier werk'!$G$10</definedName>
    <definedName name="prodnorm6">'Regulier werk'!$G$11</definedName>
    <definedName name="prodnorm7">'Regulier werk'!$G$12</definedName>
    <definedName name="prodnorm8">'Regulier werk'!$G$13</definedName>
    <definedName name="prodnorm9">'Regulier werk'!$G$14</definedName>
    <definedName name="taakfreqtabel1">Objectinformatie!$E$5:$E$34</definedName>
    <definedName name="tabeltype">Omreken!$B$5:$B$5</definedName>
    <definedName name="tarieftabel1">Objectinformatie!$I$5:$I$34</definedName>
    <definedName name="tzpjt1">'Niet-meewerkende objectleiding'!$J$14</definedName>
    <definedName name="tzpjt1_1">'Niet-meewerkende objectleiding'!$J$12</definedName>
    <definedName name="tzpmt1">'Niet-meewerkende objectleiding'!$K$14</definedName>
    <definedName name="tzpmt1_1">'Niet-meewerkende objectleiding'!$K$12</definedName>
    <definedName name="tzujt1">'Niet-meewerkende objectleiding'!$H$14</definedName>
    <definedName name="tzujt1_1">'Niet-meewerkende objectleiding'!$H$12</definedName>
    <definedName name="urendag1">'Regulier werk'!$K$36</definedName>
    <definedName name="urenjaar">'Regulier werk'!$M$41</definedName>
    <definedName name="urenjaar1">'Regulier werk'!$M$36</definedName>
    <definedName name="urenjaarnietmeewerkend">'Niet-meewerkende objectleiding'!$H$17</definedName>
    <definedName name="urenjaartotaal">Objecten!$K$10</definedName>
    <definedName name="urenjaartotaal1">Objecten!$K$7</definedName>
    <definedName name="urenjaartotaalhf">Objecten!$J$10</definedName>
    <definedName name="urenjaartotaalhf1">Objecten!$J$7</definedName>
    <definedName name="urenjaartotaaloverzicht">'Totaalblad Objecten'!$B$10</definedName>
    <definedName name="urenjaartotaaloverzichthf">'Totaalblad Objecten'!$B$9</definedName>
    <definedName name="uurfactortabel1">Objectinformatie!$F$5:$F$34</definedName>
    <definedName name="uurtarief1">'Regulier werk'!$J$6</definedName>
    <definedName name="uurtarief10">'Regulier werk'!$J$15</definedName>
    <definedName name="uurtarief11">'Regulier werk'!$J$16</definedName>
    <definedName name="uurtarief12">'Regulier werk'!$J$17</definedName>
    <definedName name="uurtarief13">'Regulier werk'!$J$18</definedName>
    <definedName name="uurtarief14">'Regulier werk'!$J$19</definedName>
    <definedName name="uurtarief15">'Regulier werk'!$J$20</definedName>
    <definedName name="uurtarief16">'Regulier werk'!$J$21</definedName>
    <definedName name="uurtarief17">'Regulier werk'!$J$22</definedName>
    <definedName name="uurtarief18">'Regulier werk'!$J$23</definedName>
    <definedName name="uurtarief19">'Regulier werk'!$J$24</definedName>
    <definedName name="uurtarief2">'Regulier werk'!$J$7</definedName>
    <definedName name="uurtarief20">'Regulier werk'!$J$25</definedName>
    <definedName name="uurtarief21">'Regulier werk'!$J$26</definedName>
    <definedName name="uurtarief22">'Regulier werk'!$J$27</definedName>
    <definedName name="uurtarief23">'Regulier werk'!$J$28</definedName>
    <definedName name="uurtarief24">'Regulier werk'!$J$29</definedName>
    <definedName name="uurtarief25">'Regulier werk'!$J$30</definedName>
    <definedName name="uurtarief26">'Regulier werk'!$J$31</definedName>
    <definedName name="uurtarief27">'Regulier werk'!$J$32</definedName>
    <definedName name="uurtarief28">'Regulier werk'!$J$33</definedName>
    <definedName name="uurtarief29">'Regulier werk'!$J$34</definedName>
    <definedName name="uurtarief3">'Regulier werk'!$J$8</definedName>
    <definedName name="uurtarief30">'Regulier werk'!$J$35</definedName>
    <definedName name="uurtarief4">'Regulier werk'!$J$9</definedName>
    <definedName name="uurtarief5">'Regulier werk'!$J$10</definedName>
    <definedName name="uurtarief6">'Regulier werk'!$J$11</definedName>
    <definedName name="uurtarief7">'Regulier werk'!$J$12</definedName>
    <definedName name="uurtarief8">'Regulier werk'!$J$13</definedName>
    <definedName name="uurtarief9">'Regulier werk'!$J$14</definedName>
    <definedName name="vp_leiding">Totaal!$F$5</definedName>
    <definedName name="vp_regie">Totaal!$F$6</definedName>
    <definedName name="vp_regulier">Totaal!$F$4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1" l="1"/>
  <c r="J8" i="10"/>
  <c r="J7" i="10"/>
  <c r="J6" i="10"/>
  <c r="A1" i="10"/>
  <c r="A1" i="9"/>
  <c r="B7" i="8"/>
  <c r="A1" i="8"/>
  <c r="K11" i="7"/>
  <c r="J11" i="7"/>
  <c r="H11" i="7"/>
  <c r="C11" i="7"/>
  <c r="I11" i="7" s="1"/>
  <c r="J10" i="7"/>
  <c r="K10" i="7" s="1"/>
  <c r="H10" i="7"/>
  <c r="C10" i="7"/>
  <c r="I10" i="7" s="1"/>
  <c r="K9" i="7"/>
  <c r="J9" i="7"/>
  <c r="H9" i="7"/>
  <c r="C9" i="7"/>
  <c r="I9" i="7" s="1"/>
  <c r="J8" i="7"/>
  <c r="J12" i="7" s="1"/>
  <c r="H8" i="7"/>
  <c r="H12" i="7" s="1"/>
  <c r="C8" i="7"/>
  <c r="I8" i="7" s="1"/>
  <c r="A1" i="7"/>
  <c r="A1" i="6"/>
  <c r="A1" i="4"/>
  <c r="K35" i="3"/>
  <c r="M35" i="3" s="1"/>
  <c r="N35" i="3" s="1"/>
  <c r="J35" i="3"/>
  <c r="H35" i="3"/>
  <c r="G35" i="3"/>
  <c r="K34" i="3"/>
  <c r="M34" i="3" s="1"/>
  <c r="N34" i="3" s="1"/>
  <c r="J34" i="3"/>
  <c r="H34" i="3"/>
  <c r="G34" i="3"/>
  <c r="K33" i="3"/>
  <c r="M33" i="3" s="1"/>
  <c r="N33" i="3" s="1"/>
  <c r="J33" i="3"/>
  <c r="Q28" i="4" s="1"/>
  <c r="H33" i="3"/>
  <c r="G33" i="3"/>
  <c r="N28" i="4" s="1"/>
  <c r="K32" i="3"/>
  <c r="M32" i="3" s="1"/>
  <c r="N32" i="3" s="1"/>
  <c r="J32" i="3"/>
  <c r="H32" i="3"/>
  <c r="G32" i="3"/>
  <c r="K31" i="3"/>
  <c r="M31" i="3" s="1"/>
  <c r="N31" i="3" s="1"/>
  <c r="J31" i="3"/>
  <c r="Q42" i="4" s="1"/>
  <c r="H31" i="3"/>
  <c r="G31" i="3"/>
  <c r="N42" i="4" s="1"/>
  <c r="K30" i="3"/>
  <c r="M30" i="3" s="1"/>
  <c r="N30" i="3" s="1"/>
  <c r="J30" i="3"/>
  <c r="Q24" i="4" s="1"/>
  <c r="H30" i="3"/>
  <c r="G30" i="3"/>
  <c r="N24" i="4" s="1"/>
  <c r="K29" i="3"/>
  <c r="M29" i="3" s="1"/>
  <c r="N29" i="3" s="1"/>
  <c r="J29" i="3"/>
  <c r="H29" i="3"/>
  <c r="G29" i="3"/>
  <c r="K28" i="3"/>
  <c r="M28" i="3" s="1"/>
  <c r="N28" i="3" s="1"/>
  <c r="J28" i="3"/>
  <c r="Q26" i="4" s="1"/>
  <c r="H28" i="3"/>
  <c r="G28" i="3"/>
  <c r="N26" i="4" s="1"/>
  <c r="K27" i="3"/>
  <c r="M27" i="3" s="1"/>
  <c r="N27" i="3" s="1"/>
  <c r="J27" i="3"/>
  <c r="H27" i="3"/>
  <c r="G27" i="3"/>
  <c r="K26" i="3"/>
  <c r="M26" i="3" s="1"/>
  <c r="N26" i="3" s="1"/>
  <c r="J26" i="3"/>
  <c r="H26" i="3"/>
  <c r="G26" i="3"/>
  <c r="K25" i="3"/>
  <c r="M25" i="3" s="1"/>
  <c r="N25" i="3" s="1"/>
  <c r="J25" i="3"/>
  <c r="I24" i="5" s="1"/>
  <c r="H25" i="3"/>
  <c r="H24" i="5" s="1"/>
  <c r="G25" i="3"/>
  <c r="G24" i="5" s="1"/>
  <c r="K24" i="3"/>
  <c r="M24" i="3" s="1"/>
  <c r="N24" i="3" s="1"/>
  <c r="J24" i="3"/>
  <c r="I23" i="5" s="1"/>
  <c r="H24" i="3"/>
  <c r="H23" i="5" s="1"/>
  <c r="G24" i="3"/>
  <c r="G23" i="5" s="1"/>
  <c r="K23" i="3"/>
  <c r="M23" i="3" s="1"/>
  <c r="N23" i="3" s="1"/>
  <c r="J23" i="3"/>
  <c r="H23" i="3"/>
  <c r="G23" i="3"/>
  <c r="K22" i="3"/>
  <c r="M22" i="3" s="1"/>
  <c r="N22" i="3" s="1"/>
  <c r="J22" i="3"/>
  <c r="H22" i="3"/>
  <c r="G22" i="3"/>
  <c r="K21" i="3"/>
  <c r="M21" i="3" s="1"/>
  <c r="N21" i="3" s="1"/>
  <c r="J21" i="3"/>
  <c r="H21" i="3"/>
  <c r="G21" i="3"/>
  <c r="K20" i="3"/>
  <c r="M20" i="3" s="1"/>
  <c r="N20" i="3" s="1"/>
  <c r="J20" i="3"/>
  <c r="H20" i="3"/>
  <c r="G20" i="3"/>
  <c r="K19" i="3"/>
  <c r="M19" i="3" s="1"/>
  <c r="N19" i="3" s="1"/>
  <c r="J19" i="3"/>
  <c r="H19" i="3"/>
  <c r="G19" i="3"/>
  <c r="K18" i="3"/>
  <c r="M18" i="3" s="1"/>
  <c r="N18" i="3" s="1"/>
  <c r="J18" i="3"/>
  <c r="H18" i="3"/>
  <c r="G18" i="3"/>
  <c r="K17" i="3"/>
  <c r="M17" i="3" s="1"/>
  <c r="N17" i="3" s="1"/>
  <c r="J17" i="3"/>
  <c r="H17" i="3"/>
  <c r="G17" i="3"/>
  <c r="K16" i="3"/>
  <c r="M16" i="3" s="1"/>
  <c r="N16" i="3" s="1"/>
  <c r="J16" i="3"/>
  <c r="Q20" i="4" s="1"/>
  <c r="H16" i="3"/>
  <c r="G16" i="3"/>
  <c r="N20" i="4" s="1"/>
  <c r="K15" i="3"/>
  <c r="M15" i="3" s="1"/>
  <c r="N15" i="3" s="1"/>
  <c r="J15" i="3"/>
  <c r="H15" i="3"/>
  <c r="G15" i="3"/>
  <c r="K14" i="3"/>
  <c r="M14" i="3" s="1"/>
  <c r="N14" i="3" s="1"/>
  <c r="J14" i="3"/>
  <c r="H14" i="3"/>
  <c r="G14" i="3"/>
  <c r="N44" i="4" s="1"/>
  <c r="K13" i="3"/>
  <c r="M13" i="3" s="1"/>
  <c r="N13" i="3" s="1"/>
  <c r="J13" i="3"/>
  <c r="I12" i="5" s="1"/>
  <c r="H13" i="3"/>
  <c r="H12" i="5" s="1"/>
  <c r="G13" i="3"/>
  <c r="G12" i="5" s="1"/>
  <c r="K12" i="3"/>
  <c r="M12" i="3" s="1"/>
  <c r="N12" i="3" s="1"/>
  <c r="J12" i="3"/>
  <c r="H12" i="3"/>
  <c r="G12" i="3"/>
  <c r="K11" i="3"/>
  <c r="M11" i="3" s="1"/>
  <c r="N11" i="3" s="1"/>
  <c r="J11" i="3"/>
  <c r="H11" i="3"/>
  <c r="G11" i="3"/>
  <c r="K10" i="3"/>
  <c r="M10" i="3" s="1"/>
  <c r="N10" i="3" s="1"/>
  <c r="J10" i="3"/>
  <c r="H10" i="3"/>
  <c r="G10" i="3"/>
  <c r="K9" i="3"/>
  <c r="M9" i="3" s="1"/>
  <c r="N9" i="3" s="1"/>
  <c r="J9" i="3"/>
  <c r="Q36" i="4" s="1"/>
  <c r="H9" i="3"/>
  <c r="G9" i="3"/>
  <c r="N36" i="4" s="1"/>
  <c r="K8" i="3"/>
  <c r="M8" i="3" s="1"/>
  <c r="N8" i="3" s="1"/>
  <c r="J8" i="3"/>
  <c r="H8" i="3"/>
  <c r="G8" i="3"/>
  <c r="K7" i="3"/>
  <c r="M7" i="3" s="1"/>
  <c r="N7" i="3" s="1"/>
  <c r="J7" i="3"/>
  <c r="Q32" i="4" s="1"/>
  <c r="H7" i="3"/>
  <c r="G7" i="3"/>
  <c r="N32" i="4" s="1"/>
  <c r="K6" i="3"/>
  <c r="K36" i="3" s="1"/>
  <c r="J6" i="3"/>
  <c r="H6" i="3"/>
  <c r="G6" i="3"/>
  <c r="A1" i="3"/>
  <c r="A1" i="2"/>
  <c r="K15" i="1"/>
  <c r="K14" i="1"/>
  <c r="K13" i="1"/>
  <c r="H24" i="1"/>
  <c r="H23" i="1"/>
  <c r="H22" i="1"/>
  <c r="H21" i="1"/>
  <c r="H20" i="1"/>
  <c r="H19" i="1"/>
  <c r="H18" i="1"/>
  <c r="H17" i="1"/>
  <c r="H16" i="1"/>
  <c r="H15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28" i="1"/>
  <c r="B27" i="1"/>
  <c r="B26" i="1"/>
  <c r="B25" i="1"/>
  <c r="B24" i="1"/>
  <c r="B23" i="1"/>
  <c r="F29" i="3" s="1"/>
  <c r="B22" i="1"/>
  <c r="B21" i="1"/>
  <c r="B20" i="1"/>
  <c r="B19" i="1"/>
  <c r="B18" i="1"/>
  <c r="M35" i="4" s="1"/>
  <c r="B17" i="1"/>
  <c r="B16" i="1"/>
  <c r="B15" i="1"/>
  <c r="B14" i="1"/>
  <c r="B13" i="1"/>
  <c r="M43" i="4" s="1"/>
  <c r="E23" i="5" l="1"/>
  <c r="E12" i="5"/>
  <c r="E21" i="5"/>
  <c r="M72" i="4"/>
  <c r="F6" i="3"/>
  <c r="H5" i="5"/>
  <c r="O193" i="4"/>
  <c r="O189" i="4"/>
  <c r="O161" i="4"/>
  <c r="M6" i="3"/>
  <c r="F7" i="3"/>
  <c r="H6" i="5"/>
  <c r="O156" i="4"/>
  <c r="O155" i="4"/>
  <c r="O153" i="4"/>
  <c r="O127" i="4"/>
  <c r="O121" i="4"/>
  <c r="O114" i="4"/>
  <c r="O88" i="4"/>
  <c r="O48" i="4"/>
  <c r="O113" i="4"/>
  <c r="O51" i="4"/>
  <c r="O47" i="4"/>
  <c r="F8" i="3"/>
  <c r="H7" i="5"/>
  <c r="O172" i="4"/>
  <c r="F9" i="3"/>
  <c r="H8" i="5"/>
  <c r="O179" i="4"/>
  <c r="O122" i="4"/>
  <c r="O96" i="4"/>
  <c r="O94" i="4"/>
  <c r="O86" i="4"/>
  <c r="O58" i="4"/>
  <c r="O56" i="4"/>
  <c r="O95" i="4"/>
  <c r="O85" i="4"/>
  <c r="O63" i="4"/>
  <c r="O59" i="4"/>
  <c r="O57" i="4"/>
  <c r="F10" i="3"/>
  <c r="H9" i="5"/>
  <c r="O181" i="4"/>
  <c r="F11" i="3"/>
  <c r="H10" i="5"/>
  <c r="O205" i="4"/>
  <c r="O195" i="4"/>
  <c r="F12" i="3"/>
  <c r="H11" i="5"/>
  <c r="O104" i="4"/>
  <c r="F13" i="3"/>
  <c r="F14" i="3"/>
  <c r="H13" i="5"/>
  <c r="O120" i="4"/>
  <c r="F15" i="3"/>
  <c r="H14" i="5"/>
  <c r="O154" i="4"/>
  <c r="F16" i="3"/>
  <c r="H15" i="5"/>
  <c r="O178" i="4"/>
  <c r="O176" i="4"/>
  <c r="O174" i="4"/>
  <c r="O160" i="4"/>
  <c r="O158" i="4"/>
  <c r="O177" i="4"/>
  <c r="O175" i="4"/>
  <c r="O173" i="4"/>
  <c r="O159" i="4"/>
  <c r="O128" i="4"/>
  <c r="O124" i="4"/>
  <c r="O157" i="4"/>
  <c r="O129" i="4"/>
  <c r="O123" i="4"/>
  <c r="O116" i="4"/>
  <c r="O112" i="4"/>
  <c r="O110" i="4"/>
  <c r="O100" i="4"/>
  <c r="O98" i="4"/>
  <c r="O92" i="4"/>
  <c r="O84" i="4"/>
  <c r="O82" i="4"/>
  <c r="O80" i="4"/>
  <c r="O76" i="4"/>
  <c r="O70" i="4"/>
  <c r="O62" i="4"/>
  <c r="O60" i="4"/>
  <c r="O52" i="4"/>
  <c r="O50" i="4"/>
  <c r="O119" i="4"/>
  <c r="O115" i="4"/>
  <c r="O111" i="4"/>
  <c r="O109" i="4"/>
  <c r="O101" i="4"/>
  <c r="O99" i="4"/>
  <c r="O97" i="4"/>
  <c r="O93" i="4"/>
  <c r="O87" i="4"/>
  <c r="O83" i="4"/>
  <c r="O81" i="4"/>
  <c r="O79" i="4"/>
  <c r="O77" i="4"/>
  <c r="O75" i="4"/>
  <c r="O73" i="4"/>
  <c r="O71" i="4"/>
  <c r="O61" i="4"/>
  <c r="O49" i="4"/>
  <c r="F17" i="3"/>
  <c r="H16" i="5"/>
  <c r="O74" i="4"/>
  <c r="O53" i="4"/>
  <c r="F18" i="3"/>
  <c r="H17" i="5"/>
  <c r="O54" i="4"/>
  <c r="O55" i="4"/>
  <c r="F19" i="3"/>
  <c r="H18" i="5"/>
  <c r="O184" i="4"/>
  <c r="O170" i="4"/>
  <c r="O168" i="4"/>
  <c r="O187" i="4"/>
  <c r="O171" i="4"/>
  <c r="O169" i="4"/>
  <c r="O167" i="4"/>
  <c r="O152" i="4"/>
  <c r="O150" i="4"/>
  <c r="O151" i="4"/>
  <c r="O149" i="4"/>
  <c r="F20" i="3"/>
  <c r="H19" i="5"/>
  <c r="O188" i="4"/>
  <c r="O182" i="4"/>
  <c r="F21" i="3"/>
  <c r="H20" i="5"/>
  <c r="O136" i="4"/>
  <c r="O126" i="4"/>
  <c r="O137" i="4"/>
  <c r="O125" i="4"/>
  <c r="O118" i="4"/>
  <c r="F22" i="3"/>
  <c r="H21" i="5"/>
  <c r="O72" i="4"/>
  <c r="F23" i="3"/>
  <c r="H22" i="5"/>
  <c r="O117" i="4"/>
  <c r="F24" i="3"/>
  <c r="F25" i="3"/>
  <c r="F26" i="3"/>
  <c r="H25" i="5"/>
  <c r="O207" i="4"/>
  <c r="O208" i="4"/>
  <c r="O192" i="4"/>
  <c r="O191" i="4"/>
  <c r="F27" i="3"/>
  <c r="H26" i="5"/>
  <c r="O197" i="4"/>
  <c r="O196" i="4"/>
  <c r="O190" i="4"/>
  <c r="F28" i="3"/>
  <c r="H27" i="5"/>
  <c r="O203" i="4"/>
  <c r="O201" i="4"/>
  <c r="O199" i="4"/>
  <c r="O204" i="4"/>
  <c r="O202" i="4"/>
  <c r="O200" i="4"/>
  <c r="O198" i="4"/>
  <c r="O186" i="4"/>
  <c r="O164" i="4"/>
  <c r="O185" i="4"/>
  <c r="O165" i="4"/>
  <c r="O148" i="4"/>
  <c r="O146" i="4"/>
  <c r="O140" i="4"/>
  <c r="O134" i="4"/>
  <c r="O132" i="4"/>
  <c r="O147" i="4"/>
  <c r="O145" i="4"/>
  <c r="O133" i="4"/>
  <c r="O106" i="4"/>
  <c r="O78" i="4"/>
  <c r="O68" i="4"/>
  <c r="O46" i="4"/>
  <c r="O107" i="4"/>
  <c r="O89" i="4"/>
  <c r="O69" i="4"/>
  <c r="O45" i="4"/>
  <c r="H28" i="5"/>
  <c r="O105" i="4"/>
  <c r="F30" i="3"/>
  <c r="H29" i="5"/>
  <c r="O206" i="4"/>
  <c r="O166" i="4"/>
  <c r="O162" i="4"/>
  <c r="O163" i="4"/>
  <c r="O142" i="4"/>
  <c r="O135" i="4"/>
  <c r="O90" i="4"/>
  <c r="O91" i="4"/>
  <c r="F31" i="3"/>
  <c r="H30" i="5"/>
  <c r="O194" i="4"/>
  <c r="O183" i="4"/>
  <c r="O138" i="4"/>
  <c r="O130" i="4"/>
  <c r="O141" i="4"/>
  <c r="O131" i="4"/>
  <c r="O102" i="4"/>
  <c r="F32" i="3"/>
  <c r="H31" i="5"/>
  <c r="O108" i="4"/>
  <c r="F33" i="3"/>
  <c r="H32" i="5"/>
  <c r="O139" i="4"/>
  <c r="F34" i="3"/>
  <c r="H33" i="5"/>
  <c r="O143" i="4"/>
  <c r="F35" i="3"/>
  <c r="H34" i="5"/>
  <c r="O180" i="4"/>
  <c r="O144" i="4"/>
  <c r="O66" i="4"/>
  <c r="O64" i="4"/>
  <c r="O103" i="4"/>
  <c r="O67" i="4"/>
  <c r="O65" i="4"/>
  <c r="M5" i="4"/>
  <c r="O5" i="4"/>
  <c r="N6" i="4"/>
  <c r="Q6" i="4"/>
  <c r="M7" i="4"/>
  <c r="O7" i="4"/>
  <c r="N8" i="4"/>
  <c r="Q8" i="4"/>
  <c r="M9" i="4"/>
  <c r="O9" i="4"/>
  <c r="N10" i="4"/>
  <c r="Q10" i="4"/>
  <c r="M11" i="4"/>
  <c r="O11" i="4"/>
  <c r="N12" i="4"/>
  <c r="Q12" i="4"/>
  <c r="M13" i="4"/>
  <c r="O13" i="4"/>
  <c r="N14" i="4"/>
  <c r="Q14" i="4"/>
  <c r="M15" i="4"/>
  <c r="O15" i="4"/>
  <c r="N16" i="4"/>
  <c r="Q16" i="4"/>
  <c r="M17" i="4"/>
  <c r="O17" i="4"/>
  <c r="N18" i="4"/>
  <c r="Q18" i="4"/>
  <c r="M19" i="4"/>
  <c r="O19" i="4"/>
  <c r="M21" i="4"/>
  <c r="O21" i="4"/>
  <c r="N22" i="4"/>
  <c r="Q22" i="4"/>
  <c r="M23" i="4"/>
  <c r="O23" i="4"/>
  <c r="M25" i="4"/>
  <c r="O25" i="4"/>
  <c r="M27" i="4"/>
  <c r="O27" i="4"/>
  <c r="M29" i="4"/>
  <c r="O29" i="4"/>
  <c r="N30" i="4"/>
  <c r="Q30" i="4"/>
  <c r="M31" i="4"/>
  <c r="O31" i="4"/>
  <c r="M33" i="4"/>
  <c r="O33" i="4"/>
  <c r="N34" i="4"/>
  <c r="Q34" i="4"/>
  <c r="O35" i="4"/>
  <c r="M37" i="4"/>
  <c r="O37" i="4"/>
  <c r="N38" i="4"/>
  <c r="Q38" i="4"/>
  <c r="M39" i="4"/>
  <c r="O39" i="4"/>
  <c r="N40" i="4"/>
  <c r="Q40" i="4"/>
  <c r="M41" i="4"/>
  <c r="O41" i="4"/>
  <c r="O43" i="4"/>
  <c r="E33" i="5"/>
  <c r="E22" i="5"/>
  <c r="E17" i="5"/>
  <c r="E13" i="5"/>
  <c r="E8" i="5"/>
  <c r="E6" i="5"/>
  <c r="M179" i="4"/>
  <c r="M156" i="4"/>
  <c r="M122" i="4"/>
  <c r="M120" i="4"/>
  <c r="M155" i="4"/>
  <c r="M153" i="4"/>
  <c r="M143" i="4"/>
  <c r="M127" i="4"/>
  <c r="M121" i="4"/>
  <c r="M114" i="4"/>
  <c r="M96" i="4"/>
  <c r="M94" i="4"/>
  <c r="M88" i="4"/>
  <c r="M86" i="4"/>
  <c r="M58" i="4"/>
  <c r="M56" i="4"/>
  <c r="M54" i="4"/>
  <c r="M48" i="4"/>
  <c r="M117" i="4"/>
  <c r="M113" i="4"/>
  <c r="M95" i="4"/>
  <c r="M85" i="4"/>
  <c r="M63" i="4"/>
  <c r="M59" i="4"/>
  <c r="M57" i="4"/>
  <c r="M55" i="4"/>
  <c r="M51" i="4"/>
  <c r="M47" i="4"/>
  <c r="C8" i="10"/>
  <c r="K8" i="10" s="1"/>
  <c r="L8" i="10" s="1"/>
  <c r="C7" i="10"/>
  <c r="K7" i="10" s="1"/>
  <c r="L7" i="10" s="1"/>
  <c r="C6" i="10"/>
  <c r="K6" i="10" s="1"/>
  <c r="E34" i="5"/>
  <c r="E32" i="5"/>
  <c r="E31" i="5"/>
  <c r="E30" i="5"/>
  <c r="E29" i="5"/>
  <c r="E27" i="5"/>
  <c r="E26" i="5"/>
  <c r="E25" i="5"/>
  <c r="E24" i="5"/>
  <c r="E20" i="5"/>
  <c r="E18" i="5"/>
  <c r="E16" i="5"/>
  <c r="E15" i="5"/>
  <c r="E14" i="5"/>
  <c r="E11" i="5"/>
  <c r="E10" i="5"/>
  <c r="E9" i="5"/>
  <c r="E7" i="5"/>
  <c r="E5" i="5"/>
  <c r="M207" i="4"/>
  <c r="M205" i="4"/>
  <c r="M203" i="4"/>
  <c r="M201" i="4"/>
  <c r="M199" i="4"/>
  <c r="M197" i="4"/>
  <c r="M208" i="4"/>
  <c r="M206" i="4"/>
  <c r="M204" i="4"/>
  <c r="M202" i="4"/>
  <c r="M200" i="4"/>
  <c r="M198" i="4"/>
  <c r="M196" i="4"/>
  <c r="M194" i="4"/>
  <c r="M192" i="4"/>
  <c r="M190" i="4"/>
  <c r="M186" i="4"/>
  <c r="M184" i="4"/>
  <c r="M180" i="4"/>
  <c r="M178" i="4"/>
  <c r="M176" i="4"/>
  <c r="M174" i="4"/>
  <c r="M172" i="4"/>
  <c r="M170" i="4"/>
  <c r="M168" i="4"/>
  <c r="M166" i="4"/>
  <c r="M164" i="4"/>
  <c r="M162" i="4"/>
  <c r="M160" i="4"/>
  <c r="M195" i="4"/>
  <c r="M193" i="4"/>
  <c r="M191" i="4"/>
  <c r="M189" i="4"/>
  <c r="M187" i="4"/>
  <c r="M185" i="4"/>
  <c r="M183" i="4"/>
  <c r="M181" i="4"/>
  <c r="M177" i="4"/>
  <c r="M175" i="4"/>
  <c r="M173" i="4"/>
  <c r="M171" i="4"/>
  <c r="M169" i="4"/>
  <c r="M167" i="4"/>
  <c r="M165" i="4"/>
  <c r="M163" i="4"/>
  <c r="M161" i="4"/>
  <c r="M159" i="4"/>
  <c r="M158" i="4"/>
  <c r="M154" i="4"/>
  <c r="M152" i="4"/>
  <c r="M150" i="4"/>
  <c r="M148" i="4"/>
  <c r="M146" i="4"/>
  <c r="M144" i="4"/>
  <c r="M142" i="4"/>
  <c r="M140" i="4"/>
  <c r="M138" i="4"/>
  <c r="M136" i="4"/>
  <c r="M134" i="4"/>
  <c r="M132" i="4"/>
  <c r="M130" i="4"/>
  <c r="M128" i="4"/>
  <c r="M126" i="4"/>
  <c r="M124" i="4"/>
  <c r="M157" i="4"/>
  <c r="M151" i="4"/>
  <c r="M149" i="4"/>
  <c r="M147" i="4"/>
  <c r="M145" i="4"/>
  <c r="M141" i="4"/>
  <c r="M139" i="4"/>
  <c r="M137" i="4"/>
  <c r="M135" i="4"/>
  <c r="M133" i="4"/>
  <c r="M131" i="4"/>
  <c r="M129" i="4"/>
  <c r="M125" i="4"/>
  <c r="M123" i="4"/>
  <c r="M118" i="4"/>
  <c r="M116" i="4"/>
  <c r="M112" i="4"/>
  <c r="M110" i="4"/>
  <c r="M108" i="4"/>
  <c r="M106" i="4"/>
  <c r="M104" i="4"/>
  <c r="M102" i="4"/>
  <c r="M100" i="4"/>
  <c r="M98" i="4"/>
  <c r="M92" i="4"/>
  <c r="M90" i="4"/>
  <c r="M84" i="4"/>
  <c r="M82" i="4"/>
  <c r="M80" i="4"/>
  <c r="M78" i="4"/>
  <c r="M76" i="4"/>
  <c r="M74" i="4"/>
  <c r="M70" i="4"/>
  <c r="M68" i="4"/>
  <c r="M66" i="4"/>
  <c r="M64" i="4"/>
  <c r="M62" i="4"/>
  <c r="M60" i="4"/>
  <c r="M52" i="4"/>
  <c r="M50" i="4"/>
  <c r="M46" i="4"/>
  <c r="M119" i="4"/>
  <c r="M115" i="4"/>
  <c r="M111" i="4"/>
  <c r="M109" i="4"/>
  <c r="M107" i="4"/>
  <c r="M103" i="4"/>
  <c r="M101" i="4"/>
  <c r="M99" i="4"/>
  <c r="M97" i="4"/>
  <c r="M93" i="4"/>
  <c r="M91" i="4"/>
  <c r="M89" i="4"/>
  <c r="M87" i="4"/>
  <c r="M83" i="4"/>
  <c r="M81" i="4"/>
  <c r="M79" i="4"/>
  <c r="M77" i="4"/>
  <c r="M75" i="4"/>
  <c r="M73" i="4"/>
  <c r="M71" i="4"/>
  <c r="M69" i="4"/>
  <c r="M67" i="4"/>
  <c r="M65" i="4"/>
  <c r="M61" i="4"/>
  <c r="M53" i="4"/>
  <c r="M49" i="4"/>
  <c r="M45" i="4"/>
  <c r="E28" i="5"/>
  <c r="E19" i="5"/>
  <c r="M188" i="4"/>
  <c r="M182" i="4"/>
  <c r="M105" i="4"/>
  <c r="G5" i="5"/>
  <c r="N193" i="4"/>
  <c r="N189" i="4"/>
  <c r="N161" i="4"/>
  <c r="I5" i="5"/>
  <c r="Q193" i="4"/>
  <c r="Q189" i="4"/>
  <c r="Q161" i="4"/>
  <c r="L6" i="3"/>
  <c r="G6" i="5"/>
  <c r="N155" i="4"/>
  <c r="N153" i="4"/>
  <c r="N127" i="4"/>
  <c r="N121" i="4"/>
  <c r="N156" i="4"/>
  <c r="N113" i="4"/>
  <c r="N51" i="4"/>
  <c r="N47" i="4"/>
  <c r="N114" i="4"/>
  <c r="N88" i="4"/>
  <c r="N48" i="4"/>
  <c r="I6" i="5"/>
  <c r="Q155" i="4"/>
  <c r="Q153" i="4"/>
  <c r="Q127" i="4"/>
  <c r="Q121" i="4"/>
  <c r="Q156" i="4"/>
  <c r="Q113" i="4"/>
  <c r="Q51" i="4"/>
  <c r="Q47" i="4"/>
  <c r="Q114" i="4"/>
  <c r="Q88" i="4"/>
  <c r="Q48" i="4"/>
  <c r="L7" i="3"/>
  <c r="G7" i="5"/>
  <c r="N172" i="4"/>
  <c r="I7" i="5"/>
  <c r="Q172" i="4"/>
  <c r="L8" i="3"/>
  <c r="G8" i="5"/>
  <c r="N179" i="4"/>
  <c r="N122" i="4"/>
  <c r="N95" i="4"/>
  <c r="N85" i="4"/>
  <c r="N63" i="4"/>
  <c r="N59" i="4"/>
  <c r="N57" i="4"/>
  <c r="N96" i="4"/>
  <c r="N94" i="4"/>
  <c r="N86" i="4"/>
  <c r="N58" i="4"/>
  <c r="N56" i="4"/>
  <c r="I8" i="5"/>
  <c r="Q179" i="4"/>
  <c r="Q122" i="4"/>
  <c r="Q95" i="4"/>
  <c r="Q85" i="4"/>
  <c r="Q63" i="4"/>
  <c r="Q59" i="4"/>
  <c r="Q57" i="4"/>
  <c r="Q96" i="4"/>
  <c r="Q94" i="4"/>
  <c r="Q86" i="4"/>
  <c r="Q58" i="4"/>
  <c r="Q56" i="4"/>
  <c r="L9" i="3"/>
  <c r="G9" i="5"/>
  <c r="N181" i="4"/>
  <c r="I9" i="5"/>
  <c r="Q181" i="4"/>
  <c r="L10" i="3"/>
  <c r="G10" i="5"/>
  <c r="N205" i="4"/>
  <c r="N195" i="4"/>
  <c r="I10" i="5"/>
  <c r="Q205" i="4"/>
  <c r="Q195" i="4"/>
  <c r="L11" i="3"/>
  <c r="G11" i="5"/>
  <c r="N104" i="4"/>
  <c r="I11" i="5"/>
  <c r="Q104" i="4"/>
  <c r="L12" i="3"/>
  <c r="L13" i="3"/>
  <c r="G13" i="5"/>
  <c r="N120" i="4"/>
  <c r="I13" i="5"/>
  <c r="Q120" i="4"/>
  <c r="Q44" i="4"/>
  <c r="L14" i="3"/>
  <c r="G14" i="5"/>
  <c r="N154" i="4"/>
  <c r="I14" i="5"/>
  <c r="Q154" i="4"/>
  <c r="L15" i="3"/>
  <c r="G15" i="5"/>
  <c r="N177" i="4"/>
  <c r="N175" i="4"/>
  <c r="N173" i="4"/>
  <c r="N159" i="4"/>
  <c r="N178" i="4"/>
  <c r="N176" i="4"/>
  <c r="N174" i="4"/>
  <c r="N160" i="4"/>
  <c r="N158" i="4"/>
  <c r="N157" i="4"/>
  <c r="N129" i="4"/>
  <c r="N123" i="4"/>
  <c r="N128" i="4"/>
  <c r="N124" i="4"/>
  <c r="N119" i="4"/>
  <c r="N115" i="4"/>
  <c r="N111" i="4"/>
  <c r="N109" i="4"/>
  <c r="N101" i="4"/>
  <c r="N99" i="4"/>
  <c r="N97" i="4"/>
  <c r="N93" i="4"/>
  <c r="N87" i="4"/>
  <c r="N83" i="4"/>
  <c r="N81" i="4"/>
  <c r="N79" i="4"/>
  <c r="N77" i="4"/>
  <c r="N75" i="4"/>
  <c r="N73" i="4"/>
  <c r="N71" i="4"/>
  <c r="N61" i="4"/>
  <c r="N49" i="4"/>
  <c r="N116" i="4"/>
  <c r="N112" i="4"/>
  <c r="N110" i="4"/>
  <c r="N100" i="4"/>
  <c r="N98" i="4"/>
  <c r="N92" i="4"/>
  <c r="N84" i="4"/>
  <c r="N82" i="4"/>
  <c r="N80" i="4"/>
  <c r="N76" i="4"/>
  <c r="N70" i="4"/>
  <c r="N62" i="4"/>
  <c r="N60" i="4"/>
  <c r="N52" i="4"/>
  <c r="N50" i="4"/>
  <c r="I15" i="5"/>
  <c r="Q177" i="4"/>
  <c r="Q175" i="4"/>
  <c r="Q173" i="4"/>
  <c r="Q159" i="4"/>
  <c r="Q178" i="4"/>
  <c r="Q176" i="4"/>
  <c r="Q174" i="4"/>
  <c r="Q160" i="4"/>
  <c r="Q158" i="4"/>
  <c r="Q157" i="4"/>
  <c r="Q129" i="4"/>
  <c r="Q123" i="4"/>
  <c r="Q128" i="4"/>
  <c r="Q124" i="4"/>
  <c r="Q119" i="4"/>
  <c r="Q115" i="4"/>
  <c r="Q111" i="4"/>
  <c r="Q109" i="4"/>
  <c r="Q101" i="4"/>
  <c r="Q99" i="4"/>
  <c r="Q97" i="4"/>
  <c r="Q93" i="4"/>
  <c r="Q87" i="4"/>
  <c r="Q83" i="4"/>
  <c r="Q81" i="4"/>
  <c r="Q79" i="4"/>
  <c r="Q77" i="4"/>
  <c r="Q75" i="4"/>
  <c r="Q73" i="4"/>
  <c r="Q71" i="4"/>
  <c r="Q61" i="4"/>
  <c r="Q49" i="4"/>
  <c r="Q116" i="4"/>
  <c r="Q112" i="4"/>
  <c r="Q110" i="4"/>
  <c r="Q100" i="4"/>
  <c r="Q98" i="4"/>
  <c r="Q92" i="4"/>
  <c r="Q84" i="4"/>
  <c r="Q82" i="4"/>
  <c r="Q80" i="4"/>
  <c r="Q76" i="4"/>
  <c r="Q70" i="4"/>
  <c r="Q62" i="4"/>
  <c r="Q60" i="4"/>
  <c r="Q52" i="4"/>
  <c r="Q50" i="4"/>
  <c r="L16" i="3"/>
  <c r="G16" i="5"/>
  <c r="N53" i="4"/>
  <c r="N74" i="4"/>
  <c r="I16" i="5"/>
  <c r="Q53" i="4"/>
  <c r="Q74" i="4"/>
  <c r="L17" i="3"/>
  <c r="G17" i="5"/>
  <c r="N55" i="4"/>
  <c r="N54" i="4"/>
  <c r="I17" i="5"/>
  <c r="Q55" i="4"/>
  <c r="Q54" i="4"/>
  <c r="L18" i="3"/>
  <c r="G18" i="5"/>
  <c r="N187" i="4"/>
  <c r="N171" i="4"/>
  <c r="N169" i="4"/>
  <c r="N167" i="4"/>
  <c r="N184" i="4"/>
  <c r="N170" i="4"/>
  <c r="N168" i="4"/>
  <c r="N151" i="4"/>
  <c r="N149" i="4"/>
  <c r="N152" i="4"/>
  <c r="N150" i="4"/>
  <c r="I18" i="5"/>
  <c r="Q187" i="4"/>
  <c r="Q171" i="4"/>
  <c r="Q169" i="4"/>
  <c r="Q167" i="4"/>
  <c r="Q184" i="4"/>
  <c r="Q170" i="4"/>
  <c r="Q168" i="4"/>
  <c r="Q151" i="4"/>
  <c r="Q149" i="4"/>
  <c r="Q152" i="4"/>
  <c r="Q150" i="4"/>
  <c r="L19" i="3"/>
  <c r="G19" i="5"/>
  <c r="N188" i="4"/>
  <c r="N182" i="4"/>
  <c r="I19" i="5"/>
  <c r="Q188" i="4"/>
  <c r="Q182" i="4"/>
  <c r="L20" i="3"/>
  <c r="G20" i="5"/>
  <c r="N137" i="4"/>
  <c r="N125" i="4"/>
  <c r="N136" i="4"/>
  <c r="N126" i="4"/>
  <c r="N118" i="4"/>
  <c r="I20" i="5"/>
  <c r="Q137" i="4"/>
  <c r="Q125" i="4"/>
  <c r="Q136" i="4"/>
  <c r="Q126" i="4"/>
  <c r="Q118" i="4"/>
  <c r="L21" i="3"/>
  <c r="G21" i="5"/>
  <c r="N72" i="4"/>
  <c r="I21" i="5"/>
  <c r="Q72" i="4"/>
  <c r="L22" i="3"/>
  <c r="G22" i="5"/>
  <c r="N117" i="4"/>
  <c r="I22" i="5"/>
  <c r="Q117" i="4"/>
  <c r="L23" i="3"/>
  <c r="L24" i="3"/>
  <c r="L25" i="3"/>
  <c r="G25" i="5"/>
  <c r="N208" i="4"/>
  <c r="N207" i="4"/>
  <c r="N191" i="4"/>
  <c r="N192" i="4"/>
  <c r="I25" i="5"/>
  <c r="Q208" i="4"/>
  <c r="Q207" i="4"/>
  <c r="Q191" i="4"/>
  <c r="Q192" i="4"/>
  <c r="L26" i="3"/>
  <c r="G26" i="5"/>
  <c r="N197" i="4"/>
  <c r="N196" i="4"/>
  <c r="N190" i="4"/>
  <c r="I26" i="5"/>
  <c r="Q196" i="4"/>
  <c r="Q197" i="4"/>
  <c r="Q190" i="4"/>
  <c r="L27" i="3"/>
  <c r="G27" i="5"/>
  <c r="N204" i="4"/>
  <c r="N202" i="4"/>
  <c r="N200" i="4"/>
  <c r="N198" i="4"/>
  <c r="N203" i="4"/>
  <c r="N201" i="4"/>
  <c r="N199" i="4"/>
  <c r="N185" i="4"/>
  <c r="N165" i="4"/>
  <c r="N186" i="4"/>
  <c r="N164" i="4"/>
  <c r="N147" i="4"/>
  <c r="N145" i="4"/>
  <c r="N133" i="4"/>
  <c r="N148" i="4"/>
  <c r="N146" i="4"/>
  <c r="N140" i="4"/>
  <c r="N134" i="4"/>
  <c r="N132" i="4"/>
  <c r="N107" i="4"/>
  <c r="N89" i="4"/>
  <c r="N69" i="4"/>
  <c r="N45" i="4"/>
  <c r="N106" i="4"/>
  <c r="N78" i="4"/>
  <c r="N68" i="4"/>
  <c r="N46" i="4"/>
  <c r="I27" i="5"/>
  <c r="Q204" i="4"/>
  <c r="Q202" i="4"/>
  <c r="Q200" i="4"/>
  <c r="Q198" i="4"/>
  <c r="Q203" i="4"/>
  <c r="Q201" i="4"/>
  <c r="Q199" i="4"/>
  <c r="Q185" i="4"/>
  <c r="Q165" i="4"/>
  <c r="Q186" i="4"/>
  <c r="Q164" i="4"/>
  <c r="Q147" i="4"/>
  <c r="Q145" i="4"/>
  <c r="Q133" i="4"/>
  <c r="Q148" i="4"/>
  <c r="Q146" i="4"/>
  <c r="Q140" i="4"/>
  <c r="Q134" i="4"/>
  <c r="Q132" i="4"/>
  <c r="Q107" i="4"/>
  <c r="Q89" i="4"/>
  <c r="Q69" i="4"/>
  <c r="Q45" i="4"/>
  <c r="Q106" i="4"/>
  <c r="Q78" i="4"/>
  <c r="Q68" i="4"/>
  <c r="Q46" i="4"/>
  <c r="L28" i="3"/>
  <c r="G28" i="5"/>
  <c r="N105" i="4"/>
  <c r="I28" i="5"/>
  <c r="Q105" i="4"/>
  <c r="L29" i="3"/>
  <c r="G29" i="5"/>
  <c r="N206" i="4"/>
  <c r="N163" i="4"/>
  <c r="N166" i="4"/>
  <c r="N162" i="4"/>
  <c r="N135" i="4"/>
  <c r="N142" i="4"/>
  <c r="N91" i="4"/>
  <c r="N90" i="4"/>
  <c r="I29" i="5"/>
  <c r="Q206" i="4"/>
  <c r="Q163" i="4"/>
  <c r="Q166" i="4"/>
  <c r="Q162" i="4"/>
  <c r="Q135" i="4"/>
  <c r="Q142" i="4"/>
  <c r="Q91" i="4"/>
  <c r="Q90" i="4"/>
  <c r="L30" i="3"/>
  <c r="G30" i="5"/>
  <c r="N183" i="4"/>
  <c r="N194" i="4"/>
  <c r="N141" i="4"/>
  <c r="N131" i="4"/>
  <c r="N138" i="4"/>
  <c r="N130" i="4"/>
  <c r="N102" i="4"/>
  <c r="I30" i="5"/>
  <c r="Q183" i="4"/>
  <c r="Q194" i="4"/>
  <c r="Q141" i="4"/>
  <c r="Q131" i="4"/>
  <c r="Q138" i="4"/>
  <c r="Q130" i="4"/>
  <c r="Q102" i="4"/>
  <c r="L31" i="3"/>
  <c r="G31" i="5"/>
  <c r="N108" i="4"/>
  <c r="I31" i="5"/>
  <c r="Q108" i="4"/>
  <c r="L32" i="3"/>
  <c r="G32" i="5"/>
  <c r="N139" i="4"/>
  <c r="I32" i="5"/>
  <c r="Q139" i="4"/>
  <c r="L33" i="3"/>
  <c r="G33" i="5"/>
  <c r="N143" i="4"/>
  <c r="I33" i="5"/>
  <c r="Q143" i="4"/>
  <c r="L34" i="3"/>
  <c r="G34" i="5"/>
  <c r="N180" i="4"/>
  <c r="N144" i="4"/>
  <c r="N103" i="4"/>
  <c r="N67" i="4"/>
  <c r="N65" i="4"/>
  <c r="N66" i="4"/>
  <c r="N64" i="4"/>
  <c r="I34" i="5"/>
  <c r="Q180" i="4"/>
  <c r="Q144" i="4"/>
  <c r="Q103" i="4"/>
  <c r="Q67" i="4"/>
  <c r="Q65" i="4"/>
  <c r="Q66" i="4"/>
  <c r="Q64" i="4"/>
  <c r="L35" i="3"/>
  <c r="N5" i="4"/>
  <c r="Q5" i="4"/>
  <c r="M6" i="4"/>
  <c r="O6" i="4"/>
  <c r="N7" i="4"/>
  <c r="Q7" i="4"/>
  <c r="M8" i="4"/>
  <c r="O8" i="4"/>
  <c r="N9" i="4"/>
  <c r="Q9" i="4"/>
  <c r="M10" i="4"/>
  <c r="O10" i="4"/>
  <c r="N11" i="4"/>
  <c r="Q11" i="4"/>
  <c r="M12" i="4"/>
  <c r="O12" i="4"/>
  <c r="N13" i="4"/>
  <c r="Q13" i="4"/>
  <c r="M14" i="4"/>
  <c r="O14" i="4"/>
  <c r="N15" i="4"/>
  <c r="Q15" i="4"/>
  <c r="M16" i="4"/>
  <c r="O16" i="4"/>
  <c r="N17" i="4"/>
  <c r="Q17" i="4"/>
  <c r="M18" i="4"/>
  <c r="O18" i="4"/>
  <c r="N19" i="4"/>
  <c r="Q19" i="4"/>
  <c r="M20" i="4"/>
  <c r="R20" i="4" s="1"/>
  <c r="O20" i="4"/>
  <c r="N21" i="4"/>
  <c r="Q21" i="4"/>
  <c r="M22" i="4"/>
  <c r="O22" i="4"/>
  <c r="N23" i="4"/>
  <c r="Q23" i="4"/>
  <c r="M24" i="4"/>
  <c r="R24" i="4" s="1"/>
  <c r="O24" i="4"/>
  <c r="N25" i="4"/>
  <c r="Q25" i="4"/>
  <c r="M26" i="4"/>
  <c r="R26" i="4" s="1"/>
  <c r="O26" i="4"/>
  <c r="N27" i="4"/>
  <c r="Q27" i="4"/>
  <c r="M28" i="4"/>
  <c r="R28" i="4" s="1"/>
  <c r="O28" i="4"/>
  <c r="N29" i="4"/>
  <c r="Q29" i="4"/>
  <c r="M30" i="4"/>
  <c r="O30" i="4"/>
  <c r="N31" i="4"/>
  <c r="Q31" i="4"/>
  <c r="M32" i="4"/>
  <c r="R32" i="4" s="1"/>
  <c r="O32" i="4"/>
  <c r="N33" i="4"/>
  <c r="Q33" i="4"/>
  <c r="M34" i="4"/>
  <c r="O34" i="4"/>
  <c r="N35" i="4"/>
  <c r="Q35" i="4"/>
  <c r="M36" i="4"/>
  <c r="R36" i="4" s="1"/>
  <c r="O36" i="4"/>
  <c r="N37" i="4"/>
  <c r="Q37" i="4"/>
  <c r="M38" i="4"/>
  <c r="O38" i="4"/>
  <c r="N39" i="4"/>
  <c r="Q39" i="4"/>
  <c r="M40" i="4"/>
  <c r="O40" i="4"/>
  <c r="N41" i="4"/>
  <c r="Q41" i="4"/>
  <c r="M42" i="4"/>
  <c r="R42" i="4" s="1"/>
  <c r="O42" i="4"/>
  <c r="N43" i="4"/>
  <c r="Q43" i="4"/>
  <c r="M44" i="4"/>
  <c r="R44" i="4" s="1"/>
  <c r="O44" i="4"/>
  <c r="C14" i="8"/>
  <c r="B14" i="8" s="1"/>
  <c r="J14" i="7"/>
  <c r="J17" i="7" s="1"/>
  <c r="H14" i="7"/>
  <c r="H17" i="7" s="1"/>
  <c r="D5" i="11" s="1"/>
  <c r="D8" i="11" s="1"/>
  <c r="C13" i="8"/>
  <c r="B13" i="8" s="1"/>
  <c r="K8" i="7"/>
  <c r="K12" i="7" s="1"/>
  <c r="K14" i="7" s="1"/>
  <c r="K17" i="7" s="1"/>
  <c r="K19" i="7" s="1"/>
  <c r="U44" i="4" l="1"/>
  <c r="V44" i="4" s="1"/>
  <c r="S44" i="4"/>
  <c r="U42" i="4"/>
  <c r="V42" i="4" s="1"/>
  <c r="S42" i="4"/>
  <c r="T42" i="4"/>
  <c r="U36" i="4"/>
  <c r="V36" i="4" s="1"/>
  <c r="S36" i="4"/>
  <c r="T36" i="4"/>
  <c r="U32" i="4"/>
  <c r="V32" i="4" s="1"/>
  <c r="T32" i="4"/>
  <c r="S32" i="4"/>
  <c r="U28" i="4"/>
  <c r="V28" i="4" s="1"/>
  <c r="T28" i="4"/>
  <c r="S28" i="4"/>
  <c r="U26" i="4"/>
  <c r="V26" i="4" s="1"/>
  <c r="S26" i="4"/>
  <c r="T26" i="4"/>
  <c r="U24" i="4"/>
  <c r="V24" i="4" s="1"/>
  <c r="T24" i="4"/>
  <c r="S24" i="4"/>
  <c r="U20" i="4"/>
  <c r="V20" i="4" s="1"/>
  <c r="T20" i="4"/>
  <c r="S20" i="4"/>
  <c r="S37" i="4"/>
  <c r="R37" i="4"/>
  <c r="U37" i="4" s="1"/>
  <c r="V37" i="4" s="1"/>
  <c r="S33" i="4"/>
  <c r="R33" i="4"/>
  <c r="U33" i="4" s="1"/>
  <c r="V33" i="4" s="1"/>
  <c r="R27" i="4"/>
  <c r="U27" i="4" s="1"/>
  <c r="V27" i="4" s="1"/>
  <c r="R25" i="4"/>
  <c r="U25" i="4" s="1"/>
  <c r="V25" i="4" s="1"/>
  <c r="R23" i="4"/>
  <c r="U23" i="4" s="1"/>
  <c r="V23" i="4" s="1"/>
  <c r="R17" i="4"/>
  <c r="U17" i="4" s="1"/>
  <c r="V17" i="4" s="1"/>
  <c r="R13" i="4"/>
  <c r="U13" i="4" s="1"/>
  <c r="V13" i="4" s="1"/>
  <c r="R9" i="4"/>
  <c r="U9" i="4" s="1"/>
  <c r="V9" i="4" s="1"/>
  <c r="R5" i="4"/>
  <c r="S5" i="4" s="1"/>
  <c r="S209" i="4" s="1"/>
  <c r="R64" i="4"/>
  <c r="U64" i="4" s="1"/>
  <c r="V64" i="4" s="1"/>
  <c r="S64" i="4"/>
  <c r="R103" i="4"/>
  <c r="U103" i="4" s="1"/>
  <c r="V103" i="4" s="1"/>
  <c r="R102" i="4"/>
  <c r="U102" i="4" s="1"/>
  <c r="V102" i="4" s="1"/>
  <c r="R138" i="4"/>
  <c r="U138" i="4" s="1"/>
  <c r="V138" i="4" s="1"/>
  <c r="S183" i="4"/>
  <c r="R183" i="4"/>
  <c r="U183" i="4" s="1"/>
  <c r="V183" i="4" s="1"/>
  <c r="R90" i="4"/>
  <c r="U90" i="4" s="1"/>
  <c r="V90" i="4" s="1"/>
  <c r="R162" i="4"/>
  <c r="U162" i="4" s="1"/>
  <c r="V162" i="4" s="1"/>
  <c r="S163" i="4"/>
  <c r="R163" i="4"/>
  <c r="U163" i="4" s="1"/>
  <c r="V163" i="4" s="1"/>
  <c r="R106" i="4"/>
  <c r="U106" i="4" s="1"/>
  <c r="V106" i="4" s="1"/>
  <c r="E5" i="11"/>
  <c r="F5" i="11" s="1"/>
  <c r="J19" i="7"/>
  <c r="T37" i="4"/>
  <c r="T33" i="4"/>
  <c r="T27" i="4"/>
  <c r="T25" i="4"/>
  <c r="T23" i="4"/>
  <c r="T17" i="4"/>
  <c r="T13" i="4"/>
  <c r="T9" i="4"/>
  <c r="T5" i="4"/>
  <c r="T209" i="4" s="1"/>
  <c r="T66" i="4"/>
  <c r="T144" i="4"/>
  <c r="R66" i="4"/>
  <c r="U66" i="4" s="1"/>
  <c r="V66" i="4" s="1"/>
  <c r="S66" i="4"/>
  <c r="R67" i="4"/>
  <c r="U67" i="4" s="1"/>
  <c r="V67" i="4" s="1"/>
  <c r="R144" i="4"/>
  <c r="U144" i="4" s="1"/>
  <c r="V144" i="4" s="1"/>
  <c r="S144" i="4"/>
  <c r="S143" i="4"/>
  <c r="R143" i="4"/>
  <c r="U143" i="4" s="1"/>
  <c r="V143" i="4" s="1"/>
  <c r="T108" i="4"/>
  <c r="R108" i="4"/>
  <c r="U108" i="4" s="1"/>
  <c r="V108" i="4" s="1"/>
  <c r="S108" i="4"/>
  <c r="T131" i="4"/>
  <c r="R130" i="4"/>
  <c r="U130" i="4" s="1"/>
  <c r="V130" i="4" s="1"/>
  <c r="S131" i="4"/>
  <c r="R131" i="4"/>
  <c r="U131" i="4" s="1"/>
  <c r="V131" i="4" s="1"/>
  <c r="R194" i="4"/>
  <c r="U194" i="4" s="1"/>
  <c r="V194" i="4" s="1"/>
  <c r="T90" i="4"/>
  <c r="T162" i="4"/>
  <c r="T163" i="4"/>
  <c r="S91" i="4"/>
  <c r="R91" i="4"/>
  <c r="U91" i="4" s="1"/>
  <c r="V91" i="4" s="1"/>
  <c r="S135" i="4"/>
  <c r="R135" i="4"/>
  <c r="U135" i="4" s="1"/>
  <c r="V135" i="4" s="1"/>
  <c r="R166" i="4"/>
  <c r="U166" i="4" s="1"/>
  <c r="V166" i="4" s="1"/>
  <c r="S206" i="4"/>
  <c r="R206" i="4"/>
  <c r="U206" i="4" s="1"/>
  <c r="V206" i="4" s="1"/>
  <c r="T45" i="4"/>
  <c r="T200" i="4"/>
  <c r="R46" i="4"/>
  <c r="U46" i="4" s="1"/>
  <c r="V46" i="4" s="1"/>
  <c r="R78" i="4"/>
  <c r="U78" i="4" s="1"/>
  <c r="V78" i="4" s="1"/>
  <c r="S45" i="4"/>
  <c r="R45" i="4"/>
  <c r="U45" i="4" s="1"/>
  <c r="V45" i="4" s="1"/>
  <c r="S89" i="4"/>
  <c r="R89" i="4"/>
  <c r="U89" i="4" s="1"/>
  <c r="V89" i="4" s="1"/>
  <c r="R132" i="4"/>
  <c r="U132" i="4" s="1"/>
  <c r="V132" i="4" s="1"/>
  <c r="R140" i="4"/>
  <c r="U140" i="4" s="1"/>
  <c r="V140" i="4" s="1"/>
  <c r="R148" i="4"/>
  <c r="U148" i="4" s="1"/>
  <c r="V148" i="4" s="1"/>
  <c r="S145" i="4"/>
  <c r="R145" i="4"/>
  <c r="U145" i="4" s="1"/>
  <c r="V145" i="4" s="1"/>
  <c r="R164" i="4"/>
  <c r="U164" i="4" s="1"/>
  <c r="V164" i="4" s="1"/>
  <c r="S165" i="4"/>
  <c r="R165" i="4"/>
  <c r="U165" i="4" s="1"/>
  <c r="V165" i="4" s="1"/>
  <c r="R199" i="4"/>
  <c r="U199" i="4" s="1"/>
  <c r="V199" i="4" s="1"/>
  <c r="R203" i="4"/>
  <c r="U203" i="4" s="1"/>
  <c r="V203" i="4" s="1"/>
  <c r="S200" i="4"/>
  <c r="R200" i="4"/>
  <c r="U200" i="4" s="1"/>
  <c r="V200" i="4" s="1"/>
  <c r="S204" i="4"/>
  <c r="R204" i="4"/>
  <c r="U204" i="4" s="1"/>
  <c r="V204" i="4" s="1"/>
  <c r="R196" i="4"/>
  <c r="U196" i="4" s="1"/>
  <c r="V196" i="4" s="1"/>
  <c r="R191" i="4"/>
  <c r="U191" i="4" s="1"/>
  <c r="V191" i="4" s="1"/>
  <c r="R208" i="4"/>
  <c r="U208" i="4" s="1"/>
  <c r="V208" i="4" s="1"/>
  <c r="R72" i="4"/>
  <c r="U72" i="4" s="1"/>
  <c r="V72" i="4" s="1"/>
  <c r="R126" i="4"/>
  <c r="U126" i="4" s="1"/>
  <c r="V126" i="4" s="1"/>
  <c r="S125" i="4"/>
  <c r="R125" i="4"/>
  <c r="U125" i="4" s="1"/>
  <c r="V125" i="4" s="1"/>
  <c r="R188" i="4"/>
  <c r="U188" i="4" s="1"/>
  <c r="V188" i="4" s="1"/>
  <c r="S188" i="4"/>
  <c r="T151" i="4"/>
  <c r="T167" i="4"/>
  <c r="R152" i="4"/>
  <c r="U152" i="4" s="1"/>
  <c r="V152" i="4" s="1"/>
  <c r="S151" i="4"/>
  <c r="R151" i="4"/>
  <c r="U151" i="4" s="1"/>
  <c r="V151" i="4" s="1"/>
  <c r="R170" i="4"/>
  <c r="U170" i="4" s="1"/>
  <c r="V170" i="4" s="1"/>
  <c r="S167" i="4"/>
  <c r="R167" i="4"/>
  <c r="U167" i="4" s="1"/>
  <c r="V167" i="4" s="1"/>
  <c r="S171" i="4"/>
  <c r="R171" i="4"/>
  <c r="U171" i="4" s="1"/>
  <c r="V171" i="4" s="1"/>
  <c r="R55" i="4"/>
  <c r="U55" i="4" s="1"/>
  <c r="V55" i="4" s="1"/>
  <c r="R74" i="4"/>
  <c r="U74" i="4" s="1"/>
  <c r="V74" i="4" s="1"/>
  <c r="T61" i="4"/>
  <c r="T77" i="4"/>
  <c r="T87" i="4"/>
  <c r="T101" i="4"/>
  <c r="T119" i="4"/>
  <c r="T129" i="4"/>
  <c r="T173" i="4"/>
  <c r="R50" i="4"/>
  <c r="U50" i="4" s="1"/>
  <c r="V50" i="4" s="1"/>
  <c r="R60" i="4"/>
  <c r="U60" i="4" s="1"/>
  <c r="V60" i="4" s="1"/>
  <c r="R70" i="4"/>
  <c r="U70" i="4" s="1"/>
  <c r="V70" i="4" s="1"/>
  <c r="R80" i="4"/>
  <c r="U80" i="4" s="1"/>
  <c r="V80" i="4" s="1"/>
  <c r="R84" i="4"/>
  <c r="U84" i="4" s="1"/>
  <c r="V84" i="4" s="1"/>
  <c r="R98" i="4"/>
  <c r="U98" i="4" s="1"/>
  <c r="V98" i="4" s="1"/>
  <c r="R110" i="4"/>
  <c r="U110" i="4" s="1"/>
  <c r="V110" i="4" s="1"/>
  <c r="R116" i="4"/>
  <c r="U116" i="4" s="1"/>
  <c r="V116" i="4" s="1"/>
  <c r="S61" i="4"/>
  <c r="R61" i="4"/>
  <c r="U61" i="4" s="1"/>
  <c r="V61" i="4" s="1"/>
  <c r="S73" i="4"/>
  <c r="R73" i="4"/>
  <c r="U73" i="4" s="1"/>
  <c r="V73" i="4" s="1"/>
  <c r="S77" i="4"/>
  <c r="R77" i="4"/>
  <c r="U77" i="4" s="1"/>
  <c r="V77" i="4" s="1"/>
  <c r="S81" i="4"/>
  <c r="R81" i="4"/>
  <c r="U81" i="4" s="1"/>
  <c r="V81" i="4" s="1"/>
  <c r="S87" i="4"/>
  <c r="R87" i="4"/>
  <c r="U87" i="4" s="1"/>
  <c r="V87" i="4" s="1"/>
  <c r="S97" i="4"/>
  <c r="R97" i="4"/>
  <c r="U97" i="4" s="1"/>
  <c r="V97" i="4" s="1"/>
  <c r="S101" i="4"/>
  <c r="R101" i="4"/>
  <c r="U101" i="4" s="1"/>
  <c r="V101" i="4" s="1"/>
  <c r="S111" i="4"/>
  <c r="R111" i="4"/>
  <c r="U111" i="4" s="1"/>
  <c r="V111" i="4" s="1"/>
  <c r="S119" i="4"/>
  <c r="R119" i="4"/>
  <c r="U119" i="4" s="1"/>
  <c r="V119" i="4" s="1"/>
  <c r="R128" i="4"/>
  <c r="U128" i="4" s="1"/>
  <c r="V128" i="4" s="1"/>
  <c r="S129" i="4"/>
  <c r="R129" i="4"/>
  <c r="U129" i="4" s="1"/>
  <c r="V129" i="4" s="1"/>
  <c r="R158" i="4"/>
  <c r="U158" i="4" s="1"/>
  <c r="V158" i="4" s="1"/>
  <c r="R174" i="4"/>
  <c r="U174" i="4" s="1"/>
  <c r="V174" i="4" s="1"/>
  <c r="R178" i="4"/>
  <c r="U178" i="4" s="1"/>
  <c r="V178" i="4" s="1"/>
  <c r="S173" i="4"/>
  <c r="R173" i="4"/>
  <c r="U173" i="4" s="1"/>
  <c r="V173" i="4" s="1"/>
  <c r="S177" i="4"/>
  <c r="R177" i="4"/>
  <c r="U177" i="4" s="1"/>
  <c r="V177" i="4" s="1"/>
  <c r="T44" i="4"/>
  <c r="R205" i="4"/>
  <c r="U205" i="4" s="1"/>
  <c r="V205" i="4" s="1"/>
  <c r="R58" i="4"/>
  <c r="U58" i="4" s="1"/>
  <c r="V58" i="4" s="1"/>
  <c r="R94" i="4"/>
  <c r="U94" i="4" s="1"/>
  <c r="V94" i="4" s="1"/>
  <c r="S57" i="4"/>
  <c r="R57" i="4"/>
  <c r="U57" i="4" s="1"/>
  <c r="V57" i="4" s="1"/>
  <c r="S63" i="4"/>
  <c r="R63" i="4"/>
  <c r="U63" i="4" s="1"/>
  <c r="V63" i="4" s="1"/>
  <c r="S95" i="4"/>
  <c r="R95" i="4"/>
  <c r="U95" i="4" s="1"/>
  <c r="V95" i="4" s="1"/>
  <c r="S179" i="4"/>
  <c r="R179" i="4"/>
  <c r="U179" i="4" s="1"/>
  <c r="V179" i="4" s="1"/>
  <c r="T51" i="4"/>
  <c r="T127" i="4"/>
  <c r="R48" i="4"/>
  <c r="U48" i="4" s="1"/>
  <c r="V48" i="4" s="1"/>
  <c r="R114" i="4"/>
  <c r="U114" i="4" s="1"/>
  <c r="V114" i="4" s="1"/>
  <c r="S51" i="4"/>
  <c r="R51" i="4"/>
  <c r="U51" i="4" s="1"/>
  <c r="V51" i="4" s="1"/>
  <c r="R156" i="4"/>
  <c r="U156" i="4" s="1"/>
  <c r="V156" i="4" s="1"/>
  <c r="S127" i="4"/>
  <c r="R127" i="4"/>
  <c r="U127" i="4" s="1"/>
  <c r="V127" i="4" s="1"/>
  <c r="S155" i="4"/>
  <c r="R155" i="4"/>
  <c r="U155" i="4" s="1"/>
  <c r="V155" i="4" s="1"/>
  <c r="L36" i="3"/>
  <c r="S189" i="4"/>
  <c r="R189" i="4"/>
  <c r="U189" i="4" s="1"/>
  <c r="V189" i="4" s="1"/>
  <c r="I6" i="6"/>
  <c r="L6" i="6" s="1"/>
  <c r="G6" i="6"/>
  <c r="K6" i="6" s="1"/>
  <c r="R40" i="4"/>
  <c r="U40" i="4" s="1"/>
  <c r="V40" i="4" s="1"/>
  <c r="R38" i="4"/>
  <c r="U38" i="4" s="1"/>
  <c r="V38" i="4" s="1"/>
  <c r="S43" i="4"/>
  <c r="R43" i="4"/>
  <c r="U43" i="4" s="1"/>
  <c r="V43" i="4" s="1"/>
  <c r="S41" i="4"/>
  <c r="R41" i="4"/>
  <c r="U41" i="4" s="1"/>
  <c r="V41" i="4" s="1"/>
  <c r="S39" i="4"/>
  <c r="R39" i="4"/>
  <c r="U39" i="4" s="1"/>
  <c r="V39" i="4" s="1"/>
  <c r="S35" i="4"/>
  <c r="R35" i="4"/>
  <c r="U35" i="4" s="1"/>
  <c r="V35" i="4" s="1"/>
  <c r="S31" i="4"/>
  <c r="R31" i="4"/>
  <c r="U31" i="4" s="1"/>
  <c r="V31" i="4" s="1"/>
  <c r="S29" i="4"/>
  <c r="R29" i="4"/>
  <c r="U29" i="4" s="1"/>
  <c r="V29" i="4" s="1"/>
  <c r="S21" i="4"/>
  <c r="R21" i="4"/>
  <c r="U21" i="4" s="1"/>
  <c r="V21" i="4" s="1"/>
  <c r="S19" i="4"/>
  <c r="R19" i="4"/>
  <c r="U19" i="4" s="1"/>
  <c r="V19" i="4" s="1"/>
  <c r="S15" i="4"/>
  <c r="R15" i="4"/>
  <c r="U15" i="4" s="1"/>
  <c r="V15" i="4" s="1"/>
  <c r="S11" i="4"/>
  <c r="R11" i="4"/>
  <c r="U11" i="4" s="1"/>
  <c r="V11" i="4" s="1"/>
  <c r="S7" i="4"/>
  <c r="R7" i="4"/>
  <c r="U7" i="4" s="1"/>
  <c r="V7" i="4" s="1"/>
  <c r="T64" i="4"/>
  <c r="T103" i="4"/>
  <c r="S65" i="4"/>
  <c r="R65" i="4"/>
  <c r="U65" i="4" s="1"/>
  <c r="V65" i="4" s="1"/>
  <c r="R180" i="4"/>
  <c r="U180" i="4" s="1"/>
  <c r="V180" i="4" s="1"/>
  <c r="S139" i="4"/>
  <c r="R139" i="4"/>
  <c r="U139" i="4" s="1"/>
  <c r="V139" i="4" s="1"/>
  <c r="T138" i="4"/>
  <c r="T183" i="4"/>
  <c r="S141" i="4"/>
  <c r="R141" i="4"/>
  <c r="U141" i="4" s="1"/>
  <c r="V141" i="4" s="1"/>
  <c r="T91" i="4"/>
  <c r="T166" i="4"/>
  <c r="R142" i="4"/>
  <c r="U142" i="4" s="1"/>
  <c r="V142" i="4" s="1"/>
  <c r="S105" i="4"/>
  <c r="R105" i="4"/>
  <c r="U105" i="4" s="1"/>
  <c r="V105" i="4" s="1"/>
  <c r="T133" i="4"/>
  <c r="R68" i="4"/>
  <c r="U68" i="4" s="1"/>
  <c r="V68" i="4" s="1"/>
  <c r="S69" i="4"/>
  <c r="R69" i="4"/>
  <c r="U69" i="4" s="1"/>
  <c r="V69" i="4" s="1"/>
  <c r="S107" i="4"/>
  <c r="R107" i="4"/>
  <c r="U107" i="4" s="1"/>
  <c r="V107" i="4" s="1"/>
  <c r="R134" i="4"/>
  <c r="U134" i="4" s="1"/>
  <c r="V134" i="4" s="1"/>
  <c r="R146" i="4"/>
  <c r="U146" i="4" s="1"/>
  <c r="V146" i="4" s="1"/>
  <c r="S133" i="4"/>
  <c r="R133" i="4"/>
  <c r="U133" i="4" s="1"/>
  <c r="V133" i="4" s="1"/>
  <c r="S147" i="4"/>
  <c r="R147" i="4"/>
  <c r="U147" i="4" s="1"/>
  <c r="V147" i="4" s="1"/>
  <c r="R186" i="4"/>
  <c r="U186" i="4" s="1"/>
  <c r="V186" i="4" s="1"/>
  <c r="S185" i="4"/>
  <c r="R185" i="4"/>
  <c r="U185" i="4" s="1"/>
  <c r="V185" i="4" s="1"/>
  <c r="R201" i="4"/>
  <c r="U201" i="4" s="1"/>
  <c r="V201" i="4" s="1"/>
  <c r="S198" i="4"/>
  <c r="R198" i="4"/>
  <c r="U198" i="4" s="1"/>
  <c r="V198" i="4" s="1"/>
  <c r="S202" i="4"/>
  <c r="R202" i="4"/>
  <c r="U202" i="4" s="1"/>
  <c r="V202" i="4" s="1"/>
  <c r="T196" i="4"/>
  <c r="R190" i="4"/>
  <c r="U190" i="4" s="1"/>
  <c r="V190" i="4" s="1"/>
  <c r="R197" i="4"/>
  <c r="U197" i="4" s="1"/>
  <c r="V197" i="4" s="1"/>
  <c r="T191" i="4"/>
  <c r="T208" i="4"/>
  <c r="R192" i="4"/>
  <c r="U192" i="4" s="1"/>
  <c r="V192" i="4" s="1"/>
  <c r="R207" i="4"/>
  <c r="U207" i="4" s="1"/>
  <c r="V207" i="4" s="1"/>
  <c r="R117" i="4"/>
  <c r="U117" i="4" s="1"/>
  <c r="V117" i="4" s="1"/>
  <c r="R118" i="4"/>
  <c r="U118" i="4" s="1"/>
  <c r="V118" i="4" s="1"/>
  <c r="R136" i="4"/>
  <c r="U136" i="4" s="1"/>
  <c r="V136" i="4" s="1"/>
  <c r="S137" i="4"/>
  <c r="R137" i="4"/>
  <c r="U137" i="4" s="1"/>
  <c r="V137" i="4" s="1"/>
  <c r="T188" i="4"/>
  <c r="R182" i="4"/>
  <c r="U182" i="4" s="1"/>
  <c r="V182" i="4" s="1"/>
  <c r="S182" i="4"/>
  <c r="T184" i="4"/>
  <c r="R150" i="4"/>
  <c r="U150" i="4" s="1"/>
  <c r="V150" i="4" s="1"/>
  <c r="S150" i="4"/>
  <c r="R149" i="4"/>
  <c r="U149" i="4" s="1"/>
  <c r="V149" i="4" s="1"/>
  <c r="R168" i="4"/>
  <c r="U168" i="4" s="1"/>
  <c r="V168" i="4" s="1"/>
  <c r="S168" i="4"/>
  <c r="R184" i="4"/>
  <c r="U184" i="4" s="1"/>
  <c r="V184" i="4" s="1"/>
  <c r="S184" i="4"/>
  <c r="R169" i="4"/>
  <c r="U169" i="4" s="1"/>
  <c r="V169" i="4" s="1"/>
  <c r="R187" i="4"/>
  <c r="U187" i="4" s="1"/>
  <c r="V187" i="4" s="1"/>
  <c r="T55" i="4"/>
  <c r="R54" i="4"/>
  <c r="U54" i="4" s="1"/>
  <c r="V54" i="4" s="1"/>
  <c r="T74" i="4"/>
  <c r="R53" i="4"/>
  <c r="U53" i="4" s="1"/>
  <c r="V53" i="4" s="1"/>
  <c r="T49" i="4"/>
  <c r="T75" i="4"/>
  <c r="T83" i="4"/>
  <c r="T99" i="4"/>
  <c r="T115" i="4"/>
  <c r="T123" i="4"/>
  <c r="T159" i="4"/>
  <c r="R52" i="4"/>
  <c r="U52" i="4" s="1"/>
  <c r="V52" i="4" s="1"/>
  <c r="R62" i="4"/>
  <c r="U62" i="4" s="1"/>
  <c r="V62" i="4" s="1"/>
  <c r="R76" i="4"/>
  <c r="U76" i="4" s="1"/>
  <c r="V76" i="4" s="1"/>
  <c r="R82" i="4"/>
  <c r="U82" i="4" s="1"/>
  <c r="V82" i="4" s="1"/>
  <c r="R92" i="4"/>
  <c r="U92" i="4" s="1"/>
  <c r="V92" i="4" s="1"/>
  <c r="R100" i="4"/>
  <c r="U100" i="4" s="1"/>
  <c r="V100" i="4" s="1"/>
  <c r="R112" i="4"/>
  <c r="U112" i="4" s="1"/>
  <c r="V112" i="4" s="1"/>
  <c r="S49" i="4"/>
  <c r="R49" i="4"/>
  <c r="U49" i="4" s="1"/>
  <c r="V49" i="4" s="1"/>
  <c r="S71" i="4"/>
  <c r="R71" i="4"/>
  <c r="U71" i="4" s="1"/>
  <c r="V71" i="4" s="1"/>
  <c r="S75" i="4"/>
  <c r="R75" i="4"/>
  <c r="U75" i="4" s="1"/>
  <c r="V75" i="4" s="1"/>
  <c r="S79" i="4"/>
  <c r="R79" i="4"/>
  <c r="U79" i="4" s="1"/>
  <c r="V79" i="4" s="1"/>
  <c r="S83" i="4"/>
  <c r="R83" i="4"/>
  <c r="U83" i="4" s="1"/>
  <c r="V83" i="4" s="1"/>
  <c r="S93" i="4"/>
  <c r="R93" i="4"/>
  <c r="U93" i="4" s="1"/>
  <c r="V93" i="4" s="1"/>
  <c r="S99" i="4"/>
  <c r="R99" i="4"/>
  <c r="U99" i="4" s="1"/>
  <c r="V99" i="4" s="1"/>
  <c r="S109" i="4"/>
  <c r="R109" i="4"/>
  <c r="U109" i="4" s="1"/>
  <c r="V109" i="4" s="1"/>
  <c r="S115" i="4"/>
  <c r="R115" i="4"/>
  <c r="U115" i="4" s="1"/>
  <c r="V115" i="4" s="1"/>
  <c r="R124" i="4"/>
  <c r="U124" i="4" s="1"/>
  <c r="V124" i="4" s="1"/>
  <c r="S123" i="4"/>
  <c r="R123" i="4"/>
  <c r="U123" i="4" s="1"/>
  <c r="V123" i="4" s="1"/>
  <c r="S157" i="4"/>
  <c r="R157" i="4"/>
  <c r="U157" i="4" s="1"/>
  <c r="V157" i="4" s="1"/>
  <c r="R160" i="4"/>
  <c r="U160" i="4" s="1"/>
  <c r="V160" i="4" s="1"/>
  <c r="R176" i="4"/>
  <c r="U176" i="4" s="1"/>
  <c r="V176" i="4" s="1"/>
  <c r="S159" i="4"/>
  <c r="R159" i="4"/>
  <c r="U159" i="4" s="1"/>
  <c r="V159" i="4" s="1"/>
  <c r="S175" i="4"/>
  <c r="R175" i="4"/>
  <c r="U175" i="4" s="1"/>
  <c r="V175" i="4" s="1"/>
  <c r="T154" i="4"/>
  <c r="R154" i="4"/>
  <c r="U154" i="4" s="1"/>
  <c r="V154" i="4" s="1"/>
  <c r="S154" i="4"/>
  <c r="R120" i="4"/>
  <c r="U120" i="4" s="1"/>
  <c r="V120" i="4" s="1"/>
  <c r="T104" i="4"/>
  <c r="R104" i="4"/>
  <c r="U104" i="4" s="1"/>
  <c r="V104" i="4" s="1"/>
  <c r="S104" i="4"/>
  <c r="T205" i="4"/>
  <c r="S195" i="4"/>
  <c r="R195" i="4"/>
  <c r="U195" i="4" s="1"/>
  <c r="V195" i="4" s="1"/>
  <c r="R181" i="4"/>
  <c r="U181" i="4" s="1"/>
  <c r="V181" i="4" s="1"/>
  <c r="T58" i="4"/>
  <c r="T94" i="4"/>
  <c r="T57" i="4"/>
  <c r="T63" i="4"/>
  <c r="T95" i="4"/>
  <c r="T179" i="4"/>
  <c r="R56" i="4"/>
  <c r="U56" i="4" s="1"/>
  <c r="V56" i="4" s="1"/>
  <c r="S56" i="4"/>
  <c r="R86" i="4"/>
  <c r="U86" i="4" s="1"/>
  <c r="V86" i="4" s="1"/>
  <c r="S86" i="4"/>
  <c r="R96" i="4"/>
  <c r="U96" i="4" s="1"/>
  <c r="V96" i="4" s="1"/>
  <c r="S96" i="4"/>
  <c r="R59" i="4"/>
  <c r="U59" i="4" s="1"/>
  <c r="V59" i="4" s="1"/>
  <c r="R85" i="4"/>
  <c r="U85" i="4" s="1"/>
  <c r="V85" i="4" s="1"/>
  <c r="R122" i="4"/>
  <c r="U122" i="4" s="1"/>
  <c r="V122" i="4" s="1"/>
  <c r="S122" i="4"/>
  <c r="R172" i="4"/>
  <c r="U172" i="4" s="1"/>
  <c r="V172" i="4" s="1"/>
  <c r="T88" i="4"/>
  <c r="R88" i="4"/>
  <c r="U88" i="4" s="1"/>
  <c r="V88" i="4" s="1"/>
  <c r="S88" i="4"/>
  <c r="R47" i="4"/>
  <c r="U47" i="4" s="1"/>
  <c r="V47" i="4" s="1"/>
  <c r="R113" i="4"/>
  <c r="U113" i="4" s="1"/>
  <c r="V113" i="4" s="1"/>
  <c r="R121" i="4"/>
  <c r="U121" i="4" s="1"/>
  <c r="V121" i="4" s="1"/>
  <c r="R153" i="4"/>
  <c r="U153" i="4" s="1"/>
  <c r="V153" i="4" s="1"/>
  <c r="R161" i="4"/>
  <c r="U161" i="4" s="1"/>
  <c r="V161" i="4" s="1"/>
  <c r="R193" i="4"/>
  <c r="U193" i="4" s="1"/>
  <c r="V193" i="4" s="1"/>
  <c r="K9" i="10"/>
  <c r="L6" i="10"/>
  <c r="T40" i="4"/>
  <c r="T38" i="4"/>
  <c r="R34" i="4"/>
  <c r="U34" i="4" s="1"/>
  <c r="V34" i="4" s="1"/>
  <c r="S34" i="4"/>
  <c r="R30" i="4"/>
  <c r="U30" i="4" s="1"/>
  <c r="V30" i="4" s="1"/>
  <c r="S30" i="4"/>
  <c r="R22" i="4"/>
  <c r="U22" i="4" s="1"/>
  <c r="V22" i="4" s="1"/>
  <c r="S22" i="4"/>
  <c r="R18" i="4"/>
  <c r="U18" i="4" s="1"/>
  <c r="V18" i="4" s="1"/>
  <c r="S18" i="4"/>
  <c r="R16" i="4"/>
  <c r="U16" i="4" s="1"/>
  <c r="V16" i="4" s="1"/>
  <c r="S16" i="4"/>
  <c r="R14" i="4"/>
  <c r="U14" i="4" s="1"/>
  <c r="V14" i="4" s="1"/>
  <c r="S14" i="4"/>
  <c r="R12" i="4"/>
  <c r="U12" i="4" s="1"/>
  <c r="V12" i="4" s="1"/>
  <c r="S12" i="4"/>
  <c r="R10" i="4"/>
  <c r="U10" i="4" s="1"/>
  <c r="V10" i="4" s="1"/>
  <c r="S10" i="4"/>
  <c r="R8" i="4"/>
  <c r="U8" i="4" s="1"/>
  <c r="V8" i="4" s="1"/>
  <c r="S8" i="4"/>
  <c r="R6" i="4"/>
  <c r="U6" i="4" s="1"/>
  <c r="V6" i="4" s="1"/>
  <c r="S6" i="4"/>
  <c r="N6" i="3"/>
  <c r="N36" i="3" s="1"/>
  <c r="N41" i="3" s="1"/>
  <c r="M36" i="3"/>
  <c r="H6" i="6"/>
  <c r="J6" i="6" s="1"/>
  <c r="T193" i="4" l="1"/>
  <c r="J7" i="6"/>
  <c r="J10" i="6" s="1"/>
  <c r="C9" i="8"/>
  <c r="B9" i="8" s="1"/>
  <c r="C4" i="11" s="1"/>
  <c r="C8" i="11" s="1"/>
  <c r="K11" i="10"/>
  <c r="L9" i="10"/>
  <c r="S193" i="4"/>
  <c r="S161" i="4"/>
  <c r="T161" i="4"/>
  <c r="S153" i="4"/>
  <c r="S121" i="4"/>
  <c r="S113" i="4"/>
  <c r="S47" i="4"/>
  <c r="T121" i="4"/>
  <c r="T47" i="4"/>
  <c r="S172" i="4"/>
  <c r="T172" i="4"/>
  <c r="S85" i="4"/>
  <c r="S59" i="4"/>
  <c r="S181" i="4"/>
  <c r="S120" i="4"/>
  <c r="T120" i="4"/>
  <c r="S176" i="4"/>
  <c r="S160" i="4"/>
  <c r="S124" i="4"/>
  <c r="S112" i="4"/>
  <c r="S100" i="4"/>
  <c r="S92" i="4"/>
  <c r="S82" i="4"/>
  <c r="S76" i="4"/>
  <c r="S62" i="4"/>
  <c r="S52" i="4"/>
  <c r="T175" i="4"/>
  <c r="T176" i="4"/>
  <c r="T157" i="4"/>
  <c r="T124" i="4"/>
  <c r="T109" i="4"/>
  <c r="T93" i="4"/>
  <c r="T79" i="4"/>
  <c r="T71" i="4"/>
  <c r="T112" i="4"/>
  <c r="T92" i="4"/>
  <c r="T76" i="4"/>
  <c r="T52" i="4"/>
  <c r="S53" i="4"/>
  <c r="S54" i="4"/>
  <c r="S187" i="4"/>
  <c r="S169" i="4"/>
  <c r="S149" i="4"/>
  <c r="T169" i="4"/>
  <c r="T168" i="4"/>
  <c r="T150" i="4"/>
  <c r="S136" i="4"/>
  <c r="S118" i="4"/>
  <c r="T137" i="4"/>
  <c r="T118" i="4"/>
  <c r="S117" i="4"/>
  <c r="S207" i="4"/>
  <c r="S192" i="4"/>
  <c r="S197" i="4"/>
  <c r="S190" i="4"/>
  <c r="S201" i="4"/>
  <c r="S186" i="4"/>
  <c r="S146" i="4"/>
  <c r="S134" i="4"/>
  <c r="S68" i="4"/>
  <c r="T202" i="4"/>
  <c r="T186" i="4"/>
  <c r="T107" i="4"/>
  <c r="S142" i="4"/>
  <c r="S180" i="4"/>
  <c r="T6" i="4"/>
  <c r="T10" i="4"/>
  <c r="T14" i="4"/>
  <c r="T18" i="4"/>
  <c r="T30" i="4"/>
  <c r="S38" i="4"/>
  <c r="S40" i="4"/>
  <c r="C10" i="8"/>
  <c r="B10" i="8" s="1"/>
  <c r="B4" i="11" s="1"/>
  <c r="B8" i="11" s="1"/>
  <c r="B10" i="11" s="1"/>
  <c r="C11" i="8"/>
  <c r="K7" i="6"/>
  <c r="T189" i="4"/>
  <c r="S156" i="4"/>
  <c r="S114" i="4"/>
  <c r="S48" i="4"/>
  <c r="T155" i="4"/>
  <c r="T156" i="4"/>
  <c r="T114" i="4"/>
  <c r="S94" i="4"/>
  <c r="S58" i="4"/>
  <c r="T122" i="4"/>
  <c r="T59" i="4"/>
  <c r="T86" i="4"/>
  <c r="S205" i="4"/>
  <c r="T195" i="4"/>
  <c r="S178" i="4"/>
  <c r="S174" i="4"/>
  <c r="S158" i="4"/>
  <c r="S128" i="4"/>
  <c r="S116" i="4"/>
  <c r="S110" i="4"/>
  <c r="S98" i="4"/>
  <c r="S84" i="4"/>
  <c r="S80" i="4"/>
  <c r="S70" i="4"/>
  <c r="S60" i="4"/>
  <c r="S50" i="4"/>
  <c r="T177" i="4"/>
  <c r="T178" i="4"/>
  <c r="T158" i="4"/>
  <c r="T128" i="4"/>
  <c r="T111" i="4"/>
  <c r="T97" i="4"/>
  <c r="T81" i="4"/>
  <c r="T73" i="4"/>
  <c r="T116" i="4"/>
  <c r="T98" i="4"/>
  <c r="T80" i="4"/>
  <c r="T60" i="4"/>
  <c r="S74" i="4"/>
  <c r="T53" i="4"/>
  <c r="S55" i="4"/>
  <c r="S170" i="4"/>
  <c r="S152" i="4"/>
  <c r="T171" i="4"/>
  <c r="T170" i="4"/>
  <c r="T152" i="4"/>
  <c r="S126" i="4"/>
  <c r="T125" i="4"/>
  <c r="S72" i="4"/>
  <c r="T72" i="4"/>
  <c r="S208" i="4"/>
  <c r="S191" i="4"/>
  <c r="T192" i="4"/>
  <c r="S196" i="4"/>
  <c r="S203" i="4"/>
  <c r="S199" i="4"/>
  <c r="S164" i="4"/>
  <c r="S148" i="4"/>
  <c r="S140" i="4"/>
  <c r="S132" i="4"/>
  <c r="S78" i="4"/>
  <c r="S46" i="4"/>
  <c r="T204" i="4"/>
  <c r="T203" i="4"/>
  <c r="T165" i="4"/>
  <c r="T145" i="4"/>
  <c r="T140" i="4"/>
  <c r="T89" i="4"/>
  <c r="T78" i="4"/>
  <c r="S166" i="4"/>
  <c r="T142" i="4"/>
  <c r="S194" i="4"/>
  <c r="S130" i="4"/>
  <c r="T194" i="4"/>
  <c r="T130" i="4"/>
  <c r="T143" i="4"/>
  <c r="S67" i="4"/>
  <c r="T67" i="4"/>
  <c r="T21" i="4"/>
  <c r="T29" i="4"/>
  <c r="T41" i="4"/>
  <c r="S106" i="4"/>
  <c r="T198" i="4"/>
  <c r="T147" i="4"/>
  <c r="T134" i="4"/>
  <c r="T106" i="4"/>
  <c r="S162" i="4"/>
  <c r="S90" i="4"/>
  <c r="T206" i="4"/>
  <c r="S138" i="4"/>
  <c r="S102" i="4"/>
  <c r="T141" i="4"/>
  <c r="T139" i="4"/>
  <c r="S103" i="4"/>
  <c r="T65" i="4"/>
  <c r="S9" i="4"/>
  <c r="S13" i="4"/>
  <c r="S17" i="4"/>
  <c r="S23" i="4"/>
  <c r="S25" i="4"/>
  <c r="S27" i="4"/>
  <c r="M41" i="3"/>
  <c r="J38" i="3"/>
  <c r="F6" i="6" s="1"/>
  <c r="T153" i="4"/>
  <c r="T113" i="4"/>
  <c r="T181" i="4"/>
  <c r="T160" i="4"/>
  <c r="T100" i="4"/>
  <c r="T82" i="4"/>
  <c r="T62" i="4"/>
  <c r="T187" i="4"/>
  <c r="T149" i="4"/>
  <c r="T136" i="4"/>
  <c r="T117" i="4"/>
  <c r="T190" i="4"/>
  <c r="T201" i="4"/>
  <c r="T68" i="4"/>
  <c r="T8" i="4"/>
  <c r="T12" i="4"/>
  <c r="T16" i="4"/>
  <c r="T22" i="4"/>
  <c r="T34" i="4"/>
  <c r="C12" i="8"/>
  <c r="L7" i="6"/>
  <c r="L10" i="6" s="1"/>
  <c r="L12" i="6" s="1"/>
  <c r="M6" i="6"/>
  <c r="M7" i="6" s="1"/>
  <c r="M10" i="6" s="1"/>
  <c r="M12" i="6" s="1"/>
  <c r="T48" i="4"/>
  <c r="T85" i="4"/>
  <c r="T96" i="4"/>
  <c r="T56" i="4"/>
  <c r="T174" i="4"/>
  <c r="T110" i="4"/>
  <c r="T84" i="4"/>
  <c r="T70" i="4"/>
  <c r="T50" i="4"/>
  <c r="T54" i="4"/>
  <c r="T182" i="4"/>
  <c r="T126" i="4"/>
  <c r="T207" i="4"/>
  <c r="T197" i="4"/>
  <c r="T199" i="4"/>
  <c r="T164" i="4"/>
  <c r="T148" i="4"/>
  <c r="T132" i="4"/>
  <c r="T46" i="4"/>
  <c r="T7" i="4"/>
  <c r="T11" i="4"/>
  <c r="T15" i="4"/>
  <c r="T19" i="4"/>
  <c r="T31" i="4"/>
  <c r="T35" i="4"/>
  <c r="T39" i="4"/>
  <c r="T43" i="4"/>
  <c r="T185" i="4"/>
  <c r="T146" i="4"/>
  <c r="T69" i="4"/>
  <c r="T105" i="4"/>
  <c r="T135" i="4"/>
  <c r="T102" i="4"/>
  <c r="T180" i="4"/>
  <c r="R209" i="4"/>
  <c r="U5" i="4"/>
  <c r="B11" i="8" l="1"/>
  <c r="K10" i="6"/>
  <c r="E6" i="11"/>
  <c r="F6" i="11" s="1"/>
  <c r="L11" i="10"/>
  <c r="U209" i="4"/>
  <c r="Q209" i="4" s="1"/>
  <c r="V5" i="4"/>
  <c r="V209" i="4" s="1"/>
  <c r="B12" i="8"/>
  <c r="E4" i="11" s="1"/>
  <c r="C15" i="8"/>
  <c r="B15" i="8" l="1"/>
  <c r="B20" i="8" s="1"/>
  <c r="C20" i="8"/>
  <c r="C16" i="8"/>
  <c r="F4" i="11"/>
  <c r="F12" i="11" s="1"/>
  <c r="E8" i="11"/>
  <c r="F8" i="11" s="1"/>
  <c r="B16" i="8" l="1"/>
  <c r="C17" i="8"/>
  <c r="B17" i="8" s="1"/>
</calcChain>
</file>

<file path=xl/sharedStrings.xml><?xml version="1.0" encoding="utf-8"?>
<sst xmlns="http://schemas.openxmlformats.org/spreadsheetml/2006/main" count="3430" uniqueCount="679">
  <si>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</si>
  <si>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</si>
  <si>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</si>
  <si>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</si>
  <si>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</si>
  <si>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</si>
  <si>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</si>
  <si>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</si>
  <si>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</si>
  <si>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215J</t>
  </si>
  <si>
    <t>5W</t>
  </si>
  <si>
    <t>4W</t>
  </si>
  <si>
    <t>129J</t>
  </si>
  <si>
    <t>3W</t>
  </si>
  <si>
    <t>86J</t>
  </si>
  <si>
    <t>2W</t>
  </si>
  <si>
    <t>43J</t>
  </si>
  <si>
    <t>1W</t>
  </si>
  <si>
    <t>26J</t>
  </si>
  <si>
    <t>12J</t>
  </si>
  <si>
    <t>6J</t>
  </si>
  <si>
    <t>4J</t>
  </si>
  <si>
    <t>3J</t>
  </si>
  <si>
    <t>2J</t>
  </si>
  <si>
    <t>1J</t>
  </si>
  <si>
    <t xml:space="preserve">werkdag extra       </t>
  </si>
  <si>
    <t xml:space="preserve">werkdag vakantie    </t>
  </si>
  <si>
    <t xml:space="preserve">weekenddag          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</si>
  <si>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</si>
  <si>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</si>
  <si>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</si>
  <si>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</si>
  <si>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</si>
  <si>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</si>
  <si>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</si>
  <si>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</si>
  <si>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</si>
  <si>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GFHB</t>
  </si>
  <si>
    <t xml:space="preserve">G    </t>
  </si>
  <si>
    <t>Fitnessruimten - harde vloeren (basis)</t>
  </si>
  <si>
    <t>m²/uur</t>
  </si>
  <si>
    <t>GFHV</t>
  </si>
  <si>
    <t>Fitnessruimten - harde vloeren (volledig)</t>
  </si>
  <si>
    <t>GSHB</t>
  </si>
  <si>
    <t>Gymzalen/sportruimten/toestelberging - harde vloeren (basis)</t>
  </si>
  <si>
    <t>GSHV</t>
  </si>
  <si>
    <t>Gymzalen/sportruimten/toestelberging - harde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</si>
  <si>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</si>
  <si>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</si>
  <si>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</si>
  <si>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</si>
  <si>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</si>
  <si>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</si>
  <si>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</si>
  <si>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</si>
  <si>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</si>
  <si>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</si>
  <si>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</si>
  <si>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</si>
  <si>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</si>
  <si>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KAHB</t>
  </si>
  <si>
    <t xml:space="preserve">V    </t>
  </si>
  <si>
    <t>Aula/kantine - harde vloeren (basis)</t>
  </si>
  <si>
    <t>KAHV</t>
  </si>
  <si>
    <t>Aula/kantine - harde vloeren (volledig)</t>
  </si>
  <si>
    <t>KDHB</t>
  </si>
  <si>
    <t>Docentenkamer - harde vloeren (basis)</t>
  </si>
  <si>
    <t>KDHV</t>
  </si>
  <si>
    <t>Docentenkamer - harde vloeren (volledig)</t>
  </si>
  <si>
    <t>KKHB</t>
  </si>
  <si>
    <t>Keuken - harde vloeren (basis)</t>
  </si>
  <si>
    <t>KKHV</t>
  </si>
  <si>
    <t>Keuken - harde vloeren (volledig)</t>
  </si>
  <si>
    <t>OAHB</t>
  </si>
  <si>
    <t>Opslag/archief/magazijn - harde vloeren (basis)</t>
  </si>
  <si>
    <t>OAHV</t>
  </si>
  <si>
    <t>Opslag/archief/magazijn - harde vloeren (volledig)</t>
  </si>
  <si>
    <t>VAHB</t>
  </si>
  <si>
    <t>Verkeer algemeen - harde vloeren (basis)</t>
  </si>
  <si>
    <t>VAHV</t>
  </si>
  <si>
    <t>Verkeer algemeen - harde vloeren (volledig)</t>
  </si>
  <si>
    <t>VEHB</t>
  </si>
  <si>
    <t>Entree - harde vloeren (basis)</t>
  </si>
  <si>
    <t>VEHV</t>
  </si>
  <si>
    <t>Entree - harde vloeren (volledig)</t>
  </si>
  <si>
    <t>VEZB</t>
  </si>
  <si>
    <t>Entree - zachte vloeren (basis)</t>
  </si>
  <si>
    <t>VEZV</t>
  </si>
  <si>
    <t>Entree - zachte vloeren (volledig)</t>
  </si>
  <si>
    <t>VOHB</t>
  </si>
  <si>
    <t>Verkeer overigen - harde vloeren (basis)</t>
  </si>
  <si>
    <t>VOHV</t>
  </si>
  <si>
    <t>Verkeer overigen - harde vloeren (volledig)</t>
  </si>
  <si>
    <t>VTHB</t>
  </si>
  <si>
    <t>Trap - harde vloeren (basis)</t>
  </si>
  <si>
    <t>VTHV</t>
  </si>
  <si>
    <t>Trap - harde vloeren (volledig)</t>
  </si>
  <si>
    <t>BKHB</t>
  </si>
  <si>
    <t xml:space="preserve">W    </t>
  </si>
  <si>
    <t>Bureaukamers - harde vloeren (basis)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</si>
  <si>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</si>
  <si>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</si>
  <si>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</si>
  <si>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</si>
  <si>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</si>
  <si>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</si>
  <si>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LAHB</t>
  </si>
  <si>
    <t>Auditoria - harde vloeren (basis)</t>
  </si>
  <si>
    <t>LAHV</t>
  </si>
  <si>
    <t>Auditoria - harde vloeren (volledig)</t>
  </si>
  <si>
    <t>LLHB</t>
  </si>
  <si>
    <t>Leslokaal - harde vloeren (basis)</t>
  </si>
  <si>
    <t>LLHV</t>
  </si>
  <si>
    <t>Leslokaal - harde vloeren (volledig)</t>
  </si>
  <si>
    <t>LLZB</t>
  </si>
  <si>
    <t>Leslokaal - zachte vloeren (basis)</t>
  </si>
  <si>
    <t>LLZV</t>
  </si>
  <si>
    <t>Leslokaal - zachte vloeren (volledig)</t>
  </si>
  <si>
    <t>LOHB</t>
  </si>
  <si>
    <t>Open leerruimten - harde vloeren (basis)</t>
  </si>
  <si>
    <t>LOHV</t>
  </si>
  <si>
    <t>Open leerruimten - harde vloeren (volledig)</t>
  </si>
  <si>
    <t>PAHB</t>
  </si>
  <si>
    <t>Praktijk atelier - harde vloeren (basis)</t>
  </si>
  <si>
    <t>PAHV</t>
  </si>
  <si>
    <t>Praktijk atelier - harde vloeren (volledig)</t>
  </si>
  <si>
    <t>PLHB</t>
  </si>
  <si>
    <t>Praktijk labs - harde vloeren (basis)</t>
  </si>
  <si>
    <t>PLHV</t>
  </si>
  <si>
    <t>Praktijk labs - harde vloeren (volledig)</t>
  </si>
  <si>
    <t>PSHB</t>
  </si>
  <si>
    <t>Praktijk standaard - harde vloeren (basis)</t>
  </si>
  <si>
    <t>PSHV</t>
  </si>
  <si>
    <t>Praktijk standaard - harde vloeren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</si>
  <si>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</si>
  <si>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</si>
  <si>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</si>
  <si>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</si>
  <si>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</si>
  <si>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</si>
  <si>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</si>
  <si>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</si>
  <si>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</si>
  <si>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</si>
  <si>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</si>
  <si>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</si>
  <si>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</si>
  <si>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GFH</t>
  </si>
  <si>
    <t>Fitnessruimte - harde vloeren</t>
  </si>
  <si>
    <t>GSH</t>
  </si>
  <si>
    <t>Gymzaal/sportruimten/toestelberging - harde vloeren</t>
  </si>
  <si>
    <t>KAH</t>
  </si>
  <si>
    <t>Aula/kantine - harde vloeren</t>
  </si>
  <si>
    <t>KDH</t>
  </si>
  <si>
    <t>Docentenkamer - harde vloeren</t>
  </si>
  <si>
    <t>KKH</t>
  </si>
  <si>
    <t>Keuken - harde vloeren</t>
  </si>
  <si>
    <t>LAH</t>
  </si>
  <si>
    <t>Auditoria - harde vloeren</t>
  </si>
  <si>
    <t>LLH</t>
  </si>
  <si>
    <t>Leslokaal - harde vloeren</t>
  </si>
  <si>
    <t>LLZ</t>
  </si>
  <si>
    <t>Leslokaal - zachte vloeren</t>
  </si>
  <si>
    <t>LOH</t>
  </si>
  <si>
    <t>Open studieruimten - harde vloeren</t>
  </si>
  <si>
    <t>OAH</t>
  </si>
  <si>
    <t>Opslag/archief/magazijn - harde vloeren</t>
  </si>
  <si>
    <t>PAH</t>
  </si>
  <si>
    <t>Praktijklokaal atelier - harde vloeren</t>
  </si>
  <si>
    <t>PLH</t>
  </si>
  <si>
    <t>Praktijklokaal labs - harde vloeren</t>
  </si>
  <si>
    <t>PSH</t>
  </si>
  <si>
    <t>Praktijklokaal standaard - harde vloeren</t>
  </si>
  <si>
    <t>SDH</t>
  </si>
  <si>
    <t>Douche - harde vloeren</t>
  </si>
  <si>
    <t>SKH</t>
  </si>
  <si>
    <t>Kleedruimte - harde vloeren</t>
  </si>
  <si>
    <t>STH</t>
  </si>
  <si>
    <t>Toilet - harde vloeren</t>
  </si>
  <si>
    <t>VAH</t>
  </si>
  <si>
    <t>Verkeer algemeen - harde vloeren</t>
  </si>
  <si>
    <t>VEH</t>
  </si>
  <si>
    <t>Entree - harde vloeren</t>
  </si>
  <si>
    <t>VEZ</t>
  </si>
  <si>
    <t>Entree - zachte vloeren</t>
  </si>
  <si>
    <t>VOH</t>
  </si>
  <si>
    <t>Verkeer overigen - harde vloeren</t>
  </si>
  <si>
    <t>VTH</t>
  </si>
  <si>
    <t>Trap - harde vloeren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</si>
  <si>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</si>
  <si>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</si>
  <si>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</si>
  <si>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</si>
  <si>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</si>
  <si>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</si>
  <si>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</si>
  <si>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</si>
  <si>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</si>
  <si>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</si>
  <si>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</si>
  <si>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VSR</t>
  </si>
  <si>
    <t>UREN HOOG-FREQUENT/ DAG</t>
  </si>
  <si>
    <t>170 - Eckart College, Damocleslaan 3, Eindhoven</t>
  </si>
  <si>
    <t>170</t>
  </si>
  <si>
    <t>01HG</t>
  </si>
  <si>
    <t>00</t>
  </si>
  <si>
    <t>C-VL.</t>
  </si>
  <si>
    <t>TOILETGROEP</t>
  </si>
  <si>
    <t>steen</t>
  </si>
  <si>
    <t>S</t>
  </si>
  <si>
    <t>C01</t>
  </si>
  <si>
    <t>KANTOOR</t>
  </si>
  <si>
    <t>tapijt</t>
  </si>
  <si>
    <t>B</t>
  </si>
  <si>
    <t>C02</t>
  </si>
  <si>
    <t>PRAKTIJKLOKAAL</t>
  </si>
  <si>
    <t>lino/steen</t>
  </si>
  <si>
    <t>L</t>
  </si>
  <si>
    <t>C03</t>
  </si>
  <si>
    <t>WERKRUIMTE TOA</t>
  </si>
  <si>
    <t>lino</t>
  </si>
  <si>
    <t>C04</t>
  </si>
  <si>
    <t>LESLOKAAL</t>
  </si>
  <si>
    <t>rubber</t>
  </si>
  <si>
    <t>C05</t>
  </si>
  <si>
    <t>KABINET NATUURKUNDE</t>
  </si>
  <si>
    <t>C06</t>
  </si>
  <si>
    <t>C07</t>
  </si>
  <si>
    <t>C08</t>
  </si>
  <si>
    <t>C09</t>
  </si>
  <si>
    <t>KABINET BIO</t>
  </si>
  <si>
    <t>C10</t>
  </si>
  <si>
    <t>C11</t>
  </si>
  <si>
    <t>MUZIEKLOKAAL</t>
  </si>
  <si>
    <t>C13</t>
  </si>
  <si>
    <t>C14</t>
  </si>
  <si>
    <t>KABINET SCHEIKUNDE</t>
  </si>
  <si>
    <t>C15</t>
  </si>
  <si>
    <t>C16</t>
  </si>
  <si>
    <t>COMPUTERRUIMTE</t>
  </si>
  <si>
    <t>C17</t>
  </si>
  <si>
    <t>KANTOORRUIMTE</t>
  </si>
  <si>
    <t>C17A</t>
  </si>
  <si>
    <t>WACHTRUIMTE</t>
  </si>
  <si>
    <t>V</t>
  </si>
  <si>
    <t>C17B</t>
  </si>
  <si>
    <t>VERKEERSRUIMTE</t>
  </si>
  <si>
    <t>E-VL.</t>
  </si>
  <si>
    <t>E01</t>
  </si>
  <si>
    <t>RECEPTIE</t>
  </si>
  <si>
    <t>E01A</t>
  </si>
  <si>
    <t>E01B</t>
  </si>
  <si>
    <t>HAL</t>
  </si>
  <si>
    <t>tarkett</t>
  </si>
  <si>
    <t>E03</t>
  </si>
  <si>
    <t>PERSONEELSKAMER</t>
  </si>
  <si>
    <t>pvc</t>
  </si>
  <si>
    <t>E03A</t>
  </si>
  <si>
    <t>E03B</t>
  </si>
  <si>
    <t>BEZINNINGSRUIMTE</t>
  </si>
  <si>
    <t>E04</t>
  </si>
  <si>
    <t>E05</t>
  </si>
  <si>
    <t>vast tapijt</t>
  </si>
  <si>
    <t>E06</t>
  </si>
  <si>
    <t>RECTOR</t>
  </si>
  <si>
    <t>E07</t>
  </si>
  <si>
    <t>ENTREE1</t>
  </si>
  <si>
    <t>ENTREE/PORTAAL</t>
  </si>
  <si>
    <t>coral</t>
  </si>
  <si>
    <t>HAL A</t>
  </si>
  <si>
    <t>ENTREE/HAL</t>
  </si>
  <si>
    <t>TOCHTSLUIS</t>
  </si>
  <si>
    <t>coral/steen</t>
  </si>
  <si>
    <t>HAL B</t>
  </si>
  <si>
    <t>HING</t>
  </si>
  <si>
    <t>HOOFDINGANG</t>
  </si>
  <si>
    <t>INV.</t>
  </si>
  <si>
    <t>INVALIDETOILET</t>
  </si>
  <si>
    <t>KEUKEN</t>
  </si>
  <si>
    <t>T-VL.</t>
  </si>
  <si>
    <t>gietvloer</t>
  </si>
  <si>
    <t>T01</t>
  </si>
  <si>
    <t>T02</t>
  </si>
  <si>
    <t>KANTOOR/CONCIERGE</t>
  </si>
  <si>
    <t>T03</t>
  </si>
  <si>
    <t>T04</t>
  </si>
  <si>
    <t>T05</t>
  </si>
  <si>
    <t>KANTOOR/SYSTEEMBEHEERDER</t>
  </si>
  <si>
    <t>T06</t>
  </si>
  <si>
    <t>T07</t>
  </si>
  <si>
    <t>T08</t>
  </si>
  <si>
    <t>STILTERUIMTE</t>
  </si>
  <si>
    <t>T09</t>
  </si>
  <si>
    <t>BPS LOKAAL</t>
  </si>
  <si>
    <t>T09a</t>
  </si>
  <si>
    <t>T09b</t>
  </si>
  <si>
    <t>T09c</t>
  </si>
  <si>
    <t>T09d</t>
  </si>
  <si>
    <t>T10</t>
  </si>
  <si>
    <t>T11</t>
  </si>
  <si>
    <t>T12</t>
  </si>
  <si>
    <t>T13</t>
  </si>
  <si>
    <t>KANTOOR/DECANENKAMER</t>
  </si>
  <si>
    <t>TR1 V</t>
  </si>
  <si>
    <t>TRAP</t>
  </si>
  <si>
    <t>TR2 V</t>
  </si>
  <si>
    <t>TR3</t>
  </si>
  <si>
    <t>TR4</t>
  </si>
  <si>
    <t>V-VL.</t>
  </si>
  <si>
    <t>V02</t>
  </si>
  <si>
    <t>V03</t>
  </si>
  <si>
    <t>V03A</t>
  </si>
  <si>
    <t>KABINET AARDRIJKSK.</t>
  </si>
  <si>
    <t>lino/tapijt</t>
  </si>
  <si>
    <t>V04</t>
  </si>
  <si>
    <t>V05</t>
  </si>
  <si>
    <t>V06</t>
  </si>
  <si>
    <t>V07</t>
  </si>
  <si>
    <t>V08</t>
  </si>
  <si>
    <t>01</t>
  </si>
  <si>
    <t>TOILET</t>
  </si>
  <si>
    <t>T21</t>
  </si>
  <si>
    <t>T22</t>
  </si>
  <si>
    <t>T23</t>
  </si>
  <si>
    <t>T24</t>
  </si>
  <si>
    <t>T25</t>
  </si>
  <si>
    <t>T26</t>
  </si>
  <si>
    <t>T27</t>
  </si>
  <si>
    <t>T27A</t>
  </si>
  <si>
    <t>T28</t>
  </si>
  <si>
    <t>T29</t>
  </si>
  <si>
    <t>V101</t>
  </si>
  <si>
    <t>V102</t>
  </si>
  <si>
    <t>V21</t>
  </si>
  <si>
    <t>V22</t>
  </si>
  <si>
    <t>V23</t>
  </si>
  <si>
    <t>V23A</t>
  </si>
  <si>
    <t>V24</t>
  </si>
  <si>
    <t>V25</t>
  </si>
  <si>
    <t>V26</t>
  </si>
  <si>
    <t>V27</t>
  </si>
  <si>
    <t>V28</t>
  </si>
  <si>
    <t>V29</t>
  </si>
  <si>
    <t>02AU</t>
  </si>
  <si>
    <t>10.01</t>
  </si>
  <si>
    <t>10.01A</t>
  </si>
  <si>
    <t>hout</t>
  </si>
  <si>
    <t>10.02</t>
  </si>
  <si>
    <t>OVERBLIJFRUIMTE</t>
  </si>
  <si>
    <t>10.02A</t>
  </si>
  <si>
    <t>BALKON</t>
  </si>
  <si>
    <t>10.09</t>
  </si>
  <si>
    <t>TOILETGROEP DAMES</t>
  </si>
  <si>
    <t>10.11</t>
  </si>
  <si>
    <t>TOILETGROEP HEREN</t>
  </si>
  <si>
    <t>10.12</t>
  </si>
  <si>
    <t>SLUIS</t>
  </si>
  <si>
    <t>inloopmat</t>
  </si>
  <si>
    <t>03BK</t>
  </si>
  <si>
    <t>B01</t>
  </si>
  <si>
    <t>B02</t>
  </si>
  <si>
    <t>B03</t>
  </si>
  <si>
    <t>B04</t>
  </si>
  <si>
    <t>B05</t>
  </si>
  <si>
    <t>B06</t>
  </si>
  <si>
    <t>B07</t>
  </si>
  <si>
    <t>B08</t>
  </si>
  <si>
    <t>B08a</t>
  </si>
  <si>
    <t>KABINET BIOLOGIE</t>
  </si>
  <si>
    <t>B09</t>
  </si>
  <si>
    <t>TEKENLOKAAL</t>
  </si>
  <si>
    <t>B10</t>
  </si>
  <si>
    <t>B11</t>
  </si>
  <si>
    <t>B11a</t>
  </si>
  <si>
    <t>B12</t>
  </si>
  <si>
    <t>B13</t>
  </si>
  <si>
    <t>B14</t>
  </si>
  <si>
    <t>TO LOKAAL</t>
  </si>
  <si>
    <t>B15</t>
  </si>
  <si>
    <t>B15a</t>
  </si>
  <si>
    <t>KANTOOR / SCHOONMAAK</t>
  </si>
  <si>
    <t>B16</t>
  </si>
  <si>
    <t>B17</t>
  </si>
  <si>
    <t>ENTREE3</t>
  </si>
  <si>
    <t>ENTREE4</t>
  </si>
  <si>
    <t>TOILET1</t>
  </si>
  <si>
    <t>TOILET2</t>
  </si>
  <si>
    <t>TOILET3</t>
  </si>
  <si>
    <t>VBRUG</t>
  </si>
  <si>
    <t>04ML</t>
  </si>
  <si>
    <t>B18</t>
  </si>
  <si>
    <t>sure step</t>
  </si>
  <si>
    <t>B19</t>
  </si>
  <si>
    <t>ENTREEM</t>
  </si>
  <si>
    <t>GARM</t>
  </si>
  <si>
    <t>GARDEROBE</t>
  </si>
  <si>
    <t>TOILM</t>
  </si>
  <si>
    <t>05SH</t>
  </si>
  <si>
    <t>101</t>
  </si>
  <si>
    <t>ENTREE</t>
  </si>
  <si>
    <t>102</t>
  </si>
  <si>
    <t>104</t>
  </si>
  <si>
    <t>REPRORUIMTE</t>
  </si>
  <si>
    <t>106</t>
  </si>
  <si>
    <t>lino/noppen</t>
  </si>
  <si>
    <t>108</t>
  </si>
  <si>
    <t>109</t>
  </si>
  <si>
    <t>113</t>
  </si>
  <si>
    <t>114</t>
  </si>
  <si>
    <t>126</t>
  </si>
  <si>
    <t>STUDIERUIMTE</t>
  </si>
  <si>
    <t>127</t>
  </si>
  <si>
    <t>128</t>
  </si>
  <si>
    <t>129</t>
  </si>
  <si>
    <t>S01</t>
  </si>
  <si>
    <t>CONCIERGE</t>
  </si>
  <si>
    <t>S02</t>
  </si>
  <si>
    <t>COLLEGEZAAL</t>
  </si>
  <si>
    <t>S03</t>
  </si>
  <si>
    <t>S04</t>
  </si>
  <si>
    <t>S05</t>
  </si>
  <si>
    <t>S06</t>
  </si>
  <si>
    <t>S07</t>
  </si>
  <si>
    <t>S08</t>
  </si>
  <si>
    <t>S09</t>
  </si>
  <si>
    <t>V109</t>
  </si>
  <si>
    <t>202</t>
  </si>
  <si>
    <t>205</t>
  </si>
  <si>
    <t>206</t>
  </si>
  <si>
    <t>208</t>
  </si>
  <si>
    <t>215</t>
  </si>
  <si>
    <t>217</t>
  </si>
  <si>
    <t>218</t>
  </si>
  <si>
    <t>219</t>
  </si>
  <si>
    <t>220</t>
  </si>
  <si>
    <t>S21</t>
  </si>
  <si>
    <t>DOCENTENKAMER</t>
  </si>
  <si>
    <t>S22</t>
  </si>
  <si>
    <t>S23</t>
  </si>
  <si>
    <t>S24</t>
  </si>
  <si>
    <t>S25</t>
  </si>
  <si>
    <t>S26</t>
  </si>
  <si>
    <t>S27</t>
  </si>
  <si>
    <t>S28</t>
  </si>
  <si>
    <t>tr.2</t>
  </si>
  <si>
    <t>06FN</t>
  </si>
  <si>
    <t>Fitn.</t>
  </si>
  <si>
    <t>FITNESS</t>
  </si>
  <si>
    <t>07TN</t>
  </si>
  <si>
    <t>B1</t>
  </si>
  <si>
    <t>BERGING</t>
  </si>
  <si>
    <t>ENTREE5</t>
  </si>
  <si>
    <t>TECH1</t>
  </si>
  <si>
    <t>TECHNASIUM</t>
  </si>
  <si>
    <t>TECH2</t>
  </si>
  <si>
    <t>TECHNASIUM VERDIEPING</t>
  </si>
  <si>
    <t>08SP</t>
  </si>
  <si>
    <t>BINBER.</t>
  </si>
  <si>
    <t>BINNENBERGING</t>
  </si>
  <si>
    <t>D1</t>
  </si>
  <si>
    <t>D2</t>
  </si>
  <si>
    <t>DOCENTENKLEEDRUIMTE</t>
  </si>
  <si>
    <t>DD1</t>
  </si>
  <si>
    <t>DOUCHERUIMTE</t>
  </si>
  <si>
    <t>DR1</t>
  </si>
  <si>
    <t>EHBO</t>
  </si>
  <si>
    <t>E.H.B.O.-RUIMTE</t>
  </si>
  <si>
    <t>ENTREE2</t>
  </si>
  <si>
    <t>GYM</t>
  </si>
  <si>
    <t>GYMZAAL</t>
  </si>
  <si>
    <t>KD1</t>
  </si>
  <si>
    <t>KLEEDRUIMTE DAMES</t>
  </si>
  <si>
    <t>KLH</t>
  </si>
  <si>
    <t>KLEEDRUIMTE HEREN</t>
  </si>
  <si>
    <t>TD1</t>
  </si>
  <si>
    <t>TOILET DAMES</t>
  </si>
  <si>
    <t>TD2</t>
  </si>
  <si>
    <t>TD3</t>
  </si>
  <si>
    <t>TDOC.</t>
  </si>
  <si>
    <t>TOILET DOCENTEN</t>
  </si>
  <si>
    <t>TH1</t>
  </si>
  <si>
    <t>TOILET HEREN</t>
  </si>
  <si>
    <t>TH2</t>
  </si>
  <si>
    <t>URINOIR</t>
  </si>
  <si>
    <t>TH3</t>
  </si>
  <si>
    <t>TOEST.</t>
  </si>
  <si>
    <t>TOESTELBERGING</t>
  </si>
  <si>
    <t>V1</t>
  </si>
  <si>
    <t>WD1</t>
  </si>
  <si>
    <t>WAS/DOUCHERUIMTE</t>
  </si>
  <si>
    <t>WDD1</t>
  </si>
  <si>
    <t>Totaal werkdag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</si>
  <si>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</si>
  <si>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</si>
  <si>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</si>
  <si>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</si>
  <si>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</si>
  <si>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</si>
  <si>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</si>
  <si>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170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</si>
  <si>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</si>
  <si>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</si>
  <si>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</si>
  <si>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</si>
  <si>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</si>
  <si>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</si>
  <si>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</si>
  <si>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</si>
  <si>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</si>
  <si>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JAAR (EURO)</t>
  </si>
  <si>
    <t>PRIJS/ MAAND (EURO)</t>
  </si>
  <si>
    <t>Eckart College</t>
  </si>
  <si>
    <t>Damocleslaan 3</t>
  </si>
  <si>
    <t>Eindhoven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</si>
  <si>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</si>
  <si>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</si>
  <si>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</si>
  <si>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</si>
  <si>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</si>
  <si>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</si>
  <si>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</si>
  <si>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</si>
  <si>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</si>
  <si>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</si>
  <si>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</si>
  <si>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&lt;invullen functie afh. van uren uitvoering per jaar&gt;</t>
  </si>
  <si>
    <t>&lt;invullen functie met vaste uren per dag&gt;</t>
  </si>
  <si>
    <t>Totaal 170 - Eckart College, Damocleslaan 3, Eindhoven</t>
  </si>
  <si>
    <t>Totaal niet-meewerkende objectleiding</t>
  </si>
  <si>
    <t>Totaal niet-meewerkende objectleiding (incl. BTW)</t>
  </si>
  <si>
    <t>Object</t>
  </si>
  <si>
    <t>Naam</t>
  </si>
  <si>
    <t>Adres</t>
  </si>
  <si>
    <t>Plaats</t>
  </si>
  <si>
    <t>Oppervlakte in onderhoud</t>
  </si>
  <si>
    <t/>
  </si>
  <si>
    <t>Uren hoog-frequent/ jaar</t>
  </si>
  <si>
    <t xml:space="preserve">Uren/ jaar werkdag             </t>
  </si>
  <si>
    <t xml:space="preserve">Gemiddelde productienorm werkdag             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</si>
  <si>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</si>
  <si>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</si>
  <si>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</si>
  <si>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</si>
  <si>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</si>
  <si>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</si>
  <si>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Prijs per m² per jaar</t>
  </si>
  <si>
    <t>TOTAAL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</si>
  <si>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</si>
  <si>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</si>
  <si>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</si>
  <si>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</si>
  <si>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</si>
  <si>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</si>
  <si>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</si>
  <si>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</si>
  <si>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</si>
  <si>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</si>
  <si>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</si>
  <si>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</si>
  <si>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</si>
  <si>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</si>
  <si>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</si>
  <si>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</si>
  <si>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</si>
  <si>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</si>
  <si>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</si>
  <si>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</si>
  <si>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</si>
  <si>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</si>
  <si>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</si>
  <si>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</si>
  <si>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</si>
  <si>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</si>
  <si>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</si>
  <si>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</si>
  <si>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</si>
  <si>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</si>
  <si>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</si>
  <si>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</si>
  <si>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</si>
  <si>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</si>
  <si>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</si>
  <si>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</si>
  <si>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</si>
  <si>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</si>
  <si>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</si>
  <si>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</si>
  <si>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</si>
  <si>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</si>
  <si>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</si>
  <si>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</si>
  <si>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</si>
  <si>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</si>
  <si>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</si>
  <si>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</si>
  <si>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</si>
  <si>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</si>
  <si>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</si>
  <si>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</si>
  <si>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</si>
  <si>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</si>
  <si>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</si>
  <si>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</si>
  <si>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</si>
  <si>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</si>
  <si>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</si>
  <si>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</si>
  <si>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</si>
  <si>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</si>
  <si>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</si>
  <si>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</si>
  <si>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</si>
  <si>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</si>
  <si>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</si>
  <si>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</si>
  <si>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 excl. uitruimen/inruimen</t>
  </si>
  <si>
    <t>4030B</t>
  </si>
  <si>
    <t>4030C</t>
  </si>
  <si>
    <t>4030D</t>
  </si>
  <si>
    <t>4031A</t>
  </si>
  <si>
    <t>Linoleum vloeren strippen/conserveren incl. uitruimen/inruimen</t>
  </si>
  <si>
    <t>4031B</t>
  </si>
  <si>
    <t>4031C</t>
  </si>
  <si>
    <t>4031D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</si>
  <si>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</si>
  <si>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</si>
  <si>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</si>
  <si>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</si>
  <si>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</si>
  <si>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</si>
  <si>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</si>
  <si>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</si>
  <si>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</si>
  <si>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</si>
  <si>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</si>
  <si>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 excl. uitruimen/inruimen</t>
  </si>
  <si>
    <t>4060B</t>
  </si>
  <si>
    <t>4060C</t>
  </si>
  <si>
    <t>4060D</t>
  </si>
  <si>
    <t>4061A</t>
  </si>
  <si>
    <t>Tapijt reinigen sproei/extractie methode incl. uitruimen/inruimen</t>
  </si>
  <si>
    <t>4061B</t>
  </si>
  <si>
    <t>4061C</t>
  </si>
  <si>
    <t>4061D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</si>
  <si>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</si>
  <si>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</si>
  <si>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</si>
  <si>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</si>
  <si>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</si>
  <si>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</si>
  <si>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</si>
  <si>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</si>
  <si>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</si>
  <si>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</si>
  <si>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</si>
  <si>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</si>
  <si>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</si>
  <si>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</si>
  <si>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</si>
  <si>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</si>
  <si>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</si>
  <si>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</si>
  <si>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</si>
  <si>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</si>
  <si>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</si>
  <si>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</si>
  <si>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</si>
  <si>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</si>
  <si>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</si>
  <si>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</si>
  <si>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</si>
  <si>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</si>
  <si>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</si>
  <si>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</si>
  <si>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</si>
  <si>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Regie (geschat)</t>
  </si>
  <si>
    <t>Totaal generaal</t>
  </si>
  <si>
    <t>Percentage objectleiding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</si>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</sst>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1" fontId="0" fillId="0" borderId="14" xfId="0" applyNumberFormat="1" applyBorder="1"/>
    <xf numFmtId="49" fontId="0" fillId="0" borderId="14" xfId="0" applyNumberFormat="1" applyBorder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0" fontId="0" fillId="3" borderId="12" xfId="0" applyFill="1" applyBorder="1"/>
    <xf numFmtId="49" fontId="0" fillId="3" borderId="14" xfId="0" applyNumberFormat="1" applyFill="1" applyBorder="1"/>
    <xf numFmtId="49" fontId="0" fillId="3" borderId="15" xfId="0" applyNumberFormat="1" applyFill="1" applyBorder="1"/>
    <xf numFmtId="0" fontId="0" fillId="3" borderId="15" xfId="0" applyFill="1" applyBorder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4" fontId="0" fillId="3" borderId="16" xfId="0" applyNumberFormat="1" applyFill="1" applyBorder="1"/>
    <xf numFmtId="10" fontId="0" fillId="3" borderId="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02CC1-07EB-40EA-B9F5-71204AF38F85}">
  <dimension ref="A1:K28"/>
  <sheetViews>
    <sheetView workbookViewId="0"/>
  </sheetViews>
  <sheetFormatPr defaultRowHeight="14.6" x14ac:dyDescent="0.4"/>
  <sheetData>
    <row r="1" spans="1:11" x14ac:dyDescent="0.4">
      <c r="A1" s="1" t="s">
        <v>0</v>
      </c>
    </row>
    <row r="3" spans="1:11" x14ac:dyDescent="0.4">
      <c r="A3" t="s">
        <v>1</v>
      </c>
    </row>
    <row r="5" spans="1:11" x14ac:dyDescent="0.4">
      <c r="A5" t="s">
        <v>2</v>
      </c>
      <c r="B5" t="s">
        <v>3</v>
      </c>
    </row>
    <row r="7" spans="1:11" x14ac:dyDescent="0.4">
      <c r="A7" s="4" t="s">
        <v>4</v>
      </c>
      <c r="B7" s="5"/>
      <c r="D7" s="4" t="s">
        <v>25</v>
      </c>
      <c r="E7" s="5"/>
      <c r="G7" s="4" t="s">
        <v>26</v>
      </c>
      <c r="H7" s="5"/>
      <c r="J7" s="4" t="s">
        <v>27</v>
      </c>
      <c r="K7" s="5"/>
    </row>
    <row r="8" spans="1:11" x14ac:dyDescent="0.4">
      <c r="A8" s="2"/>
      <c r="B8" s="3"/>
      <c r="D8" s="2"/>
      <c r="E8" s="3"/>
      <c r="G8" s="2"/>
      <c r="H8" s="3"/>
      <c r="J8" s="2"/>
      <c r="K8" s="3"/>
    </row>
    <row r="9" spans="1:11" x14ac:dyDescent="0.4">
      <c r="A9" s="2" t="s">
        <v>5</v>
      </c>
      <c r="B9" s="3">
        <v>200</v>
      </c>
      <c r="D9" s="2" t="s">
        <v>5</v>
      </c>
      <c r="E9" s="3">
        <v>200</v>
      </c>
      <c r="G9" s="2" t="s">
        <v>5</v>
      </c>
      <c r="H9" s="3">
        <v>63</v>
      </c>
      <c r="J9" s="2" t="s">
        <v>5</v>
      </c>
      <c r="K9" s="3">
        <v>102</v>
      </c>
    </row>
    <row r="10" spans="1:11" x14ac:dyDescent="0.4">
      <c r="A10" s="2" t="s">
        <v>6</v>
      </c>
      <c r="B10" s="3">
        <v>5</v>
      </c>
      <c r="D10" s="2" t="s">
        <v>6</v>
      </c>
      <c r="E10" s="3">
        <v>5</v>
      </c>
      <c r="G10" s="2" t="s">
        <v>6</v>
      </c>
      <c r="H10" s="3">
        <v>1</v>
      </c>
      <c r="J10" s="2" t="s">
        <v>6</v>
      </c>
      <c r="K10" s="3">
        <v>2</v>
      </c>
    </row>
    <row r="11" spans="1:11" x14ac:dyDescent="0.4">
      <c r="A11" s="2"/>
      <c r="B11" s="3"/>
      <c r="D11" s="2"/>
      <c r="E11" s="3"/>
      <c r="G11" s="2"/>
      <c r="H11" s="3"/>
      <c r="J11" s="2"/>
      <c r="K11" s="3"/>
    </row>
    <row r="12" spans="1:11" x14ac:dyDescent="0.4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  <c r="J12" s="2" t="s">
        <v>7</v>
      </c>
      <c r="K12" s="3" t="s">
        <v>8</v>
      </c>
    </row>
    <row r="13" spans="1:11" x14ac:dyDescent="0.4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1.075</v>
      </c>
      <c r="D13" s="2" t="s">
        <v>10</v>
      </c>
      <c r="E13" s="3">
        <f>IF(D13="2½W",2.5/dagenperweek2,IF(RIGHT(D13,1)="W",VALUE(LEFT(D13,LEN(D13)-1))/dagenperweek2,IF(RIGHT(D13,1)="J",VALUE(LEFT(D13,LEN(D13)-1))/dagenperjaar2,"handmatig!")))</f>
        <v>1</v>
      </c>
      <c r="G13" s="2" t="s">
        <v>10</v>
      </c>
      <c r="H13" s="3">
        <f>IF(G13="2½W",2.5/dagenperweek3,IF(RIGHT(G13,1)="W",VALUE(LEFT(G13,LEN(G13)-1))/dagenperweek3,IF(RIGHT(G13,1)="J",VALUE(LEFT(G13,LEN(G13)-1))/dagenperjaar3,"handmatig!")))</f>
        <v>5</v>
      </c>
      <c r="J13" s="2" t="s">
        <v>15</v>
      </c>
      <c r="K13" s="3">
        <f>IF(J13="2½W",2.5/dagenperweek4,IF(RIGHT(J13,1)="W",VALUE(LEFT(J13,LEN(J13)-1))/dagenperweek4,IF(RIGHT(J13,1)="J",VALUE(LEFT(J13,LEN(J13)-1))/dagenperjaar4,"handmatig!")))</f>
        <v>1</v>
      </c>
    </row>
    <row r="14" spans="1:11" x14ac:dyDescent="0.4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1</v>
      </c>
      <c r="D14" s="2" t="s">
        <v>11</v>
      </c>
      <c r="E14" s="3">
        <f>IF(D14="2½W",2.5/dagenperweek2,IF(RIGHT(D14,1)="W",VALUE(LEFT(D14,LEN(D14)-1))/dagenperweek2,IF(RIGHT(D14,1)="J",VALUE(LEFT(D14,LEN(D14)-1))/dagenperjaar2,"handmatig!")))</f>
        <v>0.8</v>
      </c>
      <c r="G14" s="2" t="s">
        <v>11</v>
      </c>
      <c r="H14" s="3">
        <f>IF(G14="2½W",2.5/dagenperweek3,IF(RIGHT(G14,1)="W",VALUE(LEFT(G14,LEN(G14)-1))/dagenperweek3,IF(RIGHT(G14,1)="J",VALUE(LEFT(G14,LEN(G14)-1))/dagenperjaar3,"handmatig!")))</f>
        <v>4</v>
      </c>
      <c r="J14" s="2" t="s">
        <v>17</v>
      </c>
      <c r="K14" s="3">
        <f>IF(J14="2½W",2.5/dagenperweek4,IF(RIGHT(J14,1)="W",VALUE(LEFT(J14,LEN(J14)-1))/dagenperweek4,IF(RIGHT(J14,1)="J",VALUE(LEFT(J14,LEN(J14)-1))/dagenperjaar4,"handmatig!")))</f>
        <v>0.5</v>
      </c>
    </row>
    <row r="15" spans="1:11" x14ac:dyDescent="0.4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0.8</v>
      </c>
      <c r="D15" s="2" t="s">
        <v>13</v>
      </c>
      <c r="E15" s="3">
        <f>IF(D15="2½W",2.5/dagenperweek2,IF(RIGHT(D15,1)="W",VALUE(LEFT(D15,LEN(D15)-1))/dagenperweek2,IF(RIGHT(D15,1)="J",VALUE(LEFT(D15,LEN(D15)-1))/dagenperjaar2,"handmatig!")))</f>
        <v>0.6</v>
      </c>
      <c r="G15" s="2" t="s">
        <v>13</v>
      </c>
      <c r="H15" s="3">
        <f>IF(G15="2½W",2.5/dagenperweek3,IF(RIGHT(G15,1)="W",VALUE(LEFT(G15,LEN(G15)-1))/dagenperweek3,IF(RIGHT(G15,1)="J",VALUE(LEFT(G15,LEN(G15)-1))/dagenperjaar3,"handmatig!")))</f>
        <v>3</v>
      </c>
      <c r="J15" s="6" t="s">
        <v>24</v>
      </c>
      <c r="K15" s="7">
        <f>IF(J15="2½W",2.5/dagenperweek4,IF(RIGHT(J15,1)="W",VALUE(LEFT(J15,LEN(J15)-1))/dagenperweek4,IF(RIGHT(J15,1)="J",VALUE(LEFT(J15,LEN(J15)-1))/dagenperjaar4,"handmatig!")))</f>
        <v>9.8039215686274508E-3</v>
      </c>
    </row>
    <row r="16" spans="1:11" x14ac:dyDescent="0.4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0.64500000000000002</v>
      </c>
      <c r="D16" s="2" t="s">
        <v>15</v>
      </c>
      <c r="E16" s="3">
        <f>IF(D16="2½W",2.5/dagenperweek2,IF(RIGHT(D16,1)="W",VALUE(LEFT(D16,LEN(D16)-1))/dagenperweek2,IF(RIGHT(D16,1)="J",VALUE(LEFT(D16,LEN(D16)-1))/dagenperjaar2,"handmatig!")))</f>
        <v>0.4</v>
      </c>
      <c r="G16" s="2" t="s">
        <v>15</v>
      </c>
      <c r="H16" s="3">
        <f>IF(G16="2½W",2.5/dagenperweek3,IF(RIGHT(G16,1)="W",VALUE(LEFT(G16,LEN(G16)-1))/dagenperweek3,IF(RIGHT(G16,1)="J",VALUE(LEFT(G16,LEN(G16)-1))/dagenperjaar3,"handmatig!")))</f>
        <v>2</v>
      </c>
    </row>
    <row r="17" spans="1:8" x14ac:dyDescent="0.4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0.6</v>
      </c>
      <c r="D17" s="2" t="s">
        <v>17</v>
      </c>
      <c r="E17" s="3">
        <f>IF(D17="2½W",2.5/dagenperweek2,IF(RIGHT(D17,1)="W",VALUE(LEFT(D17,LEN(D17)-1))/dagenperweek2,IF(RIGHT(D17,1)="J",VALUE(LEFT(D17,LEN(D17)-1))/dagenperjaar2,"handmatig!")))</f>
        <v>0.2</v>
      </c>
      <c r="G17" s="2" t="s">
        <v>17</v>
      </c>
      <c r="H17" s="3">
        <f>IF(G17="2½W",2.5/dagenperweek3,IF(RIGHT(G17,1)="W",VALUE(LEFT(G17,LEN(G17)-1))/dagenperweek3,IF(RIGHT(G17,1)="J",VALUE(LEFT(G17,LEN(G17)-1))/dagenperjaar3,"handmatig!")))</f>
        <v>1</v>
      </c>
    </row>
    <row r="18" spans="1:8" x14ac:dyDescent="0.4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0.43</v>
      </c>
      <c r="D18" s="2" t="s">
        <v>18</v>
      </c>
      <c r="E18" s="3">
        <f>IF(D18="2½W",2.5/dagenperweek2,IF(RIGHT(D18,1)="W",VALUE(LEFT(D18,LEN(D18)-1))/dagenperweek2,IF(RIGHT(D18,1)="J",VALUE(LEFT(D18,LEN(D18)-1))/dagenperjaar2,"handmatig!")))</f>
        <v>0.13</v>
      </c>
      <c r="G18" s="2" t="s">
        <v>18</v>
      </c>
      <c r="H18" s="3">
        <f>IF(G18="2½W",2.5/dagenperweek3,IF(RIGHT(G18,1)="W",VALUE(LEFT(G18,LEN(G18)-1))/dagenperweek3,IF(RIGHT(G18,1)="J",VALUE(LEFT(G18,LEN(G18)-1))/dagenperjaar3,"handmatig!")))</f>
        <v>0.41269841269841268</v>
      </c>
    </row>
    <row r="19" spans="1:8" x14ac:dyDescent="0.4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0.4</v>
      </c>
      <c r="D19" s="2" t="s">
        <v>19</v>
      </c>
      <c r="E19" s="3">
        <f>IF(D19="2½W",2.5/dagenperweek2,IF(RIGHT(D19,1)="W",VALUE(LEFT(D19,LEN(D19)-1))/dagenperweek2,IF(RIGHT(D19,1)="J",VALUE(LEFT(D19,LEN(D19)-1))/dagenperjaar2,"handmatig!")))</f>
        <v>0.06</v>
      </c>
      <c r="G19" s="2" t="s">
        <v>19</v>
      </c>
      <c r="H19" s="3">
        <f>IF(G19="2½W",2.5/dagenperweek3,IF(RIGHT(G19,1)="W",VALUE(LEFT(G19,LEN(G19)-1))/dagenperweek3,IF(RIGHT(G19,1)="J",VALUE(LEFT(G19,LEN(G19)-1))/dagenperjaar3,"handmatig!")))</f>
        <v>0.19047619047619047</v>
      </c>
    </row>
    <row r="20" spans="1:8" x14ac:dyDescent="0.4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0.215</v>
      </c>
      <c r="D20" s="2" t="s">
        <v>20</v>
      </c>
      <c r="E20" s="3">
        <f>IF(D20="2½W",2.5/dagenperweek2,IF(RIGHT(D20,1)="W",VALUE(LEFT(D20,LEN(D20)-1))/dagenperweek2,IF(RIGHT(D20,1)="J",VALUE(LEFT(D20,LEN(D20)-1))/dagenperjaar2,"handmatig!")))</f>
        <v>0.03</v>
      </c>
      <c r="G20" s="2" t="s">
        <v>20</v>
      </c>
      <c r="H20" s="3">
        <f>IF(G20="2½W",2.5/dagenperweek3,IF(RIGHT(G20,1)="W",VALUE(LEFT(G20,LEN(G20)-1))/dagenperweek3,IF(RIGHT(G20,1)="J",VALUE(LEFT(G20,LEN(G20)-1))/dagenperjaar3,"handmatig!")))</f>
        <v>9.5238095238095233E-2</v>
      </c>
    </row>
    <row r="21" spans="1:8" x14ac:dyDescent="0.4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0.2</v>
      </c>
      <c r="D21" s="2" t="s">
        <v>21</v>
      </c>
      <c r="E21" s="3">
        <f>IF(D21="2½W",2.5/dagenperweek2,IF(RIGHT(D21,1)="W",VALUE(LEFT(D21,LEN(D21)-1))/dagenperweek2,IF(RIGHT(D21,1)="J",VALUE(LEFT(D21,LEN(D21)-1))/dagenperjaar2,"handmatig!")))</f>
        <v>0.02</v>
      </c>
      <c r="G21" s="2" t="s">
        <v>21</v>
      </c>
      <c r="H21" s="3">
        <f>IF(G21="2½W",2.5/dagenperweek3,IF(RIGHT(G21,1)="W",VALUE(LEFT(G21,LEN(G21)-1))/dagenperweek3,IF(RIGHT(G21,1)="J",VALUE(LEFT(G21,LEN(G21)-1))/dagenperjaar3,"handmatig!")))</f>
        <v>6.3492063492063489E-2</v>
      </c>
    </row>
    <row r="22" spans="1:8" x14ac:dyDescent="0.4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0.13</v>
      </c>
      <c r="D22" s="2" t="s">
        <v>22</v>
      </c>
      <c r="E22" s="3">
        <f>IF(D22="2½W",2.5/dagenperweek2,IF(RIGHT(D22,1)="W",VALUE(LEFT(D22,LEN(D22)-1))/dagenperweek2,IF(RIGHT(D22,1)="J",VALUE(LEFT(D22,LEN(D22)-1))/dagenperjaar2,"handmatig!")))</f>
        <v>1.4999999999999999E-2</v>
      </c>
      <c r="G22" s="2" t="s">
        <v>22</v>
      </c>
      <c r="H22" s="3">
        <f>IF(G22="2½W",2.5/dagenperweek3,IF(RIGHT(G22,1)="W",VALUE(LEFT(G22,LEN(G22)-1))/dagenperweek3,IF(RIGHT(G22,1)="J",VALUE(LEFT(G22,LEN(G22)-1))/dagenperjaar3,"handmatig!")))</f>
        <v>4.7619047619047616E-2</v>
      </c>
    </row>
    <row r="23" spans="1:8" x14ac:dyDescent="0.4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0.06</v>
      </c>
      <c r="D23" s="2" t="s">
        <v>23</v>
      </c>
      <c r="E23" s="3">
        <f>IF(D23="2½W",2.5/dagenperweek2,IF(RIGHT(D23,1)="W",VALUE(LEFT(D23,LEN(D23)-1))/dagenperweek2,IF(RIGHT(D23,1)="J",VALUE(LEFT(D23,LEN(D23)-1))/dagenperjaar2,"handmatig!")))</f>
        <v>0.01</v>
      </c>
      <c r="G23" s="2" t="s">
        <v>23</v>
      </c>
      <c r="H23" s="3">
        <f>IF(G23="2½W",2.5/dagenperweek3,IF(RIGHT(G23,1)="W",VALUE(LEFT(G23,LEN(G23)-1))/dagenperweek3,IF(RIGHT(G23,1)="J",VALUE(LEFT(G23,LEN(G23)-1))/dagenperjaar3,"handmatig!")))</f>
        <v>3.1746031746031744E-2</v>
      </c>
    </row>
    <row r="24" spans="1:8" x14ac:dyDescent="0.4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0.03</v>
      </c>
      <c r="D24" s="6" t="s">
        <v>24</v>
      </c>
      <c r="E24" s="7">
        <f>IF(D24="2½W",2.5/dagenperweek2,IF(RIGHT(D24,1)="W",VALUE(LEFT(D24,LEN(D24)-1))/dagenperweek2,IF(RIGHT(D24,1)="J",VALUE(LEFT(D24,LEN(D24)-1))/dagenperjaar2,"handmatig!")))</f>
        <v>5.0000000000000001E-3</v>
      </c>
      <c r="G24" s="6" t="s">
        <v>24</v>
      </c>
      <c r="H24" s="7">
        <f>IF(G24="2½W",2.5/dagenperweek3,IF(RIGHT(G24,1)="W",VALUE(LEFT(G24,LEN(G24)-1))/dagenperweek3,IF(RIGHT(G24,1)="J",VALUE(LEFT(G24,LEN(G24)-1))/dagenperjaar3,"handmatig!")))</f>
        <v>1.5873015873015872E-2</v>
      </c>
    </row>
    <row r="25" spans="1:8" x14ac:dyDescent="0.4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0.02</v>
      </c>
    </row>
    <row r="26" spans="1:8" x14ac:dyDescent="0.4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1.4999999999999999E-2</v>
      </c>
    </row>
    <row r="27" spans="1:8" x14ac:dyDescent="0.4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0.01</v>
      </c>
    </row>
    <row r="28" spans="1:8" x14ac:dyDescent="0.4">
      <c r="A28" s="6" t="s">
        <v>24</v>
      </c>
      <c r="B28" s="7">
        <f>IF(A28="2½W",2.5/dagenperweek1,IF(RIGHT(A28,1)="W",VALUE(LEFT(A28,LEN(A28)-1))/dagenperweek1,IF(RIGHT(A28,1)="J",VALUE(LEFT(A28,LEN(A28)-1))/dagenperjaar1,"handmatig!")))</f>
        <v>5.0000000000000001E-3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6EF8-797A-4589-9797-7C3486B56FD0}">
  <dimension ref="A1:L11"/>
  <sheetViews>
    <sheetView workbookViewId="0"/>
  </sheetViews>
  <sheetFormatPr defaultRowHeight="14.6" x14ac:dyDescent="0.4"/>
  <cols>
    <col min="1" max="1" width="7.69140625" customWidth="1"/>
    <col min="2" max="2" width="6.69140625" customWidth="1"/>
    <col min="3" max="3" width="7.69140625" customWidth="1"/>
    <col min="4" max="4" width="50.69140625" customWidth="1"/>
    <col min="5" max="6" width="14.69140625" customWidth="1"/>
    <col min="7" max="9" width="11.69140625" customWidth="1"/>
    <col min="10" max="10" width="12.69140625" customWidth="1"/>
    <col min="11" max="11" width="14.69140625" customWidth="1"/>
    <col min="12" max="12" width="13.69140625" customWidth="1"/>
  </cols>
  <sheetData>
    <row r="1" spans="1:12" x14ac:dyDescent="0.4">
      <c r="A1" s="1" t="str">
        <f>CONCATENATE("Bijlage G5.8: ",tabeltype," regiewerk")</f>
        <v>Bijlage G5.8: Invultabel regiewerk</v>
      </c>
    </row>
    <row r="3" spans="1:12" ht="43.75" x14ac:dyDescent="0.4">
      <c r="A3" s="8" t="s">
        <v>547</v>
      </c>
      <c r="B3" s="8" t="s">
        <v>7</v>
      </c>
      <c r="C3" s="8" t="s">
        <v>655</v>
      </c>
      <c r="D3" s="8" t="s">
        <v>31</v>
      </c>
      <c r="E3" s="8" t="s">
        <v>34</v>
      </c>
      <c r="F3" s="8" t="s">
        <v>656</v>
      </c>
      <c r="G3" s="8" t="s">
        <v>657</v>
      </c>
      <c r="H3" s="8" t="s">
        <v>658</v>
      </c>
      <c r="I3" s="8" t="s">
        <v>549</v>
      </c>
      <c r="J3" s="8" t="s">
        <v>659</v>
      </c>
      <c r="K3" s="8" t="s">
        <v>141</v>
      </c>
      <c r="L3" s="8" t="s">
        <v>510</v>
      </c>
    </row>
    <row r="4" spans="1:12" x14ac:dyDescent="0.4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4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4">
      <c r="A6" s="15" t="s">
        <v>660</v>
      </c>
      <c r="B6" s="15" t="s">
        <v>24</v>
      </c>
      <c r="C6" s="16">
        <f>IF(ISBLANK(B6),0,IF(ISERROR(VALUE(B6)),VLOOKUP(B6,dagsoorttabel1,2,FALSE)*dagenperjaar1,VALUE(B6)))</f>
        <v>1</v>
      </c>
      <c r="D6" s="15" t="s">
        <v>661</v>
      </c>
      <c r="E6" s="15" t="s">
        <v>594</v>
      </c>
      <c r="F6" s="108">
        <v>15</v>
      </c>
      <c r="G6" s="19"/>
      <c r="H6" s="109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4">
      <c r="A7" s="20" t="s">
        <v>662</v>
      </c>
      <c r="B7" s="20" t="s">
        <v>24</v>
      </c>
      <c r="C7" s="21">
        <f>IF(ISBLANK(B7),0,IF(ISERROR(VALUE(B7)),VLOOKUP(B7,dagsoorttabel1,2,FALSE)*dagenperjaar1,VALUE(B7)))</f>
        <v>1</v>
      </c>
      <c r="D7" s="20" t="s">
        <v>663</v>
      </c>
      <c r="E7" s="20" t="s">
        <v>594</v>
      </c>
      <c r="F7" s="110">
        <v>4</v>
      </c>
      <c r="G7" s="24"/>
      <c r="H7" s="111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4">
      <c r="A8" s="25" t="s">
        <v>664</v>
      </c>
      <c r="B8" s="25" t="s">
        <v>24</v>
      </c>
      <c r="C8" s="26">
        <f>IF(ISBLANK(B8),0,IF(ISERROR(VALUE(B8)),VLOOKUP(B8,dagsoorttabel1,2,FALSE)*dagenperjaar1,VALUE(B8)))</f>
        <v>1</v>
      </c>
      <c r="D8" s="25" t="s">
        <v>665</v>
      </c>
      <c r="E8" s="25" t="s">
        <v>594</v>
      </c>
      <c r="F8" s="112">
        <v>5</v>
      </c>
      <c r="G8" s="29"/>
      <c r="H8" s="113"/>
      <c r="I8" s="29"/>
      <c r="J8" s="41">
        <f>IF(ISBLANK(F8),0,F8)*I8</f>
        <v>0</v>
      </c>
      <c r="K8" s="41">
        <f>C8*J8</f>
        <v>0</v>
      </c>
      <c r="L8" s="41">
        <f>K8/12</f>
        <v>0</v>
      </c>
    </row>
    <row r="9" spans="1:12" x14ac:dyDescent="0.4">
      <c r="A9" s="43" t="s">
        <v>189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14">
        <f>K9/12</f>
        <v>0</v>
      </c>
    </row>
    <row r="11" spans="1:12" x14ac:dyDescent="0.4">
      <c r="A11" s="43" t="s">
        <v>666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prijsjaarregie1</f>
        <v>0</v>
      </c>
      <c r="L11" s="114">
        <f>K11/12</f>
        <v>0</v>
      </c>
    </row>
  </sheetData>
  <pageMargins left="0.7" right="0.7" top="0.75" bottom="0.75" header="0.3" footer="0.3"/>
  <pageSetup paperSize="9" scale="65" orientation="landscape" r:id="rId1"/>
  <headerFooter>
    <oddFooter>&amp;LOns Middelbaar Onderwijs                                    
CONCEPT PER 01-09-2023&amp;ROpmaakdatum: 14-11-2022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BA818-9E96-40FA-9ADF-5E47A174FD90}">
  <dimension ref="A1:F12"/>
  <sheetViews>
    <sheetView workbookViewId="0"/>
  </sheetViews>
  <sheetFormatPr defaultRowHeight="14.6" x14ac:dyDescent="0.4"/>
  <cols>
    <col min="1" max="1" width="30.69140625" customWidth="1"/>
    <col min="2" max="6" width="20.69140625" customWidth="1"/>
  </cols>
  <sheetData>
    <row r="1" spans="1:6" x14ac:dyDescent="0.4">
      <c r="A1" s="1" t="str">
        <f>CONCATENATE("Bijlage G5.9: ",tabeltype," totaalblad schoonmaakwerk")</f>
        <v>Bijlage G5.9: Invultabel totaalblad schoonmaakwerk</v>
      </c>
    </row>
    <row r="3" spans="1:6" ht="29.15" x14ac:dyDescent="0.4">
      <c r="A3" s="8" t="s">
        <v>667</v>
      </c>
      <c r="B3" s="8" t="s">
        <v>668</v>
      </c>
      <c r="C3" s="8" t="s">
        <v>669</v>
      </c>
      <c r="D3" s="8" t="s">
        <v>670</v>
      </c>
      <c r="E3" s="8" t="s">
        <v>671</v>
      </c>
      <c r="F3" s="8" t="s">
        <v>672</v>
      </c>
    </row>
    <row r="4" spans="1:6" x14ac:dyDescent="0.4">
      <c r="A4" s="101" t="s">
        <v>673</v>
      </c>
      <c r="B4" s="30">
        <f>urenjaartotaaloverzicht</f>
        <v>0</v>
      </c>
      <c r="C4" s="30">
        <f>urenjaartotaaloverzichthf</f>
        <v>0</v>
      </c>
      <c r="D4" s="92"/>
      <c r="E4" s="33">
        <f>prijsjaartotaaloverzicht</f>
        <v>0</v>
      </c>
      <c r="F4" s="33">
        <f>E4*1.21</f>
        <v>0</v>
      </c>
    </row>
    <row r="5" spans="1:6" x14ac:dyDescent="0.4">
      <c r="A5" s="102" t="s">
        <v>674</v>
      </c>
      <c r="B5" s="95"/>
      <c r="C5" s="95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x14ac:dyDescent="0.4">
      <c r="A6" s="103" t="s">
        <v>675</v>
      </c>
      <c r="B6" s="115"/>
      <c r="C6" s="115"/>
      <c r="D6" s="115"/>
      <c r="E6" s="41">
        <f>prijsjaarregie</f>
        <v>0</v>
      </c>
      <c r="F6" s="41">
        <f>E6*1.21</f>
        <v>0</v>
      </c>
    </row>
    <row r="8" spans="1:6" x14ac:dyDescent="0.4">
      <c r="A8" s="8" t="s">
        <v>676</v>
      </c>
      <c r="B8" s="45">
        <f>SUM(B4:B6)</f>
        <v>0</v>
      </c>
      <c r="C8" s="45">
        <f>SUM(C4:C6)</f>
        <v>0</v>
      </c>
      <c r="D8" s="45">
        <f>SUM(D4:D6)</f>
        <v>0</v>
      </c>
      <c r="E8" s="46">
        <f>SUM(E4:E6)</f>
        <v>0</v>
      </c>
      <c r="F8" s="46">
        <f>E8*1.21</f>
        <v>0</v>
      </c>
    </row>
    <row r="10" spans="1:6" x14ac:dyDescent="0.4">
      <c r="A10" s="8" t="s">
        <v>677</v>
      </c>
      <c r="B10" s="116">
        <f>IF(B8&gt;0,D8/B8,0)</f>
        <v>0</v>
      </c>
    </row>
    <row r="12" spans="1:6" x14ac:dyDescent="0.4">
      <c r="A12" s="117" t="s">
        <v>678</v>
      </c>
      <c r="B12" s="80"/>
      <c r="C12" s="80"/>
      <c r="D12" s="80"/>
      <c r="E12" s="80"/>
      <c r="F12" s="118">
        <f>SUM(vp_regulier,vp_leiding,vp_regie)</f>
        <v>0</v>
      </c>
    </row>
  </sheetData>
  <pageMargins left="0.7" right="0.7" top="0.75" bottom="0.75" header="0.3" footer="0.3"/>
  <pageSetup paperSize="9" scale="70" orientation="landscape" r:id="rId1"/>
  <headerFooter>
    <oddFooter>&amp;LOns Middelbaar Onderwijs                                    
CONCEPT PER 01-09-2023&amp;ROpmaakdatum: 14-11-2022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8400C-909E-4B58-929A-019D7B0A63A2}">
  <dimension ref="A1:H52"/>
  <sheetViews>
    <sheetView tabSelected="1" workbookViewId="0"/>
  </sheetViews>
  <sheetFormatPr defaultRowHeight="14.6" x14ac:dyDescent="0.4"/>
  <cols>
    <col min="1" max="1" width="7.69140625" customWidth="1"/>
    <col min="2" max="2" width="6.69140625" customWidth="1"/>
    <col min="3" max="3" width="4.69140625" customWidth="1"/>
    <col min="4" max="4" width="50.69140625" customWidth="1"/>
    <col min="5" max="6" width="11.69140625" customWidth="1"/>
    <col min="7" max="7" width="9.69140625" customWidth="1"/>
    <col min="8" max="8" width="11.69140625" customWidth="1"/>
  </cols>
  <sheetData>
    <row r="1" spans="1:8" x14ac:dyDescent="0.4">
      <c r="A1" s="1" t="str">
        <f>CONCATENATE("Bijlage G5.1: ",tabeltype," categorienormen")</f>
        <v>Bijlage G5.1: Invultabel categorienormen</v>
      </c>
    </row>
    <row r="3" spans="1:8" ht="43.75" x14ac:dyDescent="0.4">
      <c r="A3" s="8" t="s">
        <v>28</v>
      </c>
      <c r="B3" s="8" t="s">
        <v>29</v>
      </c>
      <c r="C3" s="8" t="s">
        <v>30</v>
      </c>
      <c r="D3" s="8" t="s">
        <v>31</v>
      </c>
      <c r="E3" s="8" t="s">
        <v>32</v>
      </c>
      <c r="F3" s="8" t="s">
        <v>33</v>
      </c>
      <c r="G3" s="8" t="s">
        <v>34</v>
      </c>
      <c r="H3" s="8" t="s">
        <v>35</v>
      </c>
    </row>
    <row r="4" spans="1:8" x14ac:dyDescent="0.4">
      <c r="A4" s="9"/>
      <c r="B4" s="10"/>
      <c r="C4" s="10"/>
      <c r="D4" s="10"/>
      <c r="E4" s="10"/>
      <c r="F4" s="10"/>
      <c r="G4" s="10"/>
      <c r="H4" s="11"/>
    </row>
    <row r="5" spans="1:8" x14ac:dyDescent="0.4">
      <c r="A5" s="12" t="s">
        <v>36</v>
      </c>
      <c r="B5" s="13"/>
      <c r="C5" s="13"/>
      <c r="D5" s="13"/>
      <c r="E5" s="13"/>
      <c r="F5" s="13"/>
      <c r="G5" s="13"/>
      <c r="H5" s="14"/>
    </row>
    <row r="6" spans="1:8" x14ac:dyDescent="0.4">
      <c r="A6" s="15" t="s">
        <v>37</v>
      </c>
      <c r="B6" s="16" t="s">
        <v>38</v>
      </c>
      <c r="C6" s="15">
        <v>1</v>
      </c>
      <c r="D6" s="15" t="s">
        <v>39</v>
      </c>
      <c r="E6" s="17"/>
      <c r="F6" s="18"/>
      <c r="G6" s="15" t="s">
        <v>40</v>
      </c>
      <c r="H6" s="19"/>
    </row>
    <row r="7" spans="1:8" x14ac:dyDescent="0.4">
      <c r="A7" s="20" t="s">
        <v>41</v>
      </c>
      <c r="B7" s="21" t="s">
        <v>38</v>
      </c>
      <c r="C7" s="20">
        <v>43</v>
      </c>
      <c r="D7" s="20" t="s">
        <v>42</v>
      </c>
      <c r="E7" s="22"/>
      <c r="F7" s="23"/>
      <c r="G7" s="20" t="s">
        <v>40</v>
      </c>
      <c r="H7" s="24"/>
    </row>
    <row r="8" spans="1:8" x14ac:dyDescent="0.4">
      <c r="A8" s="20" t="s">
        <v>43</v>
      </c>
      <c r="B8" s="21" t="s">
        <v>38</v>
      </c>
      <c r="C8" s="20">
        <v>1</v>
      </c>
      <c r="D8" s="20" t="s">
        <v>44</v>
      </c>
      <c r="E8" s="22"/>
      <c r="F8" s="23"/>
      <c r="G8" s="20" t="s">
        <v>40</v>
      </c>
      <c r="H8" s="24"/>
    </row>
    <row r="9" spans="1:8" x14ac:dyDescent="0.4">
      <c r="A9" s="20" t="s">
        <v>45</v>
      </c>
      <c r="B9" s="21" t="s">
        <v>38</v>
      </c>
      <c r="C9" s="20">
        <v>43</v>
      </c>
      <c r="D9" s="20" t="s">
        <v>46</v>
      </c>
      <c r="E9" s="22"/>
      <c r="F9" s="23"/>
      <c r="G9" s="20" t="s">
        <v>40</v>
      </c>
      <c r="H9" s="24"/>
    </row>
    <row r="10" spans="1:8" x14ac:dyDescent="0.4">
      <c r="A10" s="20" t="s">
        <v>47</v>
      </c>
      <c r="B10" s="21" t="s">
        <v>48</v>
      </c>
      <c r="C10" s="20">
        <v>1</v>
      </c>
      <c r="D10" s="20" t="s">
        <v>49</v>
      </c>
      <c r="E10" s="22"/>
      <c r="F10" s="23"/>
      <c r="G10" s="20" t="s">
        <v>40</v>
      </c>
      <c r="H10" s="24"/>
    </row>
    <row r="11" spans="1:8" x14ac:dyDescent="0.4">
      <c r="A11" s="20" t="s">
        <v>50</v>
      </c>
      <c r="B11" s="21" t="s">
        <v>48</v>
      </c>
      <c r="C11" s="20">
        <v>43</v>
      </c>
      <c r="D11" s="20" t="s">
        <v>51</v>
      </c>
      <c r="E11" s="22"/>
      <c r="F11" s="23"/>
      <c r="G11" s="20" t="s">
        <v>40</v>
      </c>
      <c r="H11" s="24"/>
    </row>
    <row r="12" spans="1:8" x14ac:dyDescent="0.4">
      <c r="A12" s="20" t="s">
        <v>52</v>
      </c>
      <c r="B12" s="21" t="s">
        <v>48</v>
      </c>
      <c r="C12" s="20">
        <v>1</v>
      </c>
      <c r="D12" s="20" t="s">
        <v>53</v>
      </c>
      <c r="E12" s="22"/>
      <c r="F12" s="23"/>
      <c r="G12" s="20" t="s">
        <v>40</v>
      </c>
      <c r="H12" s="24"/>
    </row>
    <row r="13" spans="1:8" x14ac:dyDescent="0.4">
      <c r="A13" s="20" t="s">
        <v>54</v>
      </c>
      <c r="B13" s="21" t="s">
        <v>48</v>
      </c>
      <c r="C13" s="20">
        <v>43</v>
      </c>
      <c r="D13" s="20" t="s">
        <v>55</v>
      </c>
      <c r="E13" s="22"/>
      <c r="F13" s="23"/>
      <c r="G13" s="20" t="s">
        <v>40</v>
      </c>
      <c r="H13" s="24"/>
    </row>
    <row r="14" spans="1:8" x14ac:dyDescent="0.4">
      <c r="A14" s="20" t="s">
        <v>56</v>
      </c>
      <c r="B14" s="21" t="s">
        <v>48</v>
      </c>
      <c r="C14" s="20">
        <v>1</v>
      </c>
      <c r="D14" s="20" t="s">
        <v>57</v>
      </c>
      <c r="E14" s="22"/>
      <c r="F14" s="23"/>
      <c r="G14" s="20" t="s">
        <v>40</v>
      </c>
      <c r="H14" s="24"/>
    </row>
    <row r="15" spans="1:8" x14ac:dyDescent="0.4">
      <c r="A15" s="20" t="s">
        <v>58</v>
      </c>
      <c r="B15" s="21" t="s">
        <v>48</v>
      </c>
      <c r="C15" s="20">
        <v>43</v>
      </c>
      <c r="D15" s="20" t="s">
        <v>59</v>
      </c>
      <c r="E15" s="22"/>
      <c r="F15" s="23"/>
      <c r="G15" s="20" t="s">
        <v>40</v>
      </c>
      <c r="H15" s="24"/>
    </row>
    <row r="16" spans="1:8" x14ac:dyDescent="0.4">
      <c r="A16" s="20" t="s">
        <v>60</v>
      </c>
      <c r="B16" s="21" t="s">
        <v>61</v>
      </c>
      <c r="C16" s="20">
        <v>1</v>
      </c>
      <c r="D16" s="20" t="s">
        <v>62</v>
      </c>
      <c r="E16" s="22"/>
      <c r="F16" s="23"/>
      <c r="G16" s="20" t="s">
        <v>40</v>
      </c>
      <c r="H16" s="24"/>
    </row>
    <row r="17" spans="1:8" x14ac:dyDescent="0.4">
      <c r="A17" s="20" t="s">
        <v>63</v>
      </c>
      <c r="B17" s="21" t="s">
        <v>61</v>
      </c>
      <c r="C17" s="20">
        <v>43</v>
      </c>
      <c r="D17" s="20" t="s">
        <v>64</v>
      </c>
      <c r="E17" s="22"/>
      <c r="F17" s="23"/>
      <c r="G17" s="20" t="s">
        <v>40</v>
      </c>
      <c r="H17" s="24"/>
    </row>
    <row r="18" spans="1:8" x14ac:dyDescent="0.4">
      <c r="A18" s="20" t="s">
        <v>65</v>
      </c>
      <c r="B18" s="21" t="s">
        <v>61</v>
      </c>
      <c r="C18" s="20">
        <v>1</v>
      </c>
      <c r="D18" s="20" t="s">
        <v>66</v>
      </c>
      <c r="E18" s="22"/>
      <c r="F18" s="23"/>
      <c r="G18" s="20" t="s">
        <v>40</v>
      </c>
      <c r="H18" s="24"/>
    </row>
    <row r="19" spans="1:8" x14ac:dyDescent="0.4">
      <c r="A19" s="20" t="s">
        <v>67</v>
      </c>
      <c r="B19" s="21" t="s">
        <v>61</v>
      </c>
      <c r="C19" s="20">
        <v>43</v>
      </c>
      <c r="D19" s="20" t="s">
        <v>68</v>
      </c>
      <c r="E19" s="22"/>
      <c r="F19" s="23"/>
      <c r="G19" s="20" t="s">
        <v>40</v>
      </c>
      <c r="H19" s="24"/>
    </row>
    <row r="20" spans="1:8" x14ac:dyDescent="0.4">
      <c r="A20" s="20" t="s">
        <v>69</v>
      </c>
      <c r="B20" s="21" t="s">
        <v>61</v>
      </c>
      <c r="C20" s="20">
        <v>1</v>
      </c>
      <c r="D20" s="20" t="s">
        <v>70</v>
      </c>
      <c r="E20" s="22"/>
      <c r="F20" s="23"/>
      <c r="G20" s="20" t="s">
        <v>40</v>
      </c>
      <c r="H20" s="24"/>
    </row>
    <row r="21" spans="1:8" x14ac:dyDescent="0.4">
      <c r="A21" s="20" t="s">
        <v>71</v>
      </c>
      <c r="B21" s="21" t="s">
        <v>61</v>
      </c>
      <c r="C21" s="20">
        <v>43</v>
      </c>
      <c r="D21" s="20" t="s">
        <v>72</v>
      </c>
      <c r="E21" s="22"/>
      <c r="F21" s="23"/>
      <c r="G21" s="20" t="s">
        <v>40</v>
      </c>
      <c r="H21" s="24"/>
    </row>
    <row r="22" spans="1:8" x14ac:dyDescent="0.4">
      <c r="A22" s="20" t="s">
        <v>73</v>
      </c>
      <c r="B22" s="21" t="s">
        <v>61</v>
      </c>
      <c r="C22" s="20">
        <v>1</v>
      </c>
      <c r="D22" s="20" t="s">
        <v>74</v>
      </c>
      <c r="E22" s="22"/>
      <c r="F22" s="23"/>
      <c r="G22" s="20" t="s">
        <v>40</v>
      </c>
      <c r="H22" s="24"/>
    </row>
    <row r="23" spans="1:8" x14ac:dyDescent="0.4">
      <c r="A23" s="20" t="s">
        <v>75</v>
      </c>
      <c r="B23" s="21" t="s">
        <v>61</v>
      </c>
      <c r="C23" s="20">
        <v>12</v>
      </c>
      <c r="D23" s="20" t="s">
        <v>76</v>
      </c>
      <c r="E23" s="22"/>
      <c r="F23" s="23"/>
      <c r="G23" s="20" t="s">
        <v>40</v>
      </c>
      <c r="H23" s="24"/>
    </row>
    <row r="24" spans="1:8" x14ac:dyDescent="0.4">
      <c r="A24" s="20" t="s">
        <v>77</v>
      </c>
      <c r="B24" s="21" t="s">
        <v>61</v>
      </c>
      <c r="C24" s="20">
        <v>1</v>
      </c>
      <c r="D24" s="20" t="s">
        <v>78</v>
      </c>
      <c r="E24" s="22"/>
      <c r="F24" s="23"/>
      <c r="G24" s="20" t="s">
        <v>40</v>
      </c>
      <c r="H24" s="24"/>
    </row>
    <row r="25" spans="1:8" x14ac:dyDescent="0.4">
      <c r="A25" s="20" t="s">
        <v>79</v>
      </c>
      <c r="B25" s="21" t="s">
        <v>61</v>
      </c>
      <c r="C25" s="20">
        <v>12</v>
      </c>
      <c r="D25" s="20" t="s">
        <v>80</v>
      </c>
      <c r="E25" s="22"/>
      <c r="F25" s="23"/>
      <c r="G25" s="20" t="s">
        <v>40</v>
      </c>
      <c r="H25" s="24"/>
    </row>
    <row r="26" spans="1:8" x14ac:dyDescent="0.4">
      <c r="A26" s="20" t="s">
        <v>79</v>
      </c>
      <c r="B26" s="21" t="s">
        <v>61</v>
      </c>
      <c r="C26" s="20">
        <v>43</v>
      </c>
      <c r="D26" s="20" t="s">
        <v>80</v>
      </c>
      <c r="E26" s="22"/>
      <c r="F26" s="23"/>
      <c r="G26" s="20" t="s">
        <v>40</v>
      </c>
      <c r="H26" s="24"/>
    </row>
    <row r="27" spans="1:8" x14ac:dyDescent="0.4">
      <c r="A27" s="20" t="s">
        <v>81</v>
      </c>
      <c r="B27" s="21" t="s">
        <v>61</v>
      </c>
      <c r="C27" s="20">
        <v>1</v>
      </c>
      <c r="D27" s="20" t="s">
        <v>82</v>
      </c>
      <c r="E27" s="22"/>
      <c r="F27" s="23"/>
      <c r="G27" s="20" t="s">
        <v>40</v>
      </c>
      <c r="H27" s="24"/>
    </row>
    <row r="28" spans="1:8" x14ac:dyDescent="0.4">
      <c r="A28" s="20" t="s">
        <v>83</v>
      </c>
      <c r="B28" s="21" t="s">
        <v>61</v>
      </c>
      <c r="C28" s="20">
        <v>43</v>
      </c>
      <c r="D28" s="20" t="s">
        <v>84</v>
      </c>
      <c r="E28" s="22"/>
      <c r="F28" s="23"/>
      <c r="G28" s="20" t="s">
        <v>40</v>
      </c>
      <c r="H28" s="24"/>
    </row>
    <row r="29" spans="1:8" x14ac:dyDescent="0.4">
      <c r="A29" s="20" t="s">
        <v>85</v>
      </c>
      <c r="B29" s="21" t="s">
        <v>61</v>
      </c>
      <c r="C29" s="20">
        <v>1</v>
      </c>
      <c r="D29" s="20" t="s">
        <v>86</v>
      </c>
      <c r="E29" s="22"/>
      <c r="F29" s="23"/>
      <c r="G29" s="20" t="s">
        <v>40</v>
      </c>
      <c r="H29" s="24"/>
    </row>
    <row r="30" spans="1:8" x14ac:dyDescent="0.4">
      <c r="A30" s="20" t="s">
        <v>87</v>
      </c>
      <c r="B30" s="21" t="s">
        <v>61</v>
      </c>
      <c r="C30" s="20">
        <v>43</v>
      </c>
      <c r="D30" s="20" t="s">
        <v>88</v>
      </c>
      <c r="E30" s="22"/>
      <c r="F30" s="23"/>
      <c r="G30" s="20" t="s">
        <v>40</v>
      </c>
      <c r="H30" s="24"/>
    </row>
    <row r="31" spans="1:8" x14ac:dyDescent="0.4">
      <c r="A31" s="20" t="s">
        <v>89</v>
      </c>
      <c r="B31" s="21" t="s">
        <v>61</v>
      </c>
      <c r="C31" s="20">
        <v>1</v>
      </c>
      <c r="D31" s="20" t="s">
        <v>90</v>
      </c>
      <c r="E31" s="22"/>
      <c r="F31" s="23"/>
      <c r="G31" s="20" t="s">
        <v>40</v>
      </c>
      <c r="H31" s="24"/>
    </row>
    <row r="32" spans="1:8" x14ac:dyDescent="0.4">
      <c r="A32" s="20" t="s">
        <v>91</v>
      </c>
      <c r="B32" s="21" t="s">
        <v>61</v>
      </c>
      <c r="C32" s="20">
        <v>43</v>
      </c>
      <c r="D32" s="20" t="s">
        <v>92</v>
      </c>
      <c r="E32" s="22"/>
      <c r="F32" s="23"/>
      <c r="G32" s="20" t="s">
        <v>40</v>
      </c>
      <c r="H32" s="24"/>
    </row>
    <row r="33" spans="1:8" x14ac:dyDescent="0.4">
      <c r="A33" s="20" t="s">
        <v>93</v>
      </c>
      <c r="B33" s="21" t="s">
        <v>61</v>
      </c>
      <c r="C33" s="20">
        <v>1</v>
      </c>
      <c r="D33" s="20" t="s">
        <v>94</v>
      </c>
      <c r="E33" s="22"/>
      <c r="F33" s="23"/>
      <c r="G33" s="20" t="s">
        <v>40</v>
      </c>
      <c r="H33" s="24"/>
    </row>
    <row r="34" spans="1:8" x14ac:dyDescent="0.4">
      <c r="A34" s="20" t="s">
        <v>95</v>
      </c>
      <c r="B34" s="21" t="s">
        <v>61</v>
      </c>
      <c r="C34" s="20">
        <v>43</v>
      </c>
      <c r="D34" s="20" t="s">
        <v>96</v>
      </c>
      <c r="E34" s="22"/>
      <c r="F34" s="23"/>
      <c r="G34" s="20" t="s">
        <v>40</v>
      </c>
      <c r="H34" s="24"/>
    </row>
    <row r="35" spans="1:8" x14ac:dyDescent="0.4">
      <c r="A35" s="20" t="s">
        <v>97</v>
      </c>
      <c r="B35" s="21" t="s">
        <v>98</v>
      </c>
      <c r="C35" s="20">
        <v>1</v>
      </c>
      <c r="D35" s="20" t="s">
        <v>99</v>
      </c>
      <c r="E35" s="22"/>
      <c r="F35" s="23"/>
      <c r="G35" s="20" t="s">
        <v>40</v>
      </c>
      <c r="H35" s="24"/>
    </row>
    <row r="36" spans="1:8" x14ac:dyDescent="0.4">
      <c r="A36" s="20" t="s">
        <v>100</v>
      </c>
      <c r="B36" s="21" t="s">
        <v>98</v>
      </c>
      <c r="C36" s="20">
        <v>43</v>
      </c>
      <c r="D36" s="20" t="s">
        <v>101</v>
      </c>
      <c r="E36" s="22"/>
      <c r="F36" s="23"/>
      <c r="G36" s="20" t="s">
        <v>40</v>
      </c>
      <c r="H36" s="24"/>
    </row>
    <row r="37" spans="1:8" x14ac:dyDescent="0.4">
      <c r="A37" s="20" t="s">
        <v>102</v>
      </c>
      <c r="B37" s="21" t="s">
        <v>98</v>
      </c>
      <c r="C37" s="20">
        <v>1</v>
      </c>
      <c r="D37" s="20" t="s">
        <v>103</v>
      </c>
      <c r="E37" s="22"/>
      <c r="F37" s="23"/>
      <c r="G37" s="20" t="s">
        <v>40</v>
      </c>
      <c r="H37" s="24"/>
    </row>
    <row r="38" spans="1:8" x14ac:dyDescent="0.4">
      <c r="A38" s="20" t="s">
        <v>104</v>
      </c>
      <c r="B38" s="21" t="s">
        <v>98</v>
      </c>
      <c r="C38" s="20">
        <v>43</v>
      </c>
      <c r="D38" s="20" t="s">
        <v>105</v>
      </c>
      <c r="E38" s="22"/>
      <c r="F38" s="23"/>
      <c r="G38" s="20" t="s">
        <v>40</v>
      </c>
      <c r="H38" s="24"/>
    </row>
    <row r="39" spans="1:8" x14ac:dyDescent="0.4">
      <c r="A39" s="20" t="s">
        <v>106</v>
      </c>
      <c r="B39" s="21" t="s">
        <v>98</v>
      </c>
      <c r="C39" s="20">
        <v>1</v>
      </c>
      <c r="D39" s="20" t="s">
        <v>107</v>
      </c>
      <c r="E39" s="22"/>
      <c r="F39" s="23"/>
      <c r="G39" s="20" t="s">
        <v>40</v>
      </c>
      <c r="H39" s="24"/>
    </row>
    <row r="40" spans="1:8" x14ac:dyDescent="0.4">
      <c r="A40" s="20" t="s">
        <v>108</v>
      </c>
      <c r="B40" s="21" t="s">
        <v>98</v>
      </c>
      <c r="C40" s="20">
        <v>43</v>
      </c>
      <c r="D40" s="20" t="s">
        <v>109</v>
      </c>
      <c r="E40" s="22"/>
      <c r="F40" s="23"/>
      <c r="G40" s="20" t="s">
        <v>40</v>
      </c>
      <c r="H40" s="24"/>
    </row>
    <row r="41" spans="1:8" x14ac:dyDescent="0.4">
      <c r="A41" s="20" t="s">
        <v>110</v>
      </c>
      <c r="B41" s="21" t="s">
        <v>98</v>
      </c>
      <c r="C41" s="20">
        <v>1</v>
      </c>
      <c r="D41" s="20" t="s">
        <v>111</v>
      </c>
      <c r="E41" s="22"/>
      <c r="F41" s="23"/>
      <c r="G41" s="20" t="s">
        <v>40</v>
      </c>
      <c r="H41" s="24"/>
    </row>
    <row r="42" spans="1:8" x14ac:dyDescent="0.4">
      <c r="A42" s="20" t="s">
        <v>112</v>
      </c>
      <c r="B42" s="21" t="s">
        <v>98</v>
      </c>
      <c r="C42" s="20">
        <v>43</v>
      </c>
      <c r="D42" s="20" t="s">
        <v>113</v>
      </c>
      <c r="E42" s="22"/>
      <c r="F42" s="23"/>
      <c r="G42" s="20" t="s">
        <v>40</v>
      </c>
      <c r="H42" s="24"/>
    </row>
    <row r="43" spans="1:8" x14ac:dyDescent="0.4">
      <c r="A43" s="20" t="s">
        <v>114</v>
      </c>
      <c r="B43" s="21" t="s">
        <v>98</v>
      </c>
      <c r="C43" s="20">
        <v>1</v>
      </c>
      <c r="D43" s="20" t="s">
        <v>115</v>
      </c>
      <c r="E43" s="22"/>
      <c r="F43" s="23"/>
      <c r="G43" s="20" t="s">
        <v>40</v>
      </c>
      <c r="H43" s="24"/>
    </row>
    <row r="44" spans="1:8" x14ac:dyDescent="0.4">
      <c r="A44" s="20" t="s">
        <v>116</v>
      </c>
      <c r="B44" s="21" t="s">
        <v>98</v>
      </c>
      <c r="C44" s="20">
        <v>43</v>
      </c>
      <c r="D44" s="20" t="s">
        <v>117</v>
      </c>
      <c r="E44" s="22"/>
      <c r="F44" s="23"/>
      <c r="G44" s="20" t="s">
        <v>40</v>
      </c>
      <c r="H44" s="24"/>
    </row>
    <row r="45" spans="1:8" x14ac:dyDescent="0.4">
      <c r="A45" s="20" t="s">
        <v>118</v>
      </c>
      <c r="B45" s="21" t="s">
        <v>98</v>
      </c>
      <c r="C45" s="20">
        <v>1</v>
      </c>
      <c r="D45" s="20" t="s">
        <v>119</v>
      </c>
      <c r="E45" s="22"/>
      <c r="F45" s="23"/>
      <c r="G45" s="20" t="s">
        <v>40</v>
      </c>
      <c r="H45" s="24"/>
    </row>
    <row r="46" spans="1:8" x14ac:dyDescent="0.4">
      <c r="A46" s="20" t="s">
        <v>120</v>
      </c>
      <c r="B46" s="21" t="s">
        <v>98</v>
      </c>
      <c r="C46" s="20">
        <v>43</v>
      </c>
      <c r="D46" s="20" t="s">
        <v>121</v>
      </c>
      <c r="E46" s="22"/>
      <c r="F46" s="23"/>
      <c r="G46" s="20" t="s">
        <v>40</v>
      </c>
      <c r="H46" s="24"/>
    </row>
    <row r="47" spans="1:8" x14ac:dyDescent="0.4">
      <c r="A47" s="20" t="s">
        <v>122</v>
      </c>
      <c r="B47" s="21" t="s">
        <v>98</v>
      </c>
      <c r="C47" s="20">
        <v>1</v>
      </c>
      <c r="D47" s="20" t="s">
        <v>123</v>
      </c>
      <c r="E47" s="22"/>
      <c r="F47" s="23"/>
      <c r="G47" s="20" t="s">
        <v>40</v>
      </c>
      <c r="H47" s="24"/>
    </row>
    <row r="48" spans="1:8" x14ac:dyDescent="0.4">
      <c r="A48" s="20" t="s">
        <v>124</v>
      </c>
      <c r="B48" s="21" t="s">
        <v>98</v>
      </c>
      <c r="C48" s="20">
        <v>43</v>
      </c>
      <c r="D48" s="20" t="s">
        <v>125</v>
      </c>
      <c r="E48" s="22"/>
      <c r="F48" s="23"/>
      <c r="G48" s="20" t="s">
        <v>40</v>
      </c>
      <c r="H48" s="24"/>
    </row>
    <row r="49" spans="1:8" x14ac:dyDescent="0.4">
      <c r="A49" s="20" t="s">
        <v>126</v>
      </c>
      <c r="B49" s="21" t="s">
        <v>98</v>
      </c>
      <c r="C49" s="20">
        <v>1</v>
      </c>
      <c r="D49" s="20" t="s">
        <v>127</v>
      </c>
      <c r="E49" s="22"/>
      <c r="F49" s="23"/>
      <c r="G49" s="20" t="s">
        <v>40</v>
      </c>
      <c r="H49" s="24"/>
    </row>
    <row r="50" spans="1:8" x14ac:dyDescent="0.4">
      <c r="A50" s="20" t="s">
        <v>128</v>
      </c>
      <c r="B50" s="21" t="s">
        <v>98</v>
      </c>
      <c r="C50" s="20">
        <v>43</v>
      </c>
      <c r="D50" s="20" t="s">
        <v>129</v>
      </c>
      <c r="E50" s="22"/>
      <c r="F50" s="23"/>
      <c r="G50" s="20" t="s">
        <v>40</v>
      </c>
      <c r="H50" s="24"/>
    </row>
    <row r="51" spans="1:8" x14ac:dyDescent="0.4">
      <c r="A51" s="20" t="s">
        <v>130</v>
      </c>
      <c r="B51" s="21" t="s">
        <v>98</v>
      </c>
      <c r="C51" s="20">
        <v>1</v>
      </c>
      <c r="D51" s="20" t="s">
        <v>131</v>
      </c>
      <c r="E51" s="22"/>
      <c r="F51" s="23"/>
      <c r="G51" s="20" t="s">
        <v>40</v>
      </c>
      <c r="H51" s="24"/>
    </row>
    <row r="52" spans="1:8" x14ac:dyDescent="0.4">
      <c r="A52" s="25" t="s">
        <v>132</v>
      </c>
      <c r="B52" s="26" t="s">
        <v>98</v>
      </c>
      <c r="C52" s="25">
        <v>43</v>
      </c>
      <c r="D52" s="25" t="s">
        <v>133</v>
      </c>
      <c r="E52" s="27"/>
      <c r="F52" s="28"/>
      <c r="G52" s="25" t="s">
        <v>40</v>
      </c>
      <c r="H52" s="29"/>
    </row>
  </sheetData>
  <pageMargins left="0.7" right="0.7" top="0.75" bottom="0.75" header="0.3" footer="0.3"/>
  <pageSetup paperSize="9" scale="70" orientation="landscape" r:id="rId1"/>
  <headerFooter>
    <oddFooter>&amp;LOns Middelbaar Onderwijs                                    
CONCEPT PER 01-09-2023&amp;ROpmaakdatum: 14-11-2022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E2B5D-AC03-49E5-B14D-CB447A10E46C}">
  <dimension ref="A1:N41"/>
  <sheetViews>
    <sheetView workbookViewId="0"/>
  </sheetViews>
  <sheetFormatPr defaultRowHeight="14.6" x14ac:dyDescent="0.4"/>
  <cols>
    <col min="1" max="1" width="7.69140625" customWidth="1"/>
    <col min="2" max="2" width="6.69140625" customWidth="1"/>
    <col min="3" max="3" width="12.69140625" customWidth="1"/>
    <col min="4" max="4" width="35.69140625" customWidth="1"/>
    <col min="5" max="5" width="12.69140625" customWidth="1"/>
    <col min="6" max="8" width="11.69140625" customWidth="1"/>
    <col min="9" max="9" width="9.69140625" customWidth="1"/>
    <col min="10" max="12" width="11.69140625" customWidth="1"/>
    <col min="13" max="13" width="12.69140625" customWidth="1"/>
    <col min="14" max="14" width="14.69140625" customWidth="1"/>
  </cols>
  <sheetData>
    <row r="1" spans="1:14" x14ac:dyDescent="0.4">
      <c r="A1" s="1" t="str">
        <f>CONCATENATE("Bijlage G5.2: ",tabeltype," regulier werk")</f>
        <v>Bijlage G5.2: Invultabel regulier werk</v>
      </c>
    </row>
    <row r="3" spans="1:14" ht="43.75" x14ac:dyDescent="0.4">
      <c r="A3" s="8" t="s">
        <v>134</v>
      </c>
      <c r="B3" s="8" t="s">
        <v>7</v>
      </c>
      <c r="C3" s="8" t="s">
        <v>135</v>
      </c>
      <c r="D3" s="8" t="s">
        <v>31</v>
      </c>
      <c r="E3" s="8" t="s">
        <v>136</v>
      </c>
      <c r="F3" s="8" t="s">
        <v>137</v>
      </c>
      <c r="G3" s="8" t="s">
        <v>32</v>
      </c>
      <c r="H3" s="8" t="s">
        <v>33</v>
      </c>
      <c r="I3" s="8" t="s">
        <v>34</v>
      </c>
      <c r="J3" s="8" t="s">
        <v>35</v>
      </c>
      <c r="K3" s="8" t="s">
        <v>138</v>
      </c>
      <c r="L3" s="8" t="s">
        <v>139</v>
      </c>
      <c r="M3" s="8" t="s">
        <v>140</v>
      </c>
      <c r="N3" s="8" t="s">
        <v>141</v>
      </c>
    </row>
    <row r="4" spans="1:14" x14ac:dyDescent="0.4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4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4">
      <c r="A6" s="15" t="s">
        <v>142</v>
      </c>
      <c r="B6" s="15" t="s">
        <v>9</v>
      </c>
      <c r="C6" s="15" t="s">
        <v>143</v>
      </c>
      <c r="D6" s="15" t="s">
        <v>144</v>
      </c>
      <c r="E6" s="30">
        <v>116</v>
      </c>
      <c r="F6" s="30">
        <f>E6*VLOOKUP(B6,dagsoorttabel1,2,FALSE)</f>
        <v>124.69999999999999</v>
      </c>
      <c r="G6" s="31">
        <f>IF(AND(catpn_1_BKHB_1&gt;0,catpn_1_BKHV_43&gt;0),(dagenperjaar1*VLOOKUP(B6,dagsoorttabel1,2,FALSE))/(((dagenperjaar1*VLOOKUP(B6,dagsoorttabel1,2,FALSE))-catfd_1_BKHV_43)/catpn_1_BKHB_1+catfd_1_BKHV_43/catpn_1_BKHV_43),0)</f>
        <v>0</v>
      </c>
      <c r="H6" s="32">
        <f>IF(AND(catpn_1_BKHB_1&gt;0,catpn_1_BKHV_43&gt;0),(catdw_1_BKHB_1*((dagenperjaar1-VLOOKUP(B6,dagsoorttabel1,2,FALSE))-catfd_1_BKHV_43)/catpn_1_BKHB_1+catdw_1_BKHV_43*catfd_1_BKHV_43/catpn_1_BKHV_43)/(((dagenperjaar1-VLOOKUP(B6,dagsoorttabel1,2,FALSE))-catfd_1_BKHV_43)/catpn_1_BKHB_1+catfd_1_BKHV_43/catpn_1_BKHV_43),0)</f>
        <v>0</v>
      </c>
      <c r="I6" s="15" t="s">
        <v>40</v>
      </c>
      <c r="J6" s="33">
        <f>IF(AND(catpn_1_BKHB_1&gt;0,catpn_1_BKHV_43&gt;0),(cattf_1_BKHB_1*((dagenperjaar1*VLOOKUP(B6,dagsoorttabel1,2,FALSE))-catfd_1_BKHV_43)/catpn_1_BKHB_1+cattf_1_BKHV_43*catfd_1_BKHV_43/catpn_1_BKHV_43)/(((dagenperjaar1*VLOOKUP(B6,dagsoorttabel1,2,FALSE))-catfd_1_BKHV_43)/catpn_1_BKHB_1+catfd_1_BKHV_43/catpn_1_BKHV_43),0)</f>
        <v>0</v>
      </c>
      <c r="K6" s="30">
        <f>IF(OR(ISBLANK(G6),G6=0),0,F6/ROUND(G6,4))</f>
        <v>0</v>
      </c>
      <c r="L6" s="33">
        <f>ROUND(J6,2)*K6</f>
        <v>0</v>
      </c>
      <c r="M6" s="30">
        <f>K6*dagenperjaar1</f>
        <v>0</v>
      </c>
      <c r="N6" s="33">
        <f>M6*ROUND(J6,2)</f>
        <v>0</v>
      </c>
    </row>
    <row r="7" spans="1:14" x14ac:dyDescent="0.4">
      <c r="A7" s="20" t="s">
        <v>142</v>
      </c>
      <c r="B7" s="20" t="s">
        <v>14</v>
      </c>
      <c r="C7" s="20" t="s">
        <v>143</v>
      </c>
      <c r="D7" s="20" t="s">
        <v>144</v>
      </c>
      <c r="E7" s="34">
        <v>389</v>
      </c>
      <c r="F7" s="34">
        <f>E7*VLOOKUP(B7,dagsoorttabel1,2,FALSE)</f>
        <v>167.27</v>
      </c>
      <c r="G7" s="35">
        <f>IF(AND(catpn_1_BKHB_1&gt;0,catpn_1_BKHV_43&gt;0),(dagenperjaar1*VLOOKUP(B7,dagsoorttabel1,2,FALSE))/(((dagenperjaar1*VLOOKUP(B7,dagsoorttabel1,2,FALSE))-catfd_1_BKHV_43)/catpn_1_BKHB_1+catfd_1_BKHV_43/catpn_1_BKHV_43),0)</f>
        <v>0</v>
      </c>
      <c r="H7" s="36">
        <f>IF(AND(catpn_1_BKHB_1&gt;0,catpn_1_BKHV_43&gt;0),(catdw_1_BKHB_1*((dagenperjaar1-VLOOKUP(B7,dagsoorttabel1,2,FALSE))-catfd_1_BKHV_43)/catpn_1_BKHB_1+catdw_1_BKHV_43*catfd_1_BKHV_43/catpn_1_BKHV_43)/(((dagenperjaar1-VLOOKUP(B7,dagsoorttabel1,2,FALSE))-catfd_1_BKHV_43)/catpn_1_BKHB_1+catfd_1_BKHV_43/catpn_1_BKHV_43),0)</f>
        <v>0</v>
      </c>
      <c r="I7" s="20" t="s">
        <v>40</v>
      </c>
      <c r="J7" s="37">
        <f>IF(AND(catpn_1_BKHB_1&gt;0,catpn_1_BKHV_43&gt;0),(cattf_1_BKHB_1*((dagenperjaar1*VLOOKUP(B7,dagsoorttabel1,2,FALSE))-catfd_1_BKHV_43)/catpn_1_BKHB_1+cattf_1_BKHV_43*catfd_1_BKHV_43/catpn_1_BKHV_43)/(((dagenperjaar1*VLOOKUP(B7,dagsoorttabel1,2,FALSE))-catfd_1_BKHV_43)/catpn_1_BKHB_1+catfd_1_BKHV_43/catpn_1_BKHV_43),0)</f>
        <v>0</v>
      </c>
      <c r="K7" s="34">
        <f>IF(OR(ISBLANK(G7),G7=0),0,F7/ROUND(G7,4))</f>
        <v>0</v>
      </c>
      <c r="L7" s="37">
        <f>ROUND(J7,2)*K7</f>
        <v>0</v>
      </c>
      <c r="M7" s="34">
        <f>K7*dagenperjaar1</f>
        <v>0</v>
      </c>
      <c r="N7" s="37">
        <f>M7*ROUND(J7,2)</f>
        <v>0</v>
      </c>
    </row>
    <row r="8" spans="1:14" x14ac:dyDescent="0.4">
      <c r="A8" s="20" t="s">
        <v>145</v>
      </c>
      <c r="B8" s="20" t="s">
        <v>9</v>
      </c>
      <c r="C8" s="20" t="s">
        <v>143</v>
      </c>
      <c r="D8" s="20" t="s">
        <v>146</v>
      </c>
      <c r="E8" s="34">
        <v>22</v>
      </c>
      <c r="F8" s="34">
        <f>E8*VLOOKUP(B8,dagsoorttabel1,2,FALSE)</f>
        <v>23.65</v>
      </c>
      <c r="G8" s="35">
        <f>IF(AND(catpn_1_BKZB_1&gt;0,catpn_1_BKZV_43&gt;0),(dagenperjaar1*VLOOKUP(B8,dagsoorttabel1,2,FALSE))/(((dagenperjaar1*VLOOKUP(B8,dagsoorttabel1,2,FALSE))-catfd_1_BKZV_43)/catpn_1_BKZB_1+catfd_1_BKZV_43/catpn_1_BKZV_43),0)</f>
        <v>0</v>
      </c>
      <c r="H8" s="36">
        <f>IF(AND(catpn_1_BKZB_1&gt;0,catpn_1_BKZV_43&gt;0),(catdw_1_BKZB_1*((dagenperjaar1-VLOOKUP(B8,dagsoorttabel1,2,FALSE))-catfd_1_BKZV_43)/catpn_1_BKZB_1+catdw_1_BKZV_43*catfd_1_BKZV_43/catpn_1_BKZV_43)/(((dagenperjaar1-VLOOKUP(B8,dagsoorttabel1,2,FALSE))-catfd_1_BKZV_43)/catpn_1_BKZB_1+catfd_1_BKZV_43/catpn_1_BKZV_43),0)</f>
        <v>0</v>
      </c>
      <c r="I8" s="20" t="s">
        <v>40</v>
      </c>
      <c r="J8" s="37">
        <f>IF(AND(catpn_1_BKZB_1&gt;0,catpn_1_BKZV_43&gt;0),(cattf_1_BKZB_1*((dagenperjaar1*VLOOKUP(B8,dagsoorttabel1,2,FALSE))-catfd_1_BKZV_43)/catpn_1_BKZB_1+cattf_1_BKZV_43*catfd_1_BKZV_43/catpn_1_BKZV_43)/(((dagenperjaar1*VLOOKUP(B8,dagsoorttabel1,2,FALSE))-catfd_1_BKZV_43)/catpn_1_BKZB_1+catfd_1_BKZV_43/catpn_1_BKZV_43),0)</f>
        <v>0</v>
      </c>
      <c r="K8" s="34">
        <f>IF(OR(ISBLANK(G8),G8=0),0,F8/ROUND(G8,4))</f>
        <v>0</v>
      </c>
      <c r="L8" s="37">
        <f>ROUND(J8,2)*K8</f>
        <v>0</v>
      </c>
      <c r="M8" s="34">
        <f>K8*dagenperjaar1</f>
        <v>0</v>
      </c>
      <c r="N8" s="37">
        <f>M8*ROUND(J8,2)</f>
        <v>0</v>
      </c>
    </row>
    <row r="9" spans="1:14" x14ac:dyDescent="0.4">
      <c r="A9" s="20" t="s">
        <v>145</v>
      </c>
      <c r="B9" s="20" t="s">
        <v>14</v>
      </c>
      <c r="C9" s="20" t="s">
        <v>143</v>
      </c>
      <c r="D9" s="20" t="s">
        <v>146</v>
      </c>
      <c r="E9" s="34">
        <v>360</v>
      </c>
      <c r="F9" s="34">
        <f>E9*VLOOKUP(B9,dagsoorttabel1,2,FALSE)</f>
        <v>154.80000000000001</v>
      </c>
      <c r="G9" s="35">
        <f>IF(AND(catpn_1_BKZB_1&gt;0,catpn_1_BKZV_43&gt;0),(dagenperjaar1*VLOOKUP(B9,dagsoorttabel1,2,FALSE))/(((dagenperjaar1*VLOOKUP(B9,dagsoorttabel1,2,FALSE))-catfd_1_BKZV_43)/catpn_1_BKZB_1+catfd_1_BKZV_43/catpn_1_BKZV_43),0)</f>
        <v>0</v>
      </c>
      <c r="H9" s="36">
        <f>IF(AND(catpn_1_BKZB_1&gt;0,catpn_1_BKZV_43&gt;0),(catdw_1_BKZB_1*((dagenperjaar1-VLOOKUP(B9,dagsoorttabel1,2,FALSE))-catfd_1_BKZV_43)/catpn_1_BKZB_1+catdw_1_BKZV_43*catfd_1_BKZV_43/catpn_1_BKZV_43)/(((dagenperjaar1-VLOOKUP(B9,dagsoorttabel1,2,FALSE))-catfd_1_BKZV_43)/catpn_1_BKZB_1+catfd_1_BKZV_43/catpn_1_BKZV_43),0)</f>
        <v>0</v>
      </c>
      <c r="I9" s="20" t="s">
        <v>40</v>
      </c>
      <c r="J9" s="37">
        <f>IF(AND(catpn_1_BKZB_1&gt;0,catpn_1_BKZV_43&gt;0),(cattf_1_BKZB_1*((dagenperjaar1*VLOOKUP(B9,dagsoorttabel1,2,FALSE))-catfd_1_BKZV_43)/catpn_1_BKZB_1+cattf_1_BKZV_43*catfd_1_BKZV_43/catpn_1_BKZV_43)/(((dagenperjaar1*VLOOKUP(B9,dagsoorttabel1,2,FALSE))-catfd_1_BKZV_43)/catpn_1_BKZB_1+catfd_1_BKZV_43/catpn_1_BKZV_43),0)</f>
        <v>0</v>
      </c>
      <c r="K9" s="34">
        <f>IF(OR(ISBLANK(G9),G9=0),0,F9/ROUND(G9,4))</f>
        <v>0</v>
      </c>
      <c r="L9" s="37">
        <f>ROUND(J9,2)*K9</f>
        <v>0</v>
      </c>
      <c r="M9" s="34">
        <f>K9*dagenperjaar1</f>
        <v>0</v>
      </c>
      <c r="N9" s="37">
        <f>M9*ROUND(J9,2)</f>
        <v>0</v>
      </c>
    </row>
    <row r="10" spans="1:14" x14ac:dyDescent="0.4">
      <c r="A10" s="20" t="s">
        <v>147</v>
      </c>
      <c r="B10" s="20" t="s">
        <v>9</v>
      </c>
      <c r="C10" s="20" t="s">
        <v>143</v>
      </c>
      <c r="D10" s="20" t="s">
        <v>148</v>
      </c>
      <c r="E10" s="34">
        <v>110</v>
      </c>
      <c r="F10" s="34">
        <f>E10*VLOOKUP(B10,dagsoorttabel1,2,FALSE)</f>
        <v>118.25</v>
      </c>
      <c r="G10" s="35">
        <f>IF(AND(catpn_1_GFHB_1&gt;0,catpn_1_GFHV_43&gt;0),(dagenperjaar1*VLOOKUP(B10,dagsoorttabel1,2,FALSE))/(((dagenperjaar1*VLOOKUP(B10,dagsoorttabel1,2,FALSE))-catfd_1_GFHV_43)/catpn_1_GFHB_1+catfd_1_GFHV_43/catpn_1_GFHV_43),0)</f>
        <v>0</v>
      </c>
      <c r="H10" s="36">
        <f>IF(AND(catpn_1_GFHB_1&gt;0,catpn_1_GFHV_43&gt;0),(catdw_1_GFHB_1*((dagenperjaar1-VLOOKUP(B10,dagsoorttabel1,2,FALSE))-catfd_1_GFHV_43)/catpn_1_GFHB_1+catdw_1_GFHV_43*catfd_1_GFHV_43/catpn_1_GFHV_43)/(((dagenperjaar1-VLOOKUP(B10,dagsoorttabel1,2,FALSE))-catfd_1_GFHV_43)/catpn_1_GFHB_1+catfd_1_GFHV_43/catpn_1_GFHV_43),0)</f>
        <v>0</v>
      </c>
      <c r="I10" s="20" t="s">
        <v>40</v>
      </c>
      <c r="J10" s="37">
        <f>IF(AND(catpn_1_GFHB_1&gt;0,catpn_1_GFHV_43&gt;0),(cattf_1_GFHB_1*((dagenperjaar1*VLOOKUP(B10,dagsoorttabel1,2,FALSE))-catfd_1_GFHV_43)/catpn_1_GFHB_1+cattf_1_GFHV_43*catfd_1_GFHV_43/catpn_1_GFHV_43)/(((dagenperjaar1*VLOOKUP(B10,dagsoorttabel1,2,FALSE))-catfd_1_GFHV_43)/catpn_1_GFHB_1+catfd_1_GFHV_43/catpn_1_GFHV_43),0)</f>
        <v>0</v>
      </c>
      <c r="K10" s="34">
        <f>IF(OR(ISBLANK(G10),G10=0),0,F10/ROUND(G10,4))</f>
        <v>0</v>
      </c>
      <c r="L10" s="37">
        <f>ROUND(J10,2)*K10</f>
        <v>0</v>
      </c>
      <c r="M10" s="34">
        <f>K10*dagenperjaar1</f>
        <v>0</v>
      </c>
      <c r="N10" s="37">
        <f>M10*ROUND(J10,2)</f>
        <v>0</v>
      </c>
    </row>
    <row r="11" spans="1:14" x14ac:dyDescent="0.4">
      <c r="A11" s="20" t="s">
        <v>149</v>
      </c>
      <c r="B11" s="20" t="s">
        <v>9</v>
      </c>
      <c r="C11" s="20" t="s">
        <v>143</v>
      </c>
      <c r="D11" s="20" t="s">
        <v>150</v>
      </c>
      <c r="E11" s="34">
        <v>877</v>
      </c>
      <c r="F11" s="34">
        <f>E11*VLOOKUP(B11,dagsoorttabel1,2,FALSE)</f>
        <v>942.77499999999998</v>
      </c>
      <c r="G11" s="35">
        <f>IF(AND(catpn_1_GSHB_1&gt;0,catpn_1_GSHV_43&gt;0),(dagenperjaar1*VLOOKUP(B11,dagsoorttabel1,2,FALSE))/(((dagenperjaar1*VLOOKUP(B11,dagsoorttabel1,2,FALSE))-catfd_1_GSHV_43)/catpn_1_GSHB_1+catfd_1_GSHV_43/catpn_1_GSHV_43),0)</f>
        <v>0</v>
      </c>
      <c r="H11" s="36">
        <f>IF(AND(catpn_1_GSHB_1&gt;0,catpn_1_GSHV_43&gt;0),(catdw_1_GSHB_1*((dagenperjaar1-VLOOKUP(B11,dagsoorttabel1,2,FALSE))-catfd_1_GSHV_43)/catpn_1_GSHB_1+catdw_1_GSHV_43*catfd_1_GSHV_43/catpn_1_GSHV_43)/(((dagenperjaar1-VLOOKUP(B11,dagsoorttabel1,2,FALSE))-catfd_1_GSHV_43)/catpn_1_GSHB_1+catfd_1_GSHV_43/catpn_1_GSHV_43),0)</f>
        <v>0</v>
      </c>
      <c r="I11" s="20" t="s">
        <v>40</v>
      </c>
      <c r="J11" s="37">
        <f>IF(AND(catpn_1_GSHB_1&gt;0,catpn_1_GSHV_43&gt;0),(cattf_1_GSHB_1*((dagenperjaar1*VLOOKUP(B11,dagsoorttabel1,2,FALSE))-catfd_1_GSHV_43)/catpn_1_GSHB_1+cattf_1_GSHV_43*catfd_1_GSHV_43/catpn_1_GSHV_43)/(((dagenperjaar1*VLOOKUP(B11,dagsoorttabel1,2,FALSE))-catfd_1_GSHV_43)/catpn_1_GSHB_1+catfd_1_GSHV_43/catpn_1_GSHV_43),0)</f>
        <v>0</v>
      </c>
      <c r="K11" s="34">
        <f>IF(OR(ISBLANK(G11),G11=0),0,F11/ROUND(G11,4))</f>
        <v>0</v>
      </c>
      <c r="L11" s="37">
        <f>ROUND(J11,2)*K11</f>
        <v>0</v>
      </c>
      <c r="M11" s="34">
        <f>K11*dagenperjaar1</f>
        <v>0</v>
      </c>
      <c r="N11" s="37">
        <f>M11*ROUND(J11,2)</f>
        <v>0</v>
      </c>
    </row>
    <row r="12" spans="1:14" x14ac:dyDescent="0.4">
      <c r="A12" s="20" t="s">
        <v>151</v>
      </c>
      <c r="B12" s="20" t="s">
        <v>9</v>
      </c>
      <c r="C12" s="20" t="s">
        <v>143</v>
      </c>
      <c r="D12" s="20" t="s">
        <v>152</v>
      </c>
      <c r="E12" s="34">
        <v>387</v>
      </c>
      <c r="F12" s="34">
        <f>E12*VLOOKUP(B12,dagsoorttabel1,2,FALSE)</f>
        <v>416.02499999999998</v>
      </c>
      <c r="G12" s="35">
        <f>IF(AND(catpn_1_KAHB_1&gt;0,catpn_1_KAHV_43&gt;0),(dagenperjaar1*VLOOKUP(B12,dagsoorttabel1,2,FALSE))/(((dagenperjaar1*VLOOKUP(B12,dagsoorttabel1,2,FALSE))-catfd_1_KAHV_43)/catpn_1_KAHB_1+catfd_1_KAHV_43/catpn_1_KAHV_43),0)</f>
        <v>0</v>
      </c>
      <c r="H12" s="36">
        <f>IF(AND(catpn_1_KAHB_1&gt;0,catpn_1_KAHV_43&gt;0),(catdw_1_KAHB_1*((dagenperjaar1-VLOOKUP(B12,dagsoorttabel1,2,FALSE))-catfd_1_KAHV_43)/catpn_1_KAHB_1+catdw_1_KAHV_43*catfd_1_KAHV_43/catpn_1_KAHV_43)/(((dagenperjaar1-VLOOKUP(B12,dagsoorttabel1,2,FALSE))-catfd_1_KAHV_43)/catpn_1_KAHB_1+catfd_1_KAHV_43/catpn_1_KAHV_43),0)</f>
        <v>0</v>
      </c>
      <c r="I12" s="20" t="s">
        <v>40</v>
      </c>
      <c r="J12" s="37">
        <f>IF(AND(catpn_1_KAHB_1&gt;0,catpn_1_KAHV_43&gt;0),(cattf_1_KAHB_1*((dagenperjaar1*VLOOKUP(B12,dagsoorttabel1,2,FALSE))-catfd_1_KAHV_43)/catpn_1_KAHB_1+cattf_1_KAHV_43*catfd_1_KAHV_43/catpn_1_KAHV_43)/(((dagenperjaar1*VLOOKUP(B12,dagsoorttabel1,2,FALSE))-catfd_1_KAHV_43)/catpn_1_KAHB_1+catfd_1_KAHV_43/catpn_1_KAHV_43),0)</f>
        <v>0</v>
      </c>
      <c r="K12" s="34">
        <f>IF(OR(ISBLANK(G12),G12=0),0,F12/ROUND(G12,4))</f>
        <v>0</v>
      </c>
      <c r="L12" s="37">
        <f>ROUND(J12,2)*K12</f>
        <v>0</v>
      </c>
      <c r="M12" s="34">
        <f>K12*dagenperjaar1</f>
        <v>0</v>
      </c>
      <c r="N12" s="37">
        <f>M12*ROUND(J12,2)</f>
        <v>0</v>
      </c>
    </row>
    <row r="13" spans="1:14" x14ac:dyDescent="0.4">
      <c r="A13" s="20" t="s">
        <v>153</v>
      </c>
      <c r="B13" s="20" t="s">
        <v>12</v>
      </c>
      <c r="C13" s="20" t="s">
        <v>143</v>
      </c>
      <c r="D13" s="20" t="s">
        <v>154</v>
      </c>
      <c r="E13" s="34">
        <v>240</v>
      </c>
      <c r="F13" s="34">
        <f>E13*VLOOKUP(B13,dagsoorttabel1,2,FALSE)</f>
        <v>154.80000000000001</v>
      </c>
      <c r="G13" s="35">
        <f>IF(AND(catpn_1_KDHB_1&gt;0,catpn_1_KDHV_43&gt;0),(dagenperjaar1*VLOOKUP(B13,dagsoorttabel1,2,FALSE))/(((dagenperjaar1*VLOOKUP(B13,dagsoorttabel1,2,FALSE))-catfd_1_KDHV_43)/catpn_1_KDHB_1+catfd_1_KDHV_43/catpn_1_KDHV_43),0)</f>
        <v>0</v>
      </c>
      <c r="H13" s="36">
        <f>IF(AND(catpn_1_KDHB_1&gt;0,catpn_1_KDHV_43&gt;0),(catdw_1_KDHB_1*((dagenperjaar1-VLOOKUP(B13,dagsoorttabel1,2,FALSE))-catfd_1_KDHV_43)/catpn_1_KDHB_1+catdw_1_KDHV_43*catfd_1_KDHV_43/catpn_1_KDHV_43)/(((dagenperjaar1-VLOOKUP(B13,dagsoorttabel1,2,FALSE))-catfd_1_KDHV_43)/catpn_1_KDHB_1+catfd_1_KDHV_43/catpn_1_KDHV_43),0)</f>
        <v>0</v>
      </c>
      <c r="I13" s="20" t="s">
        <v>40</v>
      </c>
      <c r="J13" s="37">
        <f>IF(AND(catpn_1_KDHB_1&gt;0,catpn_1_KDHV_43&gt;0),(cattf_1_KDHB_1*((dagenperjaar1*VLOOKUP(B13,dagsoorttabel1,2,FALSE))-catfd_1_KDHV_43)/catpn_1_KDHB_1+cattf_1_KDHV_43*catfd_1_KDHV_43/catpn_1_KDHV_43)/(((dagenperjaar1*VLOOKUP(B13,dagsoorttabel1,2,FALSE))-catfd_1_KDHV_43)/catpn_1_KDHB_1+catfd_1_KDHV_43/catpn_1_KDHV_43),0)</f>
        <v>0</v>
      </c>
      <c r="K13" s="34">
        <f>IF(OR(ISBLANK(G13),G13=0),0,F13/ROUND(G13,4))</f>
        <v>0</v>
      </c>
      <c r="L13" s="37">
        <f>ROUND(J13,2)*K13</f>
        <v>0</v>
      </c>
      <c r="M13" s="34">
        <f>K13*dagenperjaar1</f>
        <v>0</v>
      </c>
      <c r="N13" s="37">
        <f>M13*ROUND(J13,2)</f>
        <v>0</v>
      </c>
    </row>
    <row r="14" spans="1:14" x14ac:dyDescent="0.4">
      <c r="A14" s="20" t="s">
        <v>155</v>
      </c>
      <c r="B14" s="20" t="s">
        <v>14</v>
      </c>
      <c r="C14" s="20" t="s">
        <v>143</v>
      </c>
      <c r="D14" s="20" t="s">
        <v>156</v>
      </c>
      <c r="E14" s="34">
        <v>35</v>
      </c>
      <c r="F14" s="34">
        <f>E14*VLOOKUP(B14,dagsoorttabel1,2,FALSE)</f>
        <v>15.049999999999999</v>
      </c>
      <c r="G14" s="35">
        <f>IF(AND(catpn_1_KKHB_1&gt;0,catpn_1_KKHV_43&gt;0),(dagenperjaar1*VLOOKUP(B14,dagsoorttabel1,2,FALSE))/(((dagenperjaar1*VLOOKUP(B14,dagsoorttabel1,2,FALSE))-catfd_1_KKHV_43)/catpn_1_KKHB_1+catfd_1_KKHV_43/catpn_1_KKHV_43),0)</f>
        <v>0</v>
      </c>
      <c r="H14" s="36">
        <f>IF(AND(catpn_1_KKHB_1&gt;0,catpn_1_KKHV_43&gt;0),(catdw_1_KKHB_1*((dagenperjaar1-VLOOKUP(B14,dagsoorttabel1,2,FALSE))-catfd_1_KKHV_43)/catpn_1_KKHB_1+catdw_1_KKHV_43*catfd_1_KKHV_43/catpn_1_KKHV_43)/(((dagenperjaar1-VLOOKUP(B14,dagsoorttabel1,2,FALSE))-catfd_1_KKHV_43)/catpn_1_KKHB_1+catfd_1_KKHV_43/catpn_1_KKHV_43),0)</f>
        <v>0</v>
      </c>
      <c r="I14" s="20" t="s">
        <v>40</v>
      </c>
      <c r="J14" s="37">
        <f>IF(AND(catpn_1_KKHB_1&gt;0,catpn_1_KKHV_43&gt;0),(cattf_1_KKHB_1*((dagenperjaar1*VLOOKUP(B14,dagsoorttabel1,2,FALSE))-catfd_1_KKHV_43)/catpn_1_KKHB_1+cattf_1_KKHV_43*catfd_1_KKHV_43/catpn_1_KKHV_43)/(((dagenperjaar1*VLOOKUP(B14,dagsoorttabel1,2,FALSE))-catfd_1_KKHV_43)/catpn_1_KKHB_1+catfd_1_KKHV_43/catpn_1_KKHV_43),0)</f>
        <v>0</v>
      </c>
      <c r="K14" s="34">
        <f>IF(OR(ISBLANK(G14),G14=0),0,F14/ROUND(G14,4))</f>
        <v>0</v>
      </c>
      <c r="L14" s="37">
        <f>ROUND(J14,2)*K14</f>
        <v>0</v>
      </c>
      <c r="M14" s="34">
        <f>K14*dagenperjaar1</f>
        <v>0</v>
      </c>
      <c r="N14" s="37">
        <f>M14*ROUND(J14,2)</f>
        <v>0</v>
      </c>
    </row>
    <row r="15" spans="1:14" x14ac:dyDescent="0.4">
      <c r="A15" s="20" t="s">
        <v>157</v>
      </c>
      <c r="B15" s="20" t="s">
        <v>9</v>
      </c>
      <c r="C15" s="20" t="s">
        <v>143</v>
      </c>
      <c r="D15" s="20" t="s">
        <v>158</v>
      </c>
      <c r="E15" s="34">
        <v>104</v>
      </c>
      <c r="F15" s="34">
        <f>E15*VLOOKUP(B15,dagsoorttabel1,2,FALSE)</f>
        <v>111.8</v>
      </c>
      <c r="G15" s="35">
        <f>IF(AND(catpn_1_LAHB_1&gt;0,catpn_1_LAHV_43&gt;0),(dagenperjaar1*VLOOKUP(B15,dagsoorttabel1,2,FALSE))/(((dagenperjaar1*VLOOKUP(B15,dagsoorttabel1,2,FALSE))-catfd_1_LAHV_43)/catpn_1_LAHB_1+catfd_1_LAHV_43/catpn_1_LAHV_43),0)</f>
        <v>0</v>
      </c>
      <c r="H15" s="36">
        <f>IF(AND(catpn_1_LAHB_1&gt;0,catpn_1_LAHV_43&gt;0),(catdw_1_LAHB_1*((dagenperjaar1-VLOOKUP(B15,dagsoorttabel1,2,FALSE))-catfd_1_LAHV_43)/catpn_1_LAHB_1+catdw_1_LAHV_43*catfd_1_LAHV_43/catpn_1_LAHV_43)/(((dagenperjaar1-VLOOKUP(B15,dagsoorttabel1,2,FALSE))-catfd_1_LAHV_43)/catpn_1_LAHB_1+catfd_1_LAHV_43/catpn_1_LAHV_43),0)</f>
        <v>0</v>
      </c>
      <c r="I15" s="20" t="s">
        <v>40</v>
      </c>
      <c r="J15" s="37">
        <f>IF(AND(catpn_1_LAHB_1&gt;0,catpn_1_LAHV_43&gt;0),(cattf_1_LAHB_1*((dagenperjaar1*VLOOKUP(B15,dagsoorttabel1,2,FALSE))-catfd_1_LAHV_43)/catpn_1_LAHB_1+cattf_1_LAHV_43*catfd_1_LAHV_43/catpn_1_LAHV_43)/(((dagenperjaar1*VLOOKUP(B15,dagsoorttabel1,2,FALSE))-catfd_1_LAHV_43)/catpn_1_LAHB_1+catfd_1_LAHV_43/catpn_1_LAHV_43),0)</f>
        <v>0</v>
      </c>
      <c r="K15" s="34">
        <f>IF(OR(ISBLANK(G15),G15=0),0,F15/ROUND(G15,4))</f>
        <v>0</v>
      </c>
      <c r="L15" s="37">
        <f>ROUND(J15,2)*K15</f>
        <v>0</v>
      </c>
      <c r="M15" s="34">
        <f>K15*dagenperjaar1</f>
        <v>0</v>
      </c>
      <c r="N15" s="37">
        <f>M15*ROUND(J15,2)</f>
        <v>0</v>
      </c>
    </row>
    <row r="16" spans="1:14" x14ac:dyDescent="0.4">
      <c r="A16" s="20" t="s">
        <v>159</v>
      </c>
      <c r="B16" s="20" t="s">
        <v>9</v>
      </c>
      <c r="C16" s="20" t="s">
        <v>143</v>
      </c>
      <c r="D16" s="20" t="s">
        <v>160</v>
      </c>
      <c r="E16" s="34">
        <v>3102</v>
      </c>
      <c r="F16" s="34">
        <f>E16*VLOOKUP(B16,dagsoorttabel1,2,FALSE)</f>
        <v>3334.6499999999996</v>
      </c>
      <c r="G16" s="35">
        <f>IF(AND(catpn_1_LLHB_1&gt;0,catpn_1_LLHV_43&gt;0),(dagenperjaar1*VLOOKUP(B16,dagsoorttabel1,2,FALSE))/(((dagenperjaar1*VLOOKUP(B16,dagsoorttabel1,2,FALSE))-catfd_1_LLHV_43)/catpn_1_LLHB_1+catfd_1_LLHV_43/catpn_1_LLHV_43),0)</f>
        <v>0</v>
      </c>
      <c r="H16" s="36">
        <f>IF(AND(catpn_1_LLHB_1&gt;0,catpn_1_LLHV_43&gt;0),(catdw_1_LLHB_1*((dagenperjaar1-VLOOKUP(B16,dagsoorttabel1,2,FALSE))-catfd_1_LLHV_43)/catpn_1_LLHB_1+catdw_1_LLHV_43*catfd_1_LLHV_43/catpn_1_LLHV_43)/(((dagenperjaar1-VLOOKUP(B16,dagsoorttabel1,2,FALSE))-catfd_1_LLHV_43)/catpn_1_LLHB_1+catfd_1_LLHV_43/catpn_1_LLHV_43),0)</f>
        <v>0</v>
      </c>
      <c r="I16" s="20" t="s">
        <v>40</v>
      </c>
      <c r="J16" s="37">
        <f>IF(AND(catpn_1_LLHB_1&gt;0,catpn_1_LLHV_43&gt;0),(cattf_1_LLHB_1*((dagenperjaar1*VLOOKUP(B16,dagsoorttabel1,2,FALSE))-catfd_1_LLHV_43)/catpn_1_LLHB_1+cattf_1_LLHV_43*catfd_1_LLHV_43/catpn_1_LLHV_43)/(((dagenperjaar1*VLOOKUP(B16,dagsoorttabel1,2,FALSE))-catfd_1_LLHV_43)/catpn_1_LLHB_1+catfd_1_LLHV_43/catpn_1_LLHV_43),0)</f>
        <v>0</v>
      </c>
      <c r="K16" s="34">
        <f>IF(OR(ISBLANK(G16),G16=0),0,F16/ROUND(G16,4))</f>
        <v>0</v>
      </c>
      <c r="L16" s="37">
        <f>ROUND(J16,2)*K16</f>
        <v>0</v>
      </c>
      <c r="M16" s="34">
        <f>K16*dagenperjaar1</f>
        <v>0</v>
      </c>
      <c r="N16" s="37">
        <f>M16*ROUND(J16,2)</f>
        <v>0</v>
      </c>
    </row>
    <row r="17" spans="1:14" x14ac:dyDescent="0.4">
      <c r="A17" s="20" t="s">
        <v>161</v>
      </c>
      <c r="B17" s="20" t="s">
        <v>9</v>
      </c>
      <c r="C17" s="20" t="s">
        <v>143</v>
      </c>
      <c r="D17" s="20" t="s">
        <v>162</v>
      </c>
      <c r="E17" s="34">
        <v>128</v>
      </c>
      <c r="F17" s="34">
        <f>E17*VLOOKUP(B17,dagsoorttabel1,2,FALSE)</f>
        <v>137.6</v>
      </c>
      <c r="G17" s="35">
        <f>IF(AND(catpn_1_LLZB_1&gt;0,catpn_1_LLZV_43&gt;0),(dagenperjaar1*VLOOKUP(B17,dagsoorttabel1,2,FALSE))/(((dagenperjaar1*VLOOKUP(B17,dagsoorttabel1,2,FALSE))-catfd_1_LLZV_43)/catpn_1_LLZB_1+catfd_1_LLZV_43/catpn_1_LLZV_43),0)</f>
        <v>0</v>
      </c>
      <c r="H17" s="36">
        <f>IF(AND(catpn_1_LLZB_1&gt;0,catpn_1_LLZV_43&gt;0),(catdw_1_LLZB_1*((dagenperjaar1-VLOOKUP(B17,dagsoorttabel1,2,FALSE))-catfd_1_LLZV_43)/catpn_1_LLZB_1+catdw_1_LLZV_43*catfd_1_LLZV_43/catpn_1_LLZV_43)/(((dagenperjaar1-VLOOKUP(B17,dagsoorttabel1,2,FALSE))-catfd_1_LLZV_43)/catpn_1_LLZB_1+catfd_1_LLZV_43/catpn_1_LLZV_43),0)</f>
        <v>0</v>
      </c>
      <c r="I17" s="20" t="s">
        <v>40</v>
      </c>
      <c r="J17" s="37">
        <f>IF(AND(catpn_1_LLZB_1&gt;0,catpn_1_LLZV_43&gt;0),(cattf_1_LLZB_1*((dagenperjaar1*VLOOKUP(B17,dagsoorttabel1,2,FALSE))-catfd_1_LLZV_43)/catpn_1_LLZB_1+cattf_1_LLZV_43*catfd_1_LLZV_43/catpn_1_LLZV_43)/(((dagenperjaar1*VLOOKUP(B17,dagsoorttabel1,2,FALSE))-catfd_1_LLZV_43)/catpn_1_LLZB_1+catfd_1_LLZV_43/catpn_1_LLZV_43),0)</f>
        <v>0</v>
      </c>
      <c r="K17" s="34">
        <f>IF(OR(ISBLANK(G17),G17=0),0,F17/ROUND(G17,4))</f>
        <v>0</v>
      </c>
      <c r="L17" s="37">
        <f>ROUND(J17,2)*K17</f>
        <v>0</v>
      </c>
      <c r="M17" s="34">
        <f>K17*dagenperjaar1</f>
        <v>0</v>
      </c>
      <c r="N17" s="37">
        <f>M17*ROUND(J17,2)</f>
        <v>0</v>
      </c>
    </row>
    <row r="18" spans="1:14" x14ac:dyDescent="0.4">
      <c r="A18" s="20" t="s">
        <v>161</v>
      </c>
      <c r="B18" s="20" t="s">
        <v>14</v>
      </c>
      <c r="C18" s="20" t="s">
        <v>143</v>
      </c>
      <c r="D18" s="20" t="s">
        <v>162</v>
      </c>
      <c r="E18" s="34">
        <v>118</v>
      </c>
      <c r="F18" s="34">
        <f>E18*VLOOKUP(B18,dagsoorttabel1,2,FALSE)</f>
        <v>50.74</v>
      </c>
      <c r="G18" s="35">
        <f>IF(AND(catpn_1_LLZB_1&gt;0,catpn_1_LLZV_43&gt;0),(dagenperjaar1*VLOOKUP(B18,dagsoorttabel1,2,FALSE))/(((dagenperjaar1*VLOOKUP(B18,dagsoorttabel1,2,FALSE))-catfd_1_LLZV_43)/catpn_1_LLZB_1+catfd_1_LLZV_43/catpn_1_LLZV_43),0)</f>
        <v>0</v>
      </c>
      <c r="H18" s="36">
        <f>IF(AND(catpn_1_LLZB_1&gt;0,catpn_1_LLZV_43&gt;0),(catdw_1_LLZB_1*((dagenperjaar1-VLOOKUP(B18,dagsoorttabel1,2,FALSE))-catfd_1_LLZV_43)/catpn_1_LLZB_1+catdw_1_LLZV_43*catfd_1_LLZV_43/catpn_1_LLZV_43)/(((dagenperjaar1-VLOOKUP(B18,dagsoorttabel1,2,FALSE))-catfd_1_LLZV_43)/catpn_1_LLZB_1+catfd_1_LLZV_43/catpn_1_LLZV_43),0)</f>
        <v>0</v>
      </c>
      <c r="I18" s="20" t="s">
        <v>40</v>
      </c>
      <c r="J18" s="37">
        <f>IF(AND(catpn_1_LLZB_1&gt;0,catpn_1_LLZV_43&gt;0),(cattf_1_LLZB_1*((dagenperjaar1*VLOOKUP(B18,dagsoorttabel1,2,FALSE))-catfd_1_LLZV_43)/catpn_1_LLZB_1+cattf_1_LLZV_43*catfd_1_LLZV_43/catpn_1_LLZV_43)/(((dagenperjaar1*VLOOKUP(B18,dagsoorttabel1,2,FALSE))-catfd_1_LLZV_43)/catpn_1_LLZB_1+catfd_1_LLZV_43/catpn_1_LLZV_43),0)</f>
        <v>0</v>
      </c>
      <c r="K18" s="34">
        <f>IF(OR(ISBLANK(G18),G18=0),0,F18/ROUND(G18,4))</f>
        <v>0</v>
      </c>
      <c r="L18" s="37">
        <f>ROUND(J18,2)*K18</f>
        <v>0</v>
      </c>
      <c r="M18" s="34">
        <f>K18*dagenperjaar1</f>
        <v>0</v>
      </c>
      <c r="N18" s="37">
        <f>M18*ROUND(J18,2)</f>
        <v>0</v>
      </c>
    </row>
    <row r="19" spans="1:14" x14ac:dyDescent="0.4">
      <c r="A19" s="20" t="s">
        <v>163</v>
      </c>
      <c r="B19" s="20" t="s">
        <v>9</v>
      </c>
      <c r="C19" s="20" t="s">
        <v>143</v>
      </c>
      <c r="D19" s="20" t="s">
        <v>164</v>
      </c>
      <c r="E19" s="34">
        <v>568</v>
      </c>
      <c r="F19" s="34">
        <f>E19*VLOOKUP(B19,dagsoorttabel1,2,FALSE)</f>
        <v>610.6</v>
      </c>
      <c r="G19" s="35">
        <f>IF(AND(catpn_1_LOHB_1&gt;0,catpn_1_LOHV_43&gt;0),(dagenperjaar1*VLOOKUP(B19,dagsoorttabel1,2,FALSE))/(((dagenperjaar1*VLOOKUP(B19,dagsoorttabel1,2,FALSE))-catfd_1_LOHV_43)/catpn_1_LOHB_1+catfd_1_LOHV_43/catpn_1_LOHV_43),0)</f>
        <v>0</v>
      </c>
      <c r="H19" s="36">
        <f>IF(AND(catpn_1_LOHB_1&gt;0,catpn_1_LOHV_43&gt;0),(catdw_1_LOHB_1*((dagenperjaar1-VLOOKUP(B19,dagsoorttabel1,2,FALSE))-catfd_1_LOHV_43)/catpn_1_LOHB_1+catdw_1_LOHV_43*catfd_1_LOHV_43/catpn_1_LOHV_43)/(((dagenperjaar1-VLOOKUP(B19,dagsoorttabel1,2,FALSE))-catfd_1_LOHV_43)/catpn_1_LOHB_1+catfd_1_LOHV_43/catpn_1_LOHV_43),0)</f>
        <v>0</v>
      </c>
      <c r="I19" s="20" t="s">
        <v>40</v>
      </c>
      <c r="J19" s="37">
        <f>IF(AND(catpn_1_LOHB_1&gt;0,catpn_1_LOHV_43&gt;0),(cattf_1_LOHB_1*((dagenperjaar1*VLOOKUP(B19,dagsoorttabel1,2,FALSE))-catfd_1_LOHV_43)/catpn_1_LOHB_1+cattf_1_LOHV_43*catfd_1_LOHV_43/catpn_1_LOHV_43)/(((dagenperjaar1*VLOOKUP(B19,dagsoorttabel1,2,FALSE))-catfd_1_LOHV_43)/catpn_1_LOHB_1+catfd_1_LOHV_43/catpn_1_LOHV_43),0)</f>
        <v>0</v>
      </c>
      <c r="K19" s="34">
        <f>IF(OR(ISBLANK(G19),G19=0),0,F19/ROUND(G19,4))</f>
        <v>0</v>
      </c>
      <c r="L19" s="37">
        <f>ROUND(J19,2)*K19</f>
        <v>0</v>
      </c>
      <c r="M19" s="34">
        <f>K19*dagenperjaar1</f>
        <v>0</v>
      </c>
      <c r="N19" s="37">
        <f>M19*ROUND(J19,2)</f>
        <v>0</v>
      </c>
    </row>
    <row r="20" spans="1:14" x14ac:dyDescent="0.4">
      <c r="A20" s="20" t="s">
        <v>165</v>
      </c>
      <c r="B20" s="20" t="s">
        <v>19</v>
      </c>
      <c r="C20" s="20" t="s">
        <v>143</v>
      </c>
      <c r="D20" s="20" t="s">
        <v>166</v>
      </c>
      <c r="E20" s="34">
        <v>113</v>
      </c>
      <c r="F20" s="34">
        <f>E20*VLOOKUP(B20,dagsoorttabel1,2,FALSE)</f>
        <v>6.7799999999999994</v>
      </c>
      <c r="G20" s="35">
        <f>IF(AND(catpn_1_OAHB_1&gt;0,catpn_1_OAHV_12&gt;0),(dagenperjaar1*VLOOKUP(B20,dagsoorttabel1,2,FALSE))/(((dagenperjaar1*VLOOKUP(B20,dagsoorttabel1,2,FALSE))-catfd_1_OAHV_12)/catpn_1_OAHB_1+catfd_1_OAHV_12/catpn_1_OAHV_12),0)</f>
        <v>0</v>
      </c>
      <c r="H20" s="36">
        <f>IF(AND(catpn_1_OAHB_1&gt;0,catpn_1_OAHV_12&gt;0),(catdw_1_OAHB_1*((dagenperjaar1-VLOOKUP(B20,dagsoorttabel1,2,FALSE))-catfd_1_OAHV_12)/catpn_1_OAHB_1+catdw_1_OAHV_12*catfd_1_OAHV_12/catpn_1_OAHV_12)/(((dagenperjaar1-VLOOKUP(B20,dagsoorttabel1,2,FALSE))-catfd_1_OAHV_12)/catpn_1_OAHB_1+catfd_1_OAHV_12/catpn_1_OAHV_12),0)</f>
        <v>0</v>
      </c>
      <c r="I20" s="20" t="s">
        <v>40</v>
      </c>
      <c r="J20" s="37">
        <f>IF(AND(catpn_1_OAHB_1&gt;0,catpn_1_OAHV_12&gt;0),(cattf_1_OAHB_1*((dagenperjaar1*VLOOKUP(B20,dagsoorttabel1,2,FALSE))-catfd_1_OAHV_12)/catpn_1_OAHB_1+cattf_1_OAHV_12*catfd_1_OAHV_12/catpn_1_OAHV_12)/(((dagenperjaar1*VLOOKUP(B20,dagsoorttabel1,2,FALSE))-catfd_1_OAHV_12)/catpn_1_OAHB_1+catfd_1_OAHV_12/catpn_1_OAHV_12),0)</f>
        <v>0</v>
      </c>
      <c r="K20" s="34">
        <f>IF(OR(ISBLANK(G20),G20=0),0,F20/ROUND(G20,4))</f>
        <v>0</v>
      </c>
      <c r="L20" s="37">
        <f>ROUND(J20,2)*K20</f>
        <v>0</v>
      </c>
      <c r="M20" s="34">
        <f>K20*dagenperjaar1</f>
        <v>0</v>
      </c>
      <c r="N20" s="37">
        <f>M20*ROUND(J20,2)</f>
        <v>0</v>
      </c>
    </row>
    <row r="21" spans="1:14" x14ac:dyDescent="0.4">
      <c r="A21" s="20" t="s">
        <v>167</v>
      </c>
      <c r="B21" s="20" t="s">
        <v>9</v>
      </c>
      <c r="C21" s="20" t="s">
        <v>143</v>
      </c>
      <c r="D21" s="20" t="s">
        <v>168</v>
      </c>
      <c r="E21" s="34">
        <v>519</v>
      </c>
      <c r="F21" s="34">
        <f>E21*VLOOKUP(B21,dagsoorttabel1,2,FALSE)</f>
        <v>557.92499999999995</v>
      </c>
      <c r="G21" s="35">
        <f>IF(AND(catpn_1_PAHB_1&gt;0,catpn_1_PAHV_43&gt;0),(dagenperjaar1*VLOOKUP(B21,dagsoorttabel1,2,FALSE))/(((dagenperjaar1*VLOOKUP(B21,dagsoorttabel1,2,FALSE))-catfd_1_PAHV_43)/catpn_1_PAHB_1+catfd_1_PAHV_43/catpn_1_PAHV_43),0)</f>
        <v>0</v>
      </c>
      <c r="H21" s="36">
        <f>IF(AND(catpn_1_PAHB_1&gt;0,catpn_1_PAHV_43&gt;0),(catdw_1_PAHB_1*((dagenperjaar1-VLOOKUP(B21,dagsoorttabel1,2,FALSE))-catfd_1_PAHV_43)/catpn_1_PAHB_1+catdw_1_PAHV_43*catfd_1_PAHV_43/catpn_1_PAHV_43)/(((dagenperjaar1-VLOOKUP(B21,dagsoorttabel1,2,FALSE))-catfd_1_PAHV_43)/catpn_1_PAHB_1+catfd_1_PAHV_43/catpn_1_PAHV_43),0)</f>
        <v>0</v>
      </c>
      <c r="I21" s="20" t="s">
        <v>40</v>
      </c>
      <c r="J21" s="37">
        <f>IF(AND(catpn_1_PAHB_1&gt;0,catpn_1_PAHV_43&gt;0),(cattf_1_PAHB_1*((dagenperjaar1*VLOOKUP(B21,dagsoorttabel1,2,FALSE))-catfd_1_PAHV_43)/catpn_1_PAHB_1+cattf_1_PAHV_43*catfd_1_PAHV_43/catpn_1_PAHV_43)/(((dagenperjaar1*VLOOKUP(B21,dagsoorttabel1,2,FALSE))-catfd_1_PAHV_43)/catpn_1_PAHB_1+catfd_1_PAHV_43/catpn_1_PAHV_43),0)</f>
        <v>0</v>
      </c>
      <c r="K21" s="34">
        <f>IF(OR(ISBLANK(G21),G21=0),0,F21/ROUND(G21,4))</f>
        <v>0</v>
      </c>
      <c r="L21" s="37">
        <f>ROUND(J21,2)*K21</f>
        <v>0</v>
      </c>
      <c r="M21" s="34">
        <f>K21*dagenperjaar1</f>
        <v>0</v>
      </c>
      <c r="N21" s="37">
        <f>M21*ROUND(J21,2)</f>
        <v>0</v>
      </c>
    </row>
    <row r="22" spans="1:14" x14ac:dyDescent="0.4">
      <c r="A22" s="20" t="s">
        <v>169</v>
      </c>
      <c r="B22" s="20" t="s">
        <v>16</v>
      </c>
      <c r="C22" s="20" t="s">
        <v>143</v>
      </c>
      <c r="D22" s="20" t="s">
        <v>170</v>
      </c>
      <c r="E22" s="34">
        <v>22</v>
      </c>
      <c r="F22" s="34">
        <f>E22*VLOOKUP(B22,dagsoorttabel1,2,FALSE)</f>
        <v>4.7299999999999995</v>
      </c>
      <c r="G22" s="35">
        <f>IF(AND(catpn_1_PLHB_1&gt;0,catpn_1_PLHV_43&gt;0),(dagenperjaar1*VLOOKUP(B22,dagsoorttabel1,2,FALSE))/(((dagenperjaar1*VLOOKUP(B22,dagsoorttabel1,2,FALSE))-catfd_1_PLHV_43)/catpn_1_PLHB_1+catfd_1_PLHV_43/catpn_1_PLHV_43),0)</f>
        <v>0</v>
      </c>
      <c r="H22" s="36">
        <f>IF(AND(catpn_1_PLHB_1&gt;0,catpn_1_PLHV_43&gt;0),(catdw_1_PLHB_1*((dagenperjaar1-VLOOKUP(B22,dagsoorttabel1,2,FALSE))-catfd_1_PLHV_43)/catpn_1_PLHB_1+catdw_1_PLHV_43*catfd_1_PLHV_43/catpn_1_PLHV_43)/(((dagenperjaar1-VLOOKUP(B22,dagsoorttabel1,2,FALSE))-catfd_1_PLHV_43)/catpn_1_PLHB_1+catfd_1_PLHV_43/catpn_1_PLHV_43),0)</f>
        <v>0</v>
      </c>
      <c r="I22" s="20" t="s">
        <v>40</v>
      </c>
      <c r="J22" s="37">
        <f>IF(AND(catpn_1_PLHB_1&gt;0,catpn_1_PLHV_43&gt;0),(cattf_1_PLHB_1*((dagenperjaar1*VLOOKUP(B22,dagsoorttabel1,2,FALSE))-catfd_1_PLHV_43)/catpn_1_PLHB_1+cattf_1_PLHV_43*catfd_1_PLHV_43/catpn_1_PLHV_43)/(((dagenperjaar1*VLOOKUP(B22,dagsoorttabel1,2,FALSE))-catfd_1_PLHV_43)/catpn_1_PLHB_1+catfd_1_PLHV_43/catpn_1_PLHV_43),0)</f>
        <v>0</v>
      </c>
      <c r="K22" s="34">
        <f>IF(OR(ISBLANK(G22),G22=0),0,F22/ROUND(G22,4))</f>
        <v>0</v>
      </c>
      <c r="L22" s="37">
        <f>ROUND(J22,2)*K22</f>
        <v>0</v>
      </c>
      <c r="M22" s="34">
        <f>K22*dagenperjaar1</f>
        <v>0</v>
      </c>
      <c r="N22" s="37">
        <f>M22*ROUND(J22,2)</f>
        <v>0</v>
      </c>
    </row>
    <row r="23" spans="1:14" x14ac:dyDescent="0.4">
      <c r="A23" s="20" t="s">
        <v>169</v>
      </c>
      <c r="B23" s="20" t="s">
        <v>14</v>
      </c>
      <c r="C23" s="20" t="s">
        <v>143</v>
      </c>
      <c r="D23" s="20" t="s">
        <v>170</v>
      </c>
      <c r="E23" s="34">
        <v>151</v>
      </c>
      <c r="F23" s="34">
        <f>E23*VLOOKUP(B23,dagsoorttabel1,2,FALSE)</f>
        <v>64.929999999999993</v>
      </c>
      <c r="G23" s="35">
        <f>IF(AND(catpn_1_PLHB_1&gt;0,catpn_1_PLHV_43&gt;0),(dagenperjaar1*VLOOKUP(B23,dagsoorttabel1,2,FALSE))/(((dagenperjaar1*VLOOKUP(B23,dagsoorttabel1,2,FALSE))-catfd_1_PLHV_43)/catpn_1_PLHB_1+catfd_1_PLHV_43/catpn_1_PLHV_43),0)</f>
        <v>0</v>
      </c>
      <c r="H23" s="36">
        <f>IF(AND(catpn_1_PLHB_1&gt;0,catpn_1_PLHV_43&gt;0),(catdw_1_PLHB_1*((dagenperjaar1-VLOOKUP(B23,dagsoorttabel1,2,FALSE))-catfd_1_PLHV_43)/catpn_1_PLHB_1+catdw_1_PLHV_43*catfd_1_PLHV_43/catpn_1_PLHV_43)/(((dagenperjaar1-VLOOKUP(B23,dagsoorttabel1,2,FALSE))-catfd_1_PLHV_43)/catpn_1_PLHB_1+catfd_1_PLHV_43/catpn_1_PLHV_43),0)</f>
        <v>0</v>
      </c>
      <c r="I23" s="20" t="s">
        <v>40</v>
      </c>
      <c r="J23" s="37">
        <f>IF(AND(catpn_1_PLHB_1&gt;0,catpn_1_PLHV_43&gt;0),(cattf_1_PLHB_1*((dagenperjaar1*VLOOKUP(B23,dagsoorttabel1,2,FALSE))-catfd_1_PLHV_43)/catpn_1_PLHB_1+cattf_1_PLHV_43*catfd_1_PLHV_43/catpn_1_PLHV_43)/(((dagenperjaar1*VLOOKUP(B23,dagsoorttabel1,2,FALSE))-catfd_1_PLHV_43)/catpn_1_PLHB_1+catfd_1_PLHV_43/catpn_1_PLHV_43),0)</f>
        <v>0</v>
      </c>
      <c r="K23" s="34">
        <f>IF(OR(ISBLANK(G23),G23=0),0,F23/ROUND(G23,4))</f>
        <v>0</v>
      </c>
      <c r="L23" s="37">
        <f>ROUND(J23,2)*K23</f>
        <v>0</v>
      </c>
      <c r="M23" s="34">
        <f>K23*dagenperjaar1</f>
        <v>0</v>
      </c>
      <c r="N23" s="37">
        <f>M23*ROUND(J23,2)</f>
        <v>0</v>
      </c>
    </row>
    <row r="24" spans="1:14" x14ac:dyDescent="0.4">
      <c r="A24" s="20" t="s">
        <v>171</v>
      </c>
      <c r="B24" s="20" t="s">
        <v>12</v>
      </c>
      <c r="C24" s="20" t="s">
        <v>143</v>
      </c>
      <c r="D24" s="20" t="s">
        <v>172</v>
      </c>
      <c r="E24" s="34">
        <v>68</v>
      </c>
      <c r="F24" s="34">
        <f>E24*VLOOKUP(B24,dagsoorttabel1,2,FALSE)</f>
        <v>43.86</v>
      </c>
      <c r="G24" s="35">
        <f>IF(AND(catpn_1_PSHB_1&gt;0,catpn_1_PSHV_43&gt;0),(dagenperjaar1*VLOOKUP(B24,dagsoorttabel1,2,FALSE))/(((dagenperjaar1*VLOOKUP(B24,dagsoorttabel1,2,FALSE))-catfd_1_PSHV_43)/catpn_1_PSHB_1+catfd_1_PSHV_43/catpn_1_PSHV_43),0)</f>
        <v>0</v>
      </c>
      <c r="H24" s="36">
        <f>IF(AND(catpn_1_PSHB_1&gt;0,catpn_1_PSHV_43&gt;0),(catdw_1_PSHB_1*((dagenperjaar1-VLOOKUP(B24,dagsoorttabel1,2,FALSE))-catfd_1_PSHV_43)/catpn_1_PSHB_1+catdw_1_PSHV_43*catfd_1_PSHV_43/catpn_1_PSHV_43)/(((dagenperjaar1-VLOOKUP(B24,dagsoorttabel1,2,FALSE))-catfd_1_PSHV_43)/catpn_1_PSHB_1+catfd_1_PSHV_43/catpn_1_PSHV_43),0)</f>
        <v>0</v>
      </c>
      <c r="I24" s="20" t="s">
        <v>40</v>
      </c>
      <c r="J24" s="37">
        <f>IF(AND(catpn_1_PSHB_1&gt;0,catpn_1_PSHV_43&gt;0),(cattf_1_PSHB_1*((dagenperjaar1*VLOOKUP(B24,dagsoorttabel1,2,FALSE))-catfd_1_PSHV_43)/catpn_1_PSHB_1+cattf_1_PSHV_43*catfd_1_PSHV_43/catpn_1_PSHV_43)/(((dagenperjaar1*VLOOKUP(B24,dagsoorttabel1,2,FALSE))-catfd_1_PSHV_43)/catpn_1_PSHB_1+catfd_1_PSHV_43/catpn_1_PSHV_43),0)</f>
        <v>0</v>
      </c>
      <c r="K24" s="34">
        <f>IF(OR(ISBLANK(G24),G24=0),0,F24/ROUND(G24,4))</f>
        <v>0</v>
      </c>
      <c r="L24" s="37">
        <f>ROUND(J24,2)*K24</f>
        <v>0</v>
      </c>
      <c r="M24" s="34">
        <f>K24*dagenperjaar1</f>
        <v>0</v>
      </c>
      <c r="N24" s="37">
        <f>M24*ROUND(J24,2)</f>
        <v>0</v>
      </c>
    </row>
    <row r="25" spans="1:14" x14ac:dyDescent="0.4">
      <c r="A25" s="20" t="s">
        <v>171</v>
      </c>
      <c r="B25" s="20" t="s">
        <v>9</v>
      </c>
      <c r="C25" s="20" t="s">
        <v>143</v>
      </c>
      <c r="D25" s="20" t="s">
        <v>172</v>
      </c>
      <c r="E25" s="34">
        <v>220</v>
      </c>
      <c r="F25" s="34">
        <f>E25*VLOOKUP(B25,dagsoorttabel1,2,FALSE)</f>
        <v>236.5</v>
      </c>
      <c r="G25" s="35">
        <f>IF(AND(catpn_1_PSHB_1&gt;0,catpn_1_PSHV_43&gt;0),(dagenperjaar1*VLOOKUP(B25,dagsoorttabel1,2,FALSE))/(((dagenperjaar1*VLOOKUP(B25,dagsoorttabel1,2,FALSE))-catfd_1_PSHV_43)/catpn_1_PSHB_1+catfd_1_PSHV_43/catpn_1_PSHV_43),0)</f>
        <v>0</v>
      </c>
      <c r="H25" s="36">
        <f>IF(AND(catpn_1_PSHB_1&gt;0,catpn_1_PSHV_43&gt;0),(catdw_1_PSHB_1*((dagenperjaar1-VLOOKUP(B25,dagsoorttabel1,2,FALSE))-catfd_1_PSHV_43)/catpn_1_PSHB_1+catdw_1_PSHV_43*catfd_1_PSHV_43/catpn_1_PSHV_43)/(((dagenperjaar1-VLOOKUP(B25,dagsoorttabel1,2,FALSE))-catfd_1_PSHV_43)/catpn_1_PSHB_1+catfd_1_PSHV_43/catpn_1_PSHV_43),0)</f>
        <v>0</v>
      </c>
      <c r="I25" s="20" t="s">
        <v>40</v>
      </c>
      <c r="J25" s="37">
        <f>IF(AND(catpn_1_PSHB_1&gt;0,catpn_1_PSHV_43&gt;0),(cattf_1_PSHB_1*((dagenperjaar1*VLOOKUP(B25,dagsoorttabel1,2,FALSE))-catfd_1_PSHV_43)/catpn_1_PSHB_1+cattf_1_PSHV_43*catfd_1_PSHV_43/catpn_1_PSHV_43)/(((dagenperjaar1*VLOOKUP(B25,dagsoorttabel1,2,FALSE))-catfd_1_PSHV_43)/catpn_1_PSHB_1+catfd_1_PSHV_43/catpn_1_PSHV_43),0)</f>
        <v>0</v>
      </c>
      <c r="K25" s="34">
        <f>IF(OR(ISBLANK(G25),G25=0),0,F25/ROUND(G25,4))</f>
        <v>0</v>
      </c>
      <c r="L25" s="37">
        <f>ROUND(J25,2)*K25</f>
        <v>0</v>
      </c>
      <c r="M25" s="34">
        <f>K25*dagenperjaar1</f>
        <v>0</v>
      </c>
      <c r="N25" s="37">
        <f>M25*ROUND(J25,2)</f>
        <v>0</v>
      </c>
    </row>
    <row r="26" spans="1:14" x14ac:dyDescent="0.4">
      <c r="A26" s="20" t="s">
        <v>173</v>
      </c>
      <c r="B26" s="20" t="s">
        <v>9</v>
      </c>
      <c r="C26" s="20" t="s">
        <v>143</v>
      </c>
      <c r="D26" s="20" t="s">
        <v>174</v>
      </c>
      <c r="E26" s="34">
        <v>24</v>
      </c>
      <c r="F26" s="34">
        <f>E26*VLOOKUP(B26,dagsoorttabel1,2,FALSE)</f>
        <v>25.799999999999997</v>
      </c>
      <c r="G26" s="35">
        <f>IF(AND(catpn_1_SDHB_1&gt;0,catpn_1_SDHV_43&gt;0),(dagenperjaar1*VLOOKUP(B26,dagsoorttabel1,2,FALSE))/(((dagenperjaar1*VLOOKUP(B26,dagsoorttabel1,2,FALSE))-catfd_1_SDHV_43)/catpn_1_SDHB_1+catfd_1_SDHV_43/catpn_1_SDHV_43),0)</f>
        <v>0</v>
      </c>
      <c r="H26" s="36">
        <f>IF(AND(catpn_1_SDHB_1&gt;0,catpn_1_SDHV_43&gt;0),(catdw_1_SDHB_1*((dagenperjaar1-VLOOKUP(B26,dagsoorttabel1,2,FALSE))-catfd_1_SDHV_43)/catpn_1_SDHB_1+catdw_1_SDHV_43*catfd_1_SDHV_43/catpn_1_SDHV_43)/(((dagenperjaar1-VLOOKUP(B26,dagsoorttabel1,2,FALSE))-catfd_1_SDHV_43)/catpn_1_SDHB_1+catfd_1_SDHV_43/catpn_1_SDHV_43),0)</f>
        <v>0</v>
      </c>
      <c r="I26" s="20" t="s">
        <v>40</v>
      </c>
      <c r="J26" s="37">
        <f>IF(AND(catpn_1_SDHB_1&gt;0,catpn_1_SDHV_43&gt;0),(cattf_1_SDHB_1*((dagenperjaar1*VLOOKUP(B26,dagsoorttabel1,2,FALSE))-catfd_1_SDHV_43)/catpn_1_SDHB_1+cattf_1_SDHV_43*catfd_1_SDHV_43/catpn_1_SDHV_43)/(((dagenperjaar1*VLOOKUP(B26,dagsoorttabel1,2,FALSE))-catfd_1_SDHV_43)/catpn_1_SDHB_1+catfd_1_SDHV_43/catpn_1_SDHV_43),0)</f>
        <v>0</v>
      </c>
      <c r="K26" s="34">
        <f>IF(OR(ISBLANK(G26),G26=0),0,F26/ROUND(G26,4))</f>
        <v>0</v>
      </c>
      <c r="L26" s="37">
        <f>ROUND(J26,2)*K26</f>
        <v>0</v>
      </c>
      <c r="M26" s="34">
        <f>K26*dagenperjaar1</f>
        <v>0</v>
      </c>
      <c r="N26" s="37">
        <f>M26*ROUND(J26,2)</f>
        <v>0</v>
      </c>
    </row>
    <row r="27" spans="1:14" x14ac:dyDescent="0.4">
      <c r="A27" s="20" t="s">
        <v>175</v>
      </c>
      <c r="B27" s="20" t="s">
        <v>9</v>
      </c>
      <c r="C27" s="20" t="s">
        <v>143</v>
      </c>
      <c r="D27" s="20" t="s">
        <v>176</v>
      </c>
      <c r="E27" s="34">
        <v>93</v>
      </c>
      <c r="F27" s="34">
        <f>E27*VLOOKUP(B27,dagsoorttabel1,2,FALSE)</f>
        <v>99.974999999999994</v>
      </c>
      <c r="G27" s="35">
        <f>IF(AND(catpn_1_SKHB_1&gt;0,catpn_1_SKHV_43&gt;0),(dagenperjaar1*VLOOKUP(B27,dagsoorttabel1,2,FALSE))/(((dagenperjaar1*VLOOKUP(B27,dagsoorttabel1,2,FALSE))-catfd_1_SKHV_43)/catpn_1_SKHB_1+catfd_1_SKHV_43/catpn_1_SKHV_43),0)</f>
        <v>0</v>
      </c>
      <c r="H27" s="36">
        <f>IF(AND(catpn_1_SKHB_1&gt;0,catpn_1_SKHV_43&gt;0),(catdw_1_SKHB_1*((dagenperjaar1-VLOOKUP(B27,dagsoorttabel1,2,FALSE))-catfd_1_SKHV_43)/catpn_1_SKHB_1+catdw_1_SKHV_43*catfd_1_SKHV_43/catpn_1_SKHV_43)/(((dagenperjaar1-VLOOKUP(B27,dagsoorttabel1,2,FALSE))-catfd_1_SKHV_43)/catpn_1_SKHB_1+catfd_1_SKHV_43/catpn_1_SKHV_43),0)</f>
        <v>0</v>
      </c>
      <c r="I27" s="20" t="s">
        <v>40</v>
      </c>
      <c r="J27" s="37">
        <f>IF(AND(catpn_1_SKHB_1&gt;0,catpn_1_SKHV_43&gt;0),(cattf_1_SKHB_1*((dagenperjaar1*VLOOKUP(B27,dagsoorttabel1,2,FALSE))-catfd_1_SKHV_43)/catpn_1_SKHB_1+cattf_1_SKHV_43*catfd_1_SKHV_43/catpn_1_SKHV_43)/(((dagenperjaar1*VLOOKUP(B27,dagsoorttabel1,2,FALSE))-catfd_1_SKHV_43)/catpn_1_SKHB_1+catfd_1_SKHV_43/catpn_1_SKHV_43),0)</f>
        <v>0</v>
      </c>
      <c r="K27" s="34">
        <f>IF(OR(ISBLANK(G27),G27=0),0,F27/ROUND(G27,4))</f>
        <v>0</v>
      </c>
      <c r="L27" s="37">
        <f>ROUND(J27,2)*K27</f>
        <v>0</v>
      </c>
      <c r="M27" s="34">
        <f>K27*dagenperjaar1</f>
        <v>0</v>
      </c>
      <c r="N27" s="37">
        <f>M27*ROUND(J27,2)</f>
        <v>0</v>
      </c>
    </row>
    <row r="28" spans="1:14" x14ac:dyDescent="0.4">
      <c r="A28" s="20" t="s">
        <v>177</v>
      </c>
      <c r="B28" s="20" t="s">
        <v>9</v>
      </c>
      <c r="C28" s="20" t="s">
        <v>143</v>
      </c>
      <c r="D28" s="20" t="s">
        <v>178</v>
      </c>
      <c r="E28" s="34">
        <v>230</v>
      </c>
      <c r="F28" s="34">
        <f>E28*VLOOKUP(B28,dagsoorttabel1,2,FALSE)</f>
        <v>247.25</v>
      </c>
      <c r="G28" s="35">
        <f>IF(AND(catpn_1_STHB_1&gt;0,catpn_1_STHV_43&gt;0),(dagenperjaar1*VLOOKUP(B28,dagsoorttabel1,2,FALSE))/(((dagenperjaar1*VLOOKUP(B28,dagsoorttabel1,2,FALSE))-catfd_1_STHV_43)/catpn_1_STHB_1+catfd_1_STHV_43/catpn_1_STHV_43),0)</f>
        <v>0</v>
      </c>
      <c r="H28" s="36">
        <f>IF(AND(catpn_1_STHB_1&gt;0,catpn_1_STHV_43&gt;0),(catdw_1_STHB_1*((dagenperjaar1-VLOOKUP(B28,dagsoorttabel1,2,FALSE))-catfd_1_STHV_43)/catpn_1_STHB_1+catdw_1_STHV_43*catfd_1_STHV_43/catpn_1_STHV_43)/(((dagenperjaar1-VLOOKUP(B28,dagsoorttabel1,2,FALSE))-catfd_1_STHV_43)/catpn_1_STHB_1+catfd_1_STHV_43/catpn_1_STHV_43),0)</f>
        <v>0</v>
      </c>
      <c r="I28" s="20" t="s">
        <v>40</v>
      </c>
      <c r="J28" s="37">
        <f>IF(AND(catpn_1_STHB_1&gt;0,catpn_1_STHV_43&gt;0),(cattf_1_STHB_1*((dagenperjaar1*VLOOKUP(B28,dagsoorttabel1,2,FALSE))-catfd_1_STHV_43)/catpn_1_STHB_1+cattf_1_STHV_43*catfd_1_STHV_43/catpn_1_STHV_43)/(((dagenperjaar1*VLOOKUP(B28,dagsoorttabel1,2,FALSE))-catfd_1_STHV_43)/catpn_1_STHB_1+catfd_1_STHV_43/catpn_1_STHV_43),0)</f>
        <v>0</v>
      </c>
      <c r="K28" s="34">
        <f>IF(OR(ISBLANK(G28),G28=0),0,F28/ROUND(G28,4))</f>
        <v>0</v>
      </c>
      <c r="L28" s="37">
        <f>ROUND(J28,2)*K28</f>
        <v>0</v>
      </c>
      <c r="M28" s="34">
        <f>K28*dagenperjaar1</f>
        <v>0</v>
      </c>
      <c r="N28" s="37">
        <f>M28*ROUND(J28,2)</f>
        <v>0</v>
      </c>
    </row>
    <row r="29" spans="1:14" x14ac:dyDescent="0.4">
      <c r="A29" s="20" t="s">
        <v>179</v>
      </c>
      <c r="B29" s="20" t="s">
        <v>19</v>
      </c>
      <c r="C29" s="20" t="s">
        <v>143</v>
      </c>
      <c r="D29" s="20" t="s">
        <v>180</v>
      </c>
      <c r="E29" s="34">
        <v>73</v>
      </c>
      <c r="F29" s="34">
        <f>E29*VLOOKUP(B29,dagsoorttabel1,2,FALSE)</f>
        <v>4.38</v>
      </c>
      <c r="G29" s="35">
        <f>IF(AND(catpn_1_VAHB_1&gt;0,catpn_1_VAHV_12&gt;0),(dagenperjaar1*VLOOKUP(B29,dagsoorttabel1,2,FALSE))/(((dagenperjaar1*VLOOKUP(B29,dagsoorttabel1,2,FALSE))-catfd_1_VAHV_12)/catpn_1_VAHB_1+catfd_1_VAHV_12/catpn_1_VAHV_12),0)</f>
        <v>0</v>
      </c>
      <c r="H29" s="36">
        <f>IF(AND(catpn_1_VAHB_1&gt;0,catpn_1_VAHV_12&gt;0),(catdw_1_VAHB_1*((dagenperjaar1-VLOOKUP(B29,dagsoorttabel1,2,FALSE))-catfd_1_VAHV_12)/catpn_1_VAHB_1+catdw_1_VAHV_12*catfd_1_VAHV_12/catpn_1_VAHV_12)/(((dagenperjaar1-VLOOKUP(B29,dagsoorttabel1,2,FALSE))-catfd_1_VAHV_12)/catpn_1_VAHB_1+catfd_1_VAHV_12/catpn_1_VAHV_12),0)</f>
        <v>0</v>
      </c>
      <c r="I29" s="20" t="s">
        <v>40</v>
      </c>
      <c r="J29" s="37">
        <f>IF(AND(catpn_1_VAHB_1&gt;0,catpn_1_VAHV_12&gt;0),(cattf_1_VAHB_1*((dagenperjaar1*VLOOKUP(B29,dagsoorttabel1,2,FALSE))-catfd_1_VAHV_12)/catpn_1_VAHB_1+cattf_1_VAHV_12*catfd_1_VAHV_12/catpn_1_VAHV_12)/(((dagenperjaar1*VLOOKUP(B29,dagsoorttabel1,2,FALSE))-catfd_1_VAHV_12)/catpn_1_VAHB_1+catfd_1_VAHV_12/catpn_1_VAHV_12),0)</f>
        <v>0</v>
      </c>
      <c r="K29" s="34">
        <f>IF(OR(ISBLANK(G29),G29=0),0,F29/ROUND(G29,4))</f>
        <v>0</v>
      </c>
      <c r="L29" s="37">
        <f>ROUND(J29,2)*K29</f>
        <v>0</v>
      </c>
      <c r="M29" s="34">
        <f>K29*dagenperjaar1</f>
        <v>0</v>
      </c>
      <c r="N29" s="37">
        <f>M29*ROUND(J29,2)</f>
        <v>0</v>
      </c>
    </row>
    <row r="30" spans="1:14" x14ac:dyDescent="0.4">
      <c r="A30" s="20" t="s">
        <v>179</v>
      </c>
      <c r="B30" s="20" t="s">
        <v>9</v>
      </c>
      <c r="C30" s="20" t="s">
        <v>143</v>
      </c>
      <c r="D30" s="20" t="s">
        <v>180</v>
      </c>
      <c r="E30" s="34">
        <v>1450</v>
      </c>
      <c r="F30" s="34">
        <f>E30*VLOOKUP(B30,dagsoorttabel1,2,FALSE)</f>
        <v>1558.75</v>
      </c>
      <c r="G30" s="35">
        <f>IF(AND(catpn_1_VAHB_1&gt;0,catpn_1_VAHV_43&gt;0),(dagenperjaar1*VLOOKUP(B30,dagsoorttabel1,2,FALSE))/(((dagenperjaar1*VLOOKUP(B30,dagsoorttabel1,2,FALSE))-catfd_1_VAHV_43)/catpn_1_VAHB_1+catfd_1_VAHV_43/catpn_1_VAHV_43),0)</f>
        <v>0</v>
      </c>
      <c r="H30" s="36">
        <f>IF(AND(catpn_1_VAHB_1&gt;0,catpn_1_VAHV_43&gt;0),(catdw_1_VAHB_1*((dagenperjaar1-VLOOKUP(B30,dagsoorttabel1,2,FALSE))-catfd_1_VAHV_43)/catpn_1_VAHB_1+catdw_1_VAHV_43*catfd_1_VAHV_43/catpn_1_VAHV_43)/(((dagenperjaar1-VLOOKUP(B30,dagsoorttabel1,2,FALSE))-catfd_1_VAHV_43)/catpn_1_VAHB_1+catfd_1_VAHV_43/catpn_1_VAHV_43),0)</f>
        <v>0</v>
      </c>
      <c r="I30" s="20" t="s">
        <v>40</v>
      </c>
      <c r="J30" s="37">
        <f>IF(AND(catpn_1_VAHB_1&gt;0,catpn_1_VAHV_43&gt;0),(cattf_1_VAHB_1*((dagenperjaar1*VLOOKUP(B30,dagsoorttabel1,2,FALSE))-catfd_1_VAHV_43)/catpn_1_VAHB_1+cattf_1_VAHV_43*catfd_1_VAHV_43/catpn_1_VAHV_43)/(((dagenperjaar1*VLOOKUP(B30,dagsoorttabel1,2,FALSE))-catfd_1_VAHV_43)/catpn_1_VAHB_1+catfd_1_VAHV_43/catpn_1_VAHV_43),0)</f>
        <v>0</v>
      </c>
      <c r="K30" s="34">
        <f>IF(OR(ISBLANK(G30),G30=0),0,F30/ROUND(G30,4))</f>
        <v>0</v>
      </c>
      <c r="L30" s="37">
        <f>ROUND(J30,2)*K30</f>
        <v>0</v>
      </c>
      <c r="M30" s="34">
        <f>K30*dagenperjaar1</f>
        <v>0</v>
      </c>
      <c r="N30" s="37">
        <f>M30*ROUND(J30,2)</f>
        <v>0</v>
      </c>
    </row>
    <row r="31" spans="1:14" x14ac:dyDescent="0.4">
      <c r="A31" s="20" t="s">
        <v>181</v>
      </c>
      <c r="B31" s="20" t="s">
        <v>9</v>
      </c>
      <c r="C31" s="20" t="s">
        <v>143</v>
      </c>
      <c r="D31" s="20" t="s">
        <v>182</v>
      </c>
      <c r="E31" s="34">
        <v>1121</v>
      </c>
      <c r="F31" s="34">
        <f>E31*VLOOKUP(B31,dagsoorttabel1,2,FALSE)</f>
        <v>1205.075</v>
      </c>
      <c r="G31" s="35">
        <f>IF(AND(catpn_1_VEHB_1&gt;0,catpn_1_VEHV_43&gt;0),(dagenperjaar1*VLOOKUP(B31,dagsoorttabel1,2,FALSE))/(((dagenperjaar1*VLOOKUP(B31,dagsoorttabel1,2,FALSE))-catfd_1_VEHV_43)/catpn_1_VEHB_1+catfd_1_VEHV_43/catpn_1_VEHV_43),0)</f>
        <v>0</v>
      </c>
      <c r="H31" s="36">
        <f>IF(AND(catpn_1_VEHB_1&gt;0,catpn_1_VEHV_43&gt;0),(catdw_1_VEHB_1*((dagenperjaar1-VLOOKUP(B31,dagsoorttabel1,2,FALSE))-catfd_1_VEHV_43)/catpn_1_VEHB_1+catdw_1_VEHV_43*catfd_1_VEHV_43/catpn_1_VEHV_43)/(((dagenperjaar1-VLOOKUP(B31,dagsoorttabel1,2,FALSE))-catfd_1_VEHV_43)/catpn_1_VEHB_1+catfd_1_VEHV_43/catpn_1_VEHV_43),0)</f>
        <v>0</v>
      </c>
      <c r="I31" s="20" t="s">
        <v>40</v>
      </c>
      <c r="J31" s="37">
        <f>IF(AND(catpn_1_VEHB_1&gt;0,catpn_1_VEHV_43&gt;0),(cattf_1_VEHB_1*((dagenperjaar1*VLOOKUP(B31,dagsoorttabel1,2,FALSE))-catfd_1_VEHV_43)/catpn_1_VEHB_1+cattf_1_VEHV_43*catfd_1_VEHV_43/catpn_1_VEHV_43)/(((dagenperjaar1*VLOOKUP(B31,dagsoorttabel1,2,FALSE))-catfd_1_VEHV_43)/catpn_1_VEHB_1+catfd_1_VEHV_43/catpn_1_VEHV_43),0)</f>
        <v>0</v>
      </c>
      <c r="K31" s="34">
        <f>IF(OR(ISBLANK(G31),G31=0),0,F31/ROUND(G31,4))</f>
        <v>0</v>
      </c>
      <c r="L31" s="37">
        <f>ROUND(J31,2)*K31</f>
        <v>0</v>
      </c>
      <c r="M31" s="34">
        <f>K31*dagenperjaar1</f>
        <v>0</v>
      </c>
      <c r="N31" s="37">
        <f>M31*ROUND(J31,2)</f>
        <v>0</v>
      </c>
    </row>
    <row r="32" spans="1:14" x14ac:dyDescent="0.4">
      <c r="A32" s="20" t="s">
        <v>183</v>
      </c>
      <c r="B32" s="20" t="s">
        <v>9</v>
      </c>
      <c r="C32" s="20" t="s">
        <v>143</v>
      </c>
      <c r="D32" s="20" t="s">
        <v>184</v>
      </c>
      <c r="E32" s="34">
        <v>6</v>
      </c>
      <c r="F32" s="34">
        <f>E32*VLOOKUP(B32,dagsoorttabel1,2,FALSE)</f>
        <v>6.4499999999999993</v>
      </c>
      <c r="G32" s="35">
        <f>IF(AND(catpn_1_VEZB_1&gt;0,catpn_1_VEZV_43&gt;0),(dagenperjaar1*VLOOKUP(B32,dagsoorttabel1,2,FALSE))/(((dagenperjaar1*VLOOKUP(B32,dagsoorttabel1,2,FALSE))-catfd_1_VEZV_43)/catpn_1_VEZB_1+catfd_1_VEZV_43/catpn_1_VEZV_43),0)</f>
        <v>0</v>
      </c>
      <c r="H32" s="36">
        <f>IF(AND(catpn_1_VEZB_1&gt;0,catpn_1_VEZV_43&gt;0),(catdw_1_VEZB_1*((dagenperjaar1-VLOOKUP(B32,dagsoorttabel1,2,FALSE))-catfd_1_VEZV_43)/catpn_1_VEZB_1+catdw_1_VEZV_43*catfd_1_VEZV_43/catpn_1_VEZV_43)/(((dagenperjaar1-VLOOKUP(B32,dagsoorttabel1,2,FALSE))-catfd_1_VEZV_43)/catpn_1_VEZB_1+catfd_1_VEZV_43/catpn_1_VEZV_43),0)</f>
        <v>0</v>
      </c>
      <c r="I32" s="20" t="s">
        <v>40</v>
      </c>
      <c r="J32" s="37">
        <f>IF(AND(catpn_1_VEZB_1&gt;0,catpn_1_VEZV_43&gt;0),(cattf_1_VEZB_1*((dagenperjaar1*VLOOKUP(B32,dagsoorttabel1,2,FALSE))-catfd_1_VEZV_43)/catpn_1_VEZB_1+cattf_1_VEZV_43*catfd_1_VEZV_43/catpn_1_VEZV_43)/(((dagenperjaar1*VLOOKUP(B32,dagsoorttabel1,2,FALSE))-catfd_1_VEZV_43)/catpn_1_VEZB_1+catfd_1_VEZV_43/catpn_1_VEZV_43),0)</f>
        <v>0</v>
      </c>
      <c r="K32" s="34">
        <f>IF(OR(ISBLANK(G32),G32=0),0,F32/ROUND(G32,4))</f>
        <v>0</v>
      </c>
      <c r="L32" s="37">
        <f>ROUND(J32,2)*K32</f>
        <v>0</v>
      </c>
      <c r="M32" s="34">
        <f>K32*dagenperjaar1</f>
        <v>0</v>
      </c>
      <c r="N32" s="37">
        <f>M32*ROUND(J32,2)</f>
        <v>0</v>
      </c>
    </row>
    <row r="33" spans="1:14" x14ac:dyDescent="0.4">
      <c r="A33" s="20" t="s">
        <v>185</v>
      </c>
      <c r="B33" s="20" t="s">
        <v>9</v>
      </c>
      <c r="C33" s="20" t="s">
        <v>143</v>
      </c>
      <c r="D33" s="20" t="s">
        <v>186</v>
      </c>
      <c r="E33" s="34">
        <v>23</v>
      </c>
      <c r="F33" s="34">
        <f>E33*VLOOKUP(B33,dagsoorttabel1,2,FALSE)</f>
        <v>24.724999999999998</v>
      </c>
      <c r="G33" s="35">
        <f>IF(AND(catpn_1_VOHB_1&gt;0,catpn_1_VOHV_43&gt;0),(dagenperjaar1*VLOOKUP(B33,dagsoorttabel1,2,FALSE))/(((dagenperjaar1*VLOOKUP(B33,dagsoorttabel1,2,FALSE))-catfd_1_VOHV_43)/catpn_1_VOHB_1+catfd_1_VOHV_43/catpn_1_VOHV_43),0)</f>
        <v>0</v>
      </c>
      <c r="H33" s="36">
        <f>IF(AND(catpn_1_VOHB_1&gt;0,catpn_1_VOHV_43&gt;0),(catdw_1_VOHB_1*((dagenperjaar1-VLOOKUP(B33,dagsoorttabel1,2,FALSE))-catfd_1_VOHV_43)/catpn_1_VOHB_1+catdw_1_VOHV_43*catfd_1_VOHV_43/catpn_1_VOHV_43)/(((dagenperjaar1-VLOOKUP(B33,dagsoorttabel1,2,FALSE))-catfd_1_VOHV_43)/catpn_1_VOHB_1+catfd_1_VOHV_43/catpn_1_VOHV_43),0)</f>
        <v>0</v>
      </c>
      <c r="I33" s="20" t="s">
        <v>40</v>
      </c>
      <c r="J33" s="37">
        <f>IF(AND(catpn_1_VOHB_1&gt;0,catpn_1_VOHV_43&gt;0),(cattf_1_VOHB_1*((dagenperjaar1*VLOOKUP(B33,dagsoorttabel1,2,FALSE))-catfd_1_VOHV_43)/catpn_1_VOHB_1+cattf_1_VOHV_43*catfd_1_VOHV_43/catpn_1_VOHV_43)/(((dagenperjaar1*VLOOKUP(B33,dagsoorttabel1,2,FALSE))-catfd_1_VOHV_43)/catpn_1_VOHB_1+catfd_1_VOHV_43/catpn_1_VOHV_43),0)</f>
        <v>0</v>
      </c>
      <c r="K33" s="34">
        <f>IF(OR(ISBLANK(G33),G33=0),0,F33/ROUND(G33,4))</f>
        <v>0</v>
      </c>
      <c r="L33" s="37">
        <f>ROUND(J33,2)*K33</f>
        <v>0</v>
      </c>
      <c r="M33" s="34">
        <f>K33*dagenperjaar1</f>
        <v>0</v>
      </c>
      <c r="N33" s="37">
        <f>M33*ROUND(J33,2)</f>
        <v>0</v>
      </c>
    </row>
    <row r="34" spans="1:14" x14ac:dyDescent="0.4">
      <c r="A34" s="20" t="s">
        <v>185</v>
      </c>
      <c r="B34" s="20" t="s">
        <v>14</v>
      </c>
      <c r="C34" s="20" t="s">
        <v>143</v>
      </c>
      <c r="D34" s="20" t="s">
        <v>186</v>
      </c>
      <c r="E34" s="34">
        <v>20</v>
      </c>
      <c r="F34" s="34">
        <f>E34*VLOOKUP(B34,dagsoorttabel1,2,FALSE)</f>
        <v>8.6</v>
      </c>
      <c r="G34" s="35">
        <f>IF(AND(catpn_1_VOHB_1&gt;0,catpn_1_VOHV_43&gt;0),(dagenperjaar1*VLOOKUP(B34,dagsoorttabel1,2,FALSE))/(((dagenperjaar1*VLOOKUP(B34,dagsoorttabel1,2,FALSE))-catfd_1_VOHV_43)/catpn_1_VOHB_1+catfd_1_VOHV_43/catpn_1_VOHV_43),0)</f>
        <v>0</v>
      </c>
      <c r="H34" s="36">
        <f>IF(AND(catpn_1_VOHB_1&gt;0,catpn_1_VOHV_43&gt;0),(catdw_1_VOHB_1*((dagenperjaar1-VLOOKUP(B34,dagsoorttabel1,2,FALSE))-catfd_1_VOHV_43)/catpn_1_VOHB_1+catdw_1_VOHV_43*catfd_1_VOHV_43/catpn_1_VOHV_43)/(((dagenperjaar1-VLOOKUP(B34,dagsoorttabel1,2,FALSE))-catfd_1_VOHV_43)/catpn_1_VOHB_1+catfd_1_VOHV_43/catpn_1_VOHV_43),0)</f>
        <v>0</v>
      </c>
      <c r="I34" s="20" t="s">
        <v>40</v>
      </c>
      <c r="J34" s="37">
        <f>IF(AND(catpn_1_VOHB_1&gt;0,catpn_1_VOHV_43&gt;0),(cattf_1_VOHB_1*((dagenperjaar1*VLOOKUP(B34,dagsoorttabel1,2,FALSE))-catfd_1_VOHV_43)/catpn_1_VOHB_1+cattf_1_VOHV_43*catfd_1_VOHV_43/catpn_1_VOHV_43)/(((dagenperjaar1*VLOOKUP(B34,dagsoorttabel1,2,FALSE))-catfd_1_VOHV_43)/catpn_1_VOHB_1+catfd_1_VOHV_43/catpn_1_VOHV_43),0)</f>
        <v>0</v>
      </c>
      <c r="K34" s="34">
        <f>IF(OR(ISBLANK(G34),G34=0),0,F34/ROUND(G34,4))</f>
        <v>0</v>
      </c>
      <c r="L34" s="37">
        <f>ROUND(J34,2)*K34</f>
        <v>0</v>
      </c>
      <c r="M34" s="34">
        <f>K34*dagenperjaar1</f>
        <v>0</v>
      </c>
      <c r="N34" s="37">
        <f>M34*ROUND(J34,2)</f>
        <v>0</v>
      </c>
    </row>
    <row r="35" spans="1:14" x14ac:dyDescent="0.4">
      <c r="A35" s="25" t="s">
        <v>187</v>
      </c>
      <c r="B35" s="25" t="s">
        <v>9</v>
      </c>
      <c r="C35" s="25" t="s">
        <v>143</v>
      </c>
      <c r="D35" s="25" t="s">
        <v>188</v>
      </c>
      <c r="E35" s="38">
        <v>185</v>
      </c>
      <c r="F35" s="38">
        <f>E35*VLOOKUP(B35,dagsoorttabel1,2,FALSE)</f>
        <v>198.875</v>
      </c>
      <c r="G35" s="39">
        <f>IF(AND(catpn_1_VTHB_1&gt;0,catpn_1_VTHV_43&gt;0),(dagenperjaar1*VLOOKUP(B35,dagsoorttabel1,2,FALSE))/(((dagenperjaar1*VLOOKUP(B35,dagsoorttabel1,2,FALSE))-catfd_1_VTHV_43)/catpn_1_VTHB_1+catfd_1_VTHV_43/catpn_1_VTHV_43),0)</f>
        <v>0</v>
      </c>
      <c r="H35" s="40">
        <f>IF(AND(catpn_1_VTHB_1&gt;0,catpn_1_VTHV_43&gt;0),(catdw_1_VTHB_1*((dagenperjaar1-VLOOKUP(B35,dagsoorttabel1,2,FALSE))-catfd_1_VTHV_43)/catpn_1_VTHB_1+catdw_1_VTHV_43*catfd_1_VTHV_43/catpn_1_VTHV_43)/(((dagenperjaar1-VLOOKUP(B35,dagsoorttabel1,2,FALSE))-catfd_1_VTHV_43)/catpn_1_VTHB_1+catfd_1_VTHV_43/catpn_1_VTHV_43),0)</f>
        <v>0</v>
      </c>
      <c r="I35" s="25" t="s">
        <v>40</v>
      </c>
      <c r="J35" s="41">
        <f>IF(AND(catpn_1_VTHB_1&gt;0,catpn_1_VTHV_43&gt;0),(cattf_1_VTHB_1*((dagenperjaar1*VLOOKUP(B35,dagsoorttabel1,2,FALSE))-catfd_1_VTHV_43)/catpn_1_VTHB_1+cattf_1_VTHV_43*catfd_1_VTHV_43/catpn_1_VTHV_43)/(((dagenperjaar1*VLOOKUP(B35,dagsoorttabel1,2,FALSE))-catfd_1_VTHV_43)/catpn_1_VTHB_1+catfd_1_VTHV_43/catpn_1_VTHV_43),0)</f>
        <v>0</v>
      </c>
      <c r="K35" s="38">
        <f>IF(OR(ISBLANK(G35),G35=0),0,F35/ROUND(G35,4))</f>
        <v>0</v>
      </c>
      <c r="L35" s="41">
        <f>ROUND(J35,2)*K35</f>
        <v>0</v>
      </c>
      <c r="M35" s="38">
        <f>K35*dagenperjaar1</f>
        <v>0</v>
      </c>
      <c r="N35" s="41">
        <f>M35*ROUND(J35,2)</f>
        <v>0</v>
      </c>
    </row>
    <row r="36" spans="1:14" x14ac:dyDescent="0.4">
      <c r="A36" s="43" t="s">
        <v>189</v>
      </c>
      <c r="B36" s="44"/>
      <c r="C36" s="44"/>
      <c r="D36" s="44"/>
      <c r="E36" s="44"/>
      <c r="F36" s="44"/>
      <c r="G36" s="44"/>
      <c r="H36" s="44"/>
      <c r="I36" s="44"/>
      <c r="J36" s="44"/>
      <c r="K36" s="45">
        <f>SUM(K6:K35)</f>
        <v>0</v>
      </c>
      <c r="L36" s="46">
        <f>SUM(L6:L35)</f>
        <v>0</v>
      </c>
      <c r="M36" s="45">
        <f>SUM(M6:M35)</f>
        <v>0</v>
      </c>
      <c r="N36" s="47">
        <f>SUM(N6:N35)</f>
        <v>0</v>
      </c>
    </row>
    <row r="37" spans="1:14" x14ac:dyDescent="0.4">
      <c r="A37" s="48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9"/>
    </row>
    <row r="38" spans="1:14" x14ac:dyDescent="0.4">
      <c r="A38" s="43" t="s">
        <v>190</v>
      </c>
      <c r="B38" s="44"/>
      <c r="C38" s="44"/>
      <c r="D38" s="44"/>
      <c r="E38" s="44"/>
      <c r="F38" s="44"/>
      <c r="G38" s="44"/>
      <c r="H38" s="44"/>
      <c r="I38" s="44"/>
      <c r="J38" s="46">
        <f>IF(urenjaar1&gt;0,SUMIF(M6:M35,"&gt;0",N6:N35)/urenjaar1,0)</f>
        <v>0</v>
      </c>
      <c r="K38" s="44"/>
      <c r="L38" s="44"/>
      <c r="M38" s="44"/>
      <c r="N38" s="49"/>
    </row>
    <row r="39" spans="1:14" x14ac:dyDescent="0.4">
      <c r="A39" s="48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9"/>
    </row>
    <row r="41" spans="1:14" x14ac:dyDescent="0.4">
      <c r="A41" s="43" t="s">
        <v>191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5">
        <f>urenjaar1</f>
        <v>0</v>
      </c>
      <c r="N41" s="46">
        <f>prijsjaar1</f>
        <v>0</v>
      </c>
    </row>
  </sheetData>
  <pageMargins left="0.7" right="0.7" top="0.75" bottom="0.75" header="0.3" footer="0.3"/>
  <pageSetup paperSize="9" scale="70" orientation="landscape" r:id="rId1"/>
  <headerFooter>
    <oddFooter>&amp;LOns Middelbaar Onderwijs                                    
CONCEPT PER 01-09-2023&amp;ROpmaakdatum: 14-11-2022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6A23D-3ECE-4847-957E-AA43C4B3A85C}">
  <dimension ref="A1:V209"/>
  <sheetViews>
    <sheetView workbookViewId="0"/>
  </sheetViews>
  <sheetFormatPr defaultRowHeight="14.6" x14ac:dyDescent="0.4"/>
  <cols>
    <col min="1" max="1" width="8.69140625" customWidth="1"/>
    <col min="2" max="3" width="7.69140625" customWidth="1"/>
    <col min="4" max="4" width="10.69140625" customWidth="1"/>
    <col min="5" max="5" width="25.69140625" customWidth="1"/>
    <col min="6" max="6" width="11.69140625" customWidth="1"/>
    <col min="7" max="7" width="7.69140625" customWidth="1"/>
    <col min="8" max="8" width="6.69140625" customWidth="1"/>
    <col min="9" max="9" width="8.69140625" customWidth="1"/>
    <col min="10" max="10" width="40.69140625" customWidth="1"/>
    <col min="11" max="13" width="10.69140625" customWidth="1"/>
    <col min="14" max="15" width="11.69140625" customWidth="1"/>
    <col min="16" max="16" width="9.69140625" customWidth="1"/>
    <col min="17" max="20" width="11.69140625" customWidth="1"/>
    <col min="21" max="21" width="12.69140625" customWidth="1"/>
    <col min="22" max="22" width="14.69140625" customWidth="1"/>
  </cols>
  <sheetData>
    <row r="1" spans="1:22" x14ac:dyDescent="0.4">
      <c r="A1" s="1" t="str">
        <f>CONCATENATE("Bijlage G5.3: ",tabeltype," ruimten werkdag")</f>
        <v>Bijlage G5.3: Invultabel ruimten werkdag</v>
      </c>
    </row>
    <row r="3" spans="1:22" ht="43.75" x14ac:dyDescent="0.4">
      <c r="A3" s="50" t="s">
        <v>192</v>
      </c>
      <c r="B3" s="8" t="s">
        <v>193</v>
      </c>
      <c r="C3" s="8" t="s">
        <v>194</v>
      </c>
      <c r="D3" s="8" t="s">
        <v>195</v>
      </c>
      <c r="E3" s="8" t="s">
        <v>196</v>
      </c>
      <c r="F3" s="8" t="s">
        <v>197</v>
      </c>
      <c r="G3" s="8" t="s">
        <v>134</v>
      </c>
      <c r="H3" s="8" t="s">
        <v>7</v>
      </c>
      <c r="I3" s="8" t="s">
        <v>198</v>
      </c>
      <c r="J3" s="8" t="s">
        <v>199</v>
      </c>
      <c r="K3" s="8" t="s">
        <v>200</v>
      </c>
      <c r="L3" s="8" t="s">
        <v>136</v>
      </c>
      <c r="M3" s="8" t="s">
        <v>137</v>
      </c>
      <c r="N3" s="8" t="s">
        <v>32</v>
      </c>
      <c r="O3" s="8" t="s">
        <v>33</v>
      </c>
      <c r="P3" s="8" t="s">
        <v>34</v>
      </c>
      <c r="Q3" s="8" t="s">
        <v>35</v>
      </c>
      <c r="R3" s="8" t="s">
        <v>138</v>
      </c>
      <c r="S3" s="8" t="s">
        <v>201</v>
      </c>
      <c r="T3" s="8" t="s">
        <v>139</v>
      </c>
      <c r="U3" s="8" t="s">
        <v>140</v>
      </c>
      <c r="V3" s="51" t="s">
        <v>141</v>
      </c>
    </row>
    <row r="4" spans="1:22" x14ac:dyDescent="0.4">
      <c r="A4" s="52" t="s">
        <v>202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2"/>
    </row>
    <row r="5" spans="1:22" x14ac:dyDescent="0.4">
      <c r="A5" s="53" t="s">
        <v>203</v>
      </c>
      <c r="B5" s="54" t="s">
        <v>204</v>
      </c>
      <c r="C5" s="54" t="s">
        <v>205</v>
      </c>
      <c r="D5" s="54" t="s">
        <v>206</v>
      </c>
      <c r="E5" s="55" t="s">
        <v>207</v>
      </c>
      <c r="F5" s="54" t="s">
        <v>208</v>
      </c>
      <c r="G5" s="54" t="s">
        <v>177</v>
      </c>
      <c r="H5" s="54" t="s">
        <v>9</v>
      </c>
      <c r="I5" s="54" t="s">
        <v>143</v>
      </c>
      <c r="J5" s="55" t="s">
        <v>178</v>
      </c>
      <c r="K5" s="54" t="s">
        <v>209</v>
      </c>
      <c r="L5" s="56">
        <v>6</v>
      </c>
      <c r="M5" s="56">
        <f>L5*VLOOKUP(H5,dagsoorttabel1,2,FALSE)</f>
        <v>6.4499999999999993</v>
      </c>
      <c r="N5" s="57">
        <f>prodnorm23</f>
        <v>0</v>
      </c>
      <c r="O5" s="58">
        <f>dagwerk23</f>
        <v>0</v>
      </c>
      <c r="P5" s="54" t="s">
        <v>40</v>
      </c>
      <c r="Q5" s="59">
        <f>uurtarief23</f>
        <v>0</v>
      </c>
      <c r="R5" s="56" t="e">
        <f>IF(ISBLANK(N5),0,M5/ROUND(N5,4))</f>
        <v>#DIV/0!</v>
      </c>
      <c r="S5" s="56" t="e">
        <f>IF(ISBLANK(N5),0,R5*ROUND(O5,2))</f>
        <v>#DIV/0!</v>
      </c>
      <c r="T5" s="59" t="e">
        <f>ROUND(Q5,2)*R5</f>
        <v>#DIV/0!</v>
      </c>
      <c r="U5" s="56" t="e">
        <f>R5*dagenperjaar1</f>
        <v>#DIV/0!</v>
      </c>
      <c r="V5" s="60" t="e">
        <f>U5*ROUND(Q5,2)</f>
        <v>#DIV/0!</v>
      </c>
    </row>
    <row r="6" spans="1:22" x14ac:dyDescent="0.4">
      <c r="A6" s="61" t="s">
        <v>203</v>
      </c>
      <c r="B6" s="62" t="s">
        <v>204</v>
      </c>
      <c r="C6" s="62" t="s">
        <v>205</v>
      </c>
      <c r="D6" s="62" t="s">
        <v>206</v>
      </c>
      <c r="E6" s="63" t="s">
        <v>207</v>
      </c>
      <c r="F6" s="62" t="s">
        <v>208</v>
      </c>
      <c r="G6" s="62" t="s">
        <v>177</v>
      </c>
      <c r="H6" s="62" t="s">
        <v>9</v>
      </c>
      <c r="I6" s="62" t="s">
        <v>143</v>
      </c>
      <c r="J6" s="63" t="s">
        <v>178</v>
      </c>
      <c r="K6" s="62" t="s">
        <v>209</v>
      </c>
      <c r="L6" s="64">
        <v>6</v>
      </c>
      <c r="M6" s="64">
        <f>L6*VLOOKUP(H6,dagsoorttabel1,2,FALSE)</f>
        <v>6.4499999999999993</v>
      </c>
      <c r="N6" s="65">
        <f>prodnorm23</f>
        <v>0</v>
      </c>
      <c r="O6" s="66">
        <f>dagwerk23</f>
        <v>0</v>
      </c>
      <c r="P6" s="62" t="s">
        <v>40</v>
      </c>
      <c r="Q6" s="67">
        <f>uurtarief23</f>
        <v>0</v>
      </c>
      <c r="R6" s="64" t="e">
        <f>IF(ISBLANK(N6),0,M6/ROUND(N6,4))</f>
        <v>#DIV/0!</v>
      </c>
      <c r="S6" s="64" t="e">
        <f>IF(ISBLANK(N6),0,R6*ROUND(O6,2))</f>
        <v>#DIV/0!</v>
      </c>
      <c r="T6" s="67" t="e">
        <f>ROUND(Q6,2)*R6</f>
        <v>#DIV/0!</v>
      </c>
      <c r="U6" s="64" t="e">
        <f>R6*dagenperjaar1</f>
        <v>#DIV/0!</v>
      </c>
      <c r="V6" s="68" t="e">
        <f>U6*ROUND(Q6,2)</f>
        <v>#DIV/0!</v>
      </c>
    </row>
    <row r="7" spans="1:22" x14ac:dyDescent="0.4">
      <c r="A7" s="61" t="s">
        <v>203</v>
      </c>
      <c r="B7" s="62" t="s">
        <v>204</v>
      </c>
      <c r="C7" s="62" t="s">
        <v>205</v>
      </c>
      <c r="D7" s="62" t="s">
        <v>210</v>
      </c>
      <c r="E7" s="63" t="s">
        <v>211</v>
      </c>
      <c r="F7" s="62" t="s">
        <v>212</v>
      </c>
      <c r="G7" s="62" t="s">
        <v>145</v>
      </c>
      <c r="H7" s="62" t="s">
        <v>14</v>
      </c>
      <c r="I7" s="62" t="s">
        <v>143</v>
      </c>
      <c r="J7" s="63" t="s">
        <v>146</v>
      </c>
      <c r="K7" s="62" t="s">
        <v>213</v>
      </c>
      <c r="L7" s="64">
        <v>17</v>
      </c>
      <c r="M7" s="64">
        <f>L7*VLOOKUP(H7,dagsoorttabel1,2,FALSE)</f>
        <v>7.31</v>
      </c>
      <c r="N7" s="65">
        <f>prodnorm4</f>
        <v>0</v>
      </c>
      <c r="O7" s="66">
        <f>dagwerk4</f>
        <v>0</v>
      </c>
      <c r="P7" s="62" t="s">
        <v>40</v>
      </c>
      <c r="Q7" s="67">
        <f>uurtarief4</f>
        <v>0</v>
      </c>
      <c r="R7" s="64" t="e">
        <f>IF(ISBLANK(N7),0,M7/ROUND(N7,4))</f>
        <v>#DIV/0!</v>
      </c>
      <c r="S7" s="64" t="e">
        <f>IF(ISBLANK(N7),0,R7*ROUND(O7,2))</f>
        <v>#DIV/0!</v>
      </c>
      <c r="T7" s="67" t="e">
        <f>ROUND(Q7,2)*R7</f>
        <v>#DIV/0!</v>
      </c>
      <c r="U7" s="64" t="e">
        <f>R7*dagenperjaar1</f>
        <v>#DIV/0!</v>
      </c>
      <c r="V7" s="68" t="e">
        <f>U7*ROUND(Q7,2)</f>
        <v>#DIV/0!</v>
      </c>
    </row>
    <row r="8" spans="1:22" x14ac:dyDescent="0.4">
      <c r="A8" s="61" t="s">
        <v>203</v>
      </c>
      <c r="B8" s="62" t="s">
        <v>204</v>
      </c>
      <c r="C8" s="62" t="s">
        <v>205</v>
      </c>
      <c r="D8" s="62" t="s">
        <v>214</v>
      </c>
      <c r="E8" s="63" t="s">
        <v>215</v>
      </c>
      <c r="F8" s="62" t="s">
        <v>216</v>
      </c>
      <c r="G8" s="62" t="s">
        <v>171</v>
      </c>
      <c r="H8" s="62" t="s">
        <v>9</v>
      </c>
      <c r="I8" s="62" t="s">
        <v>143</v>
      </c>
      <c r="J8" s="63" t="s">
        <v>172</v>
      </c>
      <c r="K8" s="62" t="s">
        <v>217</v>
      </c>
      <c r="L8" s="64">
        <v>118</v>
      </c>
      <c r="M8" s="64">
        <f>L8*VLOOKUP(H8,dagsoorttabel1,2,FALSE)</f>
        <v>126.85</v>
      </c>
      <c r="N8" s="65">
        <f>prodnorm20</f>
        <v>0</v>
      </c>
      <c r="O8" s="66">
        <f>dagwerk20</f>
        <v>0</v>
      </c>
      <c r="P8" s="62" t="s">
        <v>40</v>
      </c>
      <c r="Q8" s="67">
        <f>uurtarief20</f>
        <v>0</v>
      </c>
      <c r="R8" s="64" t="e">
        <f>IF(ISBLANK(N8),0,M8/ROUND(N8,4))</f>
        <v>#DIV/0!</v>
      </c>
      <c r="S8" s="64" t="e">
        <f>IF(ISBLANK(N8),0,R8*ROUND(O8,2))</f>
        <v>#DIV/0!</v>
      </c>
      <c r="T8" s="67" t="e">
        <f>ROUND(Q8,2)*R8</f>
        <v>#DIV/0!</v>
      </c>
      <c r="U8" s="64" t="e">
        <f>R8*dagenperjaar1</f>
        <v>#DIV/0!</v>
      </c>
      <c r="V8" s="68" t="e">
        <f>U8*ROUND(Q8,2)</f>
        <v>#DIV/0!</v>
      </c>
    </row>
    <row r="9" spans="1:22" x14ac:dyDescent="0.4">
      <c r="A9" s="61" t="s">
        <v>203</v>
      </c>
      <c r="B9" s="62" t="s">
        <v>204</v>
      </c>
      <c r="C9" s="62" t="s">
        <v>205</v>
      </c>
      <c r="D9" s="62" t="s">
        <v>218</v>
      </c>
      <c r="E9" s="63" t="s">
        <v>219</v>
      </c>
      <c r="F9" s="62" t="s">
        <v>220</v>
      </c>
      <c r="G9" s="62" t="s">
        <v>142</v>
      </c>
      <c r="H9" s="62" t="s">
        <v>14</v>
      </c>
      <c r="I9" s="62" t="s">
        <v>143</v>
      </c>
      <c r="J9" s="63" t="s">
        <v>144</v>
      </c>
      <c r="K9" s="62" t="s">
        <v>213</v>
      </c>
      <c r="L9" s="64">
        <v>22</v>
      </c>
      <c r="M9" s="64">
        <f>L9*VLOOKUP(H9,dagsoorttabel1,2,FALSE)</f>
        <v>9.4599999999999991</v>
      </c>
      <c r="N9" s="65">
        <f>prodnorm2</f>
        <v>0</v>
      </c>
      <c r="O9" s="66">
        <f>dagwerk2</f>
        <v>0</v>
      </c>
      <c r="P9" s="62" t="s">
        <v>40</v>
      </c>
      <c r="Q9" s="67">
        <f>uurtarief2</f>
        <v>0</v>
      </c>
      <c r="R9" s="64" t="e">
        <f>IF(ISBLANK(N9),0,M9/ROUND(N9,4))</f>
        <v>#DIV/0!</v>
      </c>
      <c r="S9" s="64" t="e">
        <f>IF(ISBLANK(N9),0,R9*ROUND(O9,2))</f>
        <v>#DIV/0!</v>
      </c>
      <c r="T9" s="67" t="e">
        <f>ROUND(Q9,2)*R9</f>
        <v>#DIV/0!</v>
      </c>
      <c r="U9" s="64" t="e">
        <f>R9*dagenperjaar1</f>
        <v>#DIV/0!</v>
      </c>
      <c r="V9" s="68" t="e">
        <f>U9*ROUND(Q9,2)</f>
        <v>#DIV/0!</v>
      </c>
    </row>
    <row r="10" spans="1:22" x14ac:dyDescent="0.4">
      <c r="A10" s="61" t="s">
        <v>203</v>
      </c>
      <c r="B10" s="62" t="s">
        <v>204</v>
      </c>
      <c r="C10" s="62" t="s">
        <v>205</v>
      </c>
      <c r="D10" s="62" t="s">
        <v>221</v>
      </c>
      <c r="E10" s="63" t="s">
        <v>222</v>
      </c>
      <c r="F10" s="62" t="s">
        <v>223</v>
      </c>
      <c r="G10" s="62" t="s">
        <v>159</v>
      </c>
      <c r="H10" s="62" t="s">
        <v>9</v>
      </c>
      <c r="I10" s="62" t="s">
        <v>143</v>
      </c>
      <c r="J10" s="63" t="s">
        <v>160</v>
      </c>
      <c r="K10" s="62" t="s">
        <v>217</v>
      </c>
      <c r="L10" s="64">
        <v>67</v>
      </c>
      <c r="M10" s="64">
        <f>L10*VLOOKUP(H10,dagsoorttabel1,2,FALSE)</f>
        <v>72.024999999999991</v>
      </c>
      <c r="N10" s="65">
        <f>prodnorm11</f>
        <v>0</v>
      </c>
      <c r="O10" s="66">
        <f>dagwerk11</f>
        <v>0</v>
      </c>
      <c r="P10" s="62" t="s">
        <v>40</v>
      </c>
      <c r="Q10" s="67">
        <f>uurtarief11</f>
        <v>0</v>
      </c>
      <c r="R10" s="64" t="e">
        <f>IF(ISBLANK(N10),0,M10/ROUND(N10,4))</f>
        <v>#DIV/0!</v>
      </c>
      <c r="S10" s="64" t="e">
        <f>IF(ISBLANK(N10),0,R10*ROUND(O10,2))</f>
        <v>#DIV/0!</v>
      </c>
      <c r="T10" s="67" t="e">
        <f>ROUND(Q10,2)*R10</f>
        <v>#DIV/0!</v>
      </c>
      <c r="U10" s="64" t="e">
        <f>R10*dagenperjaar1</f>
        <v>#DIV/0!</v>
      </c>
      <c r="V10" s="68" t="e">
        <f>U10*ROUND(Q10,2)</f>
        <v>#DIV/0!</v>
      </c>
    </row>
    <row r="11" spans="1:22" x14ac:dyDescent="0.4">
      <c r="A11" s="61" t="s">
        <v>203</v>
      </c>
      <c r="B11" s="62" t="s">
        <v>204</v>
      </c>
      <c r="C11" s="62" t="s">
        <v>205</v>
      </c>
      <c r="D11" s="62" t="s">
        <v>224</v>
      </c>
      <c r="E11" s="63" t="s">
        <v>225</v>
      </c>
      <c r="F11" s="62" t="s">
        <v>223</v>
      </c>
      <c r="G11" s="62" t="s">
        <v>169</v>
      </c>
      <c r="H11" s="62" t="s">
        <v>14</v>
      </c>
      <c r="I11" s="62" t="s">
        <v>143</v>
      </c>
      <c r="J11" s="63" t="s">
        <v>170</v>
      </c>
      <c r="K11" s="62" t="s">
        <v>217</v>
      </c>
      <c r="L11" s="64">
        <v>40</v>
      </c>
      <c r="M11" s="64">
        <f>L11*VLOOKUP(H11,dagsoorttabel1,2,FALSE)</f>
        <v>17.2</v>
      </c>
      <c r="N11" s="65">
        <f>prodnorm18</f>
        <v>0</v>
      </c>
      <c r="O11" s="66">
        <f>dagwerk18</f>
        <v>0</v>
      </c>
      <c r="P11" s="62" t="s">
        <v>40</v>
      </c>
      <c r="Q11" s="67">
        <f>uurtarief18</f>
        <v>0</v>
      </c>
      <c r="R11" s="64" t="e">
        <f>IF(ISBLANK(N11),0,M11/ROUND(N11,4))</f>
        <v>#DIV/0!</v>
      </c>
      <c r="S11" s="64" t="e">
        <f>IF(ISBLANK(N11),0,R11*ROUND(O11,2))</f>
        <v>#DIV/0!</v>
      </c>
      <c r="T11" s="67" t="e">
        <f>ROUND(Q11,2)*R11</f>
        <v>#DIV/0!</v>
      </c>
      <c r="U11" s="64" t="e">
        <f>R11*dagenperjaar1</f>
        <v>#DIV/0!</v>
      </c>
      <c r="V11" s="68" t="e">
        <f>U11*ROUND(Q11,2)</f>
        <v>#DIV/0!</v>
      </c>
    </row>
    <row r="12" spans="1:22" x14ac:dyDescent="0.4">
      <c r="A12" s="61" t="s">
        <v>203</v>
      </c>
      <c r="B12" s="62" t="s">
        <v>204</v>
      </c>
      <c r="C12" s="62" t="s">
        <v>205</v>
      </c>
      <c r="D12" s="62" t="s">
        <v>226</v>
      </c>
      <c r="E12" s="63" t="s">
        <v>222</v>
      </c>
      <c r="F12" s="62" t="s">
        <v>223</v>
      </c>
      <c r="G12" s="62" t="s">
        <v>159</v>
      </c>
      <c r="H12" s="62" t="s">
        <v>9</v>
      </c>
      <c r="I12" s="62" t="s">
        <v>143</v>
      </c>
      <c r="J12" s="63" t="s">
        <v>160</v>
      </c>
      <c r="K12" s="62" t="s">
        <v>217</v>
      </c>
      <c r="L12" s="64">
        <v>67</v>
      </c>
      <c r="M12" s="64">
        <f>L12*VLOOKUP(H12,dagsoorttabel1,2,FALSE)</f>
        <v>72.024999999999991</v>
      </c>
      <c r="N12" s="65">
        <f>prodnorm11</f>
        <v>0</v>
      </c>
      <c r="O12" s="66">
        <f>dagwerk11</f>
        <v>0</v>
      </c>
      <c r="P12" s="62" t="s">
        <v>40</v>
      </c>
      <c r="Q12" s="67">
        <f>uurtarief11</f>
        <v>0</v>
      </c>
      <c r="R12" s="64" t="e">
        <f>IF(ISBLANK(N12),0,M12/ROUND(N12,4))</f>
        <v>#DIV/0!</v>
      </c>
      <c r="S12" s="64" t="e">
        <f>IF(ISBLANK(N12),0,R12*ROUND(O12,2))</f>
        <v>#DIV/0!</v>
      </c>
      <c r="T12" s="67" t="e">
        <f>ROUND(Q12,2)*R12</f>
        <v>#DIV/0!</v>
      </c>
      <c r="U12" s="64" t="e">
        <f>R12*dagenperjaar1</f>
        <v>#DIV/0!</v>
      </c>
      <c r="V12" s="68" t="e">
        <f>U12*ROUND(Q12,2)</f>
        <v>#DIV/0!</v>
      </c>
    </row>
    <row r="13" spans="1:22" x14ac:dyDescent="0.4">
      <c r="A13" s="61" t="s">
        <v>203</v>
      </c>
      <c r="B13" s="62" t="s">
        <v>204</v>
      </c>
      <c r="C13" s="62" t="s">
        <v>205</v>
      </c>
      <c r="D13" s="62" t="s">
        <v>227</v>
      </c>
      <c r="E13" s="63" t="s">
        <v>222</v>
      </c>
      <c r="F13" s="62" t="s">
        <v>223</v>
      </c>
      <c r="G13" s="62" t="s">
        <v>159</v>
      </c>
      <c r="H13" s="62" t="s">
        <v>9</v>
      </c>
      <c r="I13" s="62" t="s">
        <v>143</v>
      </c>
      <c r="J13" s="63" t="s">
        <v>160</v>
      </c>
      <c r="K13" s="62" t="s">
        <v>217</v>
      </c>
      <c r="L13" s="64">
        <v>84</v>
      </c>
      <c r="M13" s="64">
        <f>L13*VLOOKUP(H13,dagsoorttabel1,2,FALSE)</f>
        <v>90.3</v>
      </c>
      <c r="N13" s="65">
        <f>prodnorm11</f>
        <v>0</v>
      </c>
      <c r="O13" s="66">
        <f>dagwerk11</f>
        <v>0</v>
      </c>
      <c r="P13" s="62" t="s">
        <v>40</v>
      </c>
      <c r="Q13" s="67">
        <f>uurtarief11</f>
        <v>0</v>
      </c>
      <c r="R13" s="64" t="e">
        <f>IF(ISBLANK(N13),0,M13/ROUND(N13,4))</f>
        <v>#DIV/0!</v>
      </c>
      <c r="S13" s="64" t="e">
        <f>IF(ISBLANK(N13),0,R13*ROUND(O13,2))</f>
        <v>#DIV/0!</v>
      </c>
      <c r="T13" s="67" t="e">
        <f>ROUND(Q13,2)*R13</f>
        <v>#DIV/0!</v>
      </c>
      <c r="U13" s="64" t="e">
        <f>R13*dagenperjaar1</f>
        <v>#DIV/0!</v>
      </c>
      <c r="V13" s="68" t="e">
        <f>U13*ROUND(Q13,2)</f>
        <v>#DIV/0!</v>
      </c>
    </row>
    <row r="14" spans="1:22" x14ac:dyDescent="0.4">
      <c r="A14" s="61" t="s">
        <v>203</v>
      </c>
      <c r="B14" s="62" t="s">
        <v>204</v>
      </c>
      <c r="C14" s="62" t="s">
        <v>205</v>
      </c>
      <c r="D14" s="62" t="s">
        <v>228</v>
      </c>
      <c r="E14" s="63" t="s">
        <v>222</v>
      </c>
      <c r="F14" s="62" t="s">
        <v>223</v>
      </c>
      <c r="G14" s="62" t="s">
        <v>159</v>
      </c>
      <c r="H14" s="62" t="s">
        <v>9</v>
      </c>
      <c r="I14" s="62" t="s">
        <v>143</v>
      </c>
      <c r="J14" s="63" t="s">
        <v>160</v>
      </c>
      <c r="K14" s="62" t="s">
        <v>217</v>
      </c>
      <c r="L14" s="64">
        <v>68</v>
      </c>
      <c r="M14" s="64">
        <f>L14*VLOOKUP(H14,dagsoorttabel1,2,FALSE)</f>
        <v>73.099999999999994</v>
      </c>
      <c r="N14" s="65">
        <f>prodnorm11</f>
        <v>0</v>
      </c>
      <c r="O14" s="66">
        <f>dagwerk11</f>
        <v>0</v>
      </c>
      <c r="P14" s="62" t="s">
        <v>40</v>
      </c>
      <c r="Q14" s="67">
        <f>uurtarief11</f>
        <v>0</v>
      </c>
      <c r="R14" s="64" t="e">
        <f>IF(ISBLANK(N14),0,M14/ROUND(N14,4))</f>
        <v>#DIV/0!</v>
      </c>
      <c r="S14" s="64" t="e">
        <f>IF(ISBLANK(N14),0,R14*ROUND(O14,2))</f>
        <v>#DIV/0!</v>
      </c>
      <c r="T14" s="67" t="e">
        <f>ROUND(Q14,2)*R14</f>
        <v>#DIV/0!</v>
      </c>
      <c r="U14" s="64" t="e">
        <f>R14*dagenperjaar1</f>
        <v>#DIV/0!</v>
      </c>
      <c r="V14" s="68" t="e">
        <f>U14*ROUND(Q14,2)</f>
        <v>#DIV/0!</v>
      </c>
    </row>
    <row r="15" spans="1:22" x14ac:dyDescent="0.4">
      <c r="A15" s="61" t="s">
        <v>203</v>
      </c>
      <c r="B15" s="62" t="s">
        <v>204</v>
      </c>
      <c r="C15" s="62" t="s">
        <v>205</v>
      </c>
      <c r="D15" s="62" t="s">
        <v>229</v>
      </c>
      <c r="E15" s="63" t="s">
        <v>230</v>
      </c>
      <c r="F15" s="62" t="s">
        <v>223</v>
      </c>
      <c r="G15" s="62" t="s">
        <v>169</v>
      </c>
      <c r="H15" s="62" t="s">
        <v>14</v>
      </c>
      <c r="I15" s="62" t="s">
        <v>143</v>
      </c>
      <c r="J15" s="63" t="s">
        <v>170</v>
      </c>
      <c r="K15" s="62" t="s">
        <v>217</v>
      </c>
      <c r="L15" s="64">
        <v>44</v>
      </c>
      <c r="M15" s="64">
        <f>L15*VLOOKUP(H15,dagsoorttabel1,2,FALSE)</f>
        <v>18.919999999999998</v>
      </c>
      <c r="N15" s="65">
        <f>prodnorm18</f>
        <v>0</v>
      </c>
      <c r="O15" s="66">
        <f>dagwerk18</f>
        <v>0</v>
      </c>
      <c r="P15" s="62" t="s">
        <v>40</v>
      </c>
      <c r="Q15" s="67">
        <f>uurtarief18</f>
        <v>0</v>
      </c>
      <c r="R15" s="64" t="e">
        <f>IF(ISBLANK(N15),0,M15/ROUND(N15,4))</f>
        <v>#DIV/0!</v>
      </c>
      <c r="S15" s="64" t="e">
        <f>IF(ISBLANK(N15),0,R15*ROUND(O15,2))</f>
        <v>#DIV/0!</v>
      </c>
      <c r="T15" s="67" t="e">
        <f>ROUND(Q15,2)*R15</f>
        <v>#DIV/0!</v>
      </c>
      <c r="U15" s="64" t="e">
        <f>R15*dagenperjaar1</f>
        <v>#DIV/0!</v>
      </c>
      <c r="V15" s="68" t="e">
        <f>U15*ROUND(Q15,2)</f>
        <v>#DIV/0!</v>
      </c>
    </row>
    <row r="16" spans="1:22" x14ac:dyDescent="0.4">
      <c r="A16" s="61" t="s">
        <v>203</v>
      </c>
      <c r="B16" s="62" t="s">
        <v>204</v>
      </c>
      <c r="C16" s="62" t="s">
        <v>205</v>
      </c>
      <c r="D16" s="62" t="s">
        <v>231</v>
      </c>
      <c r="E16" s="63" t="s">
        <v>215</v>
      </c>
      <c r="F16" s="62" t="s">
        <v>223</v>
      </c>
      <c r="G16" s="62" t="s">
        <v>171</v>
      </c>
      <c r="H16" s="62" t="s">
        <v>12</v>
      </c>
      <c r="I16" s="62" t="s">
        <v>143</v>
      </c>
      <c r="J16" s="63" t="s">
        <v>172</v>
      </c>
      <c r="K16" s="62" t="s">
        <v>217</v>
      </c>
      <c r="L16" s="64">
        <v>68</v>
      </c>
      <c r="M16" s="64">
        <f>L16*VLOOKUP(H16,dagsoorttabel1,2,FALSE)</f>
        <v>43.86</v>
      </c>
      <c r="N16" s="65">
        <f>prodnorm19</f>
        <v>0</v>
      </c>
      <c r="O16" s="66">
        <f>dagwerk19</f>
        <v>0</v>
      </c>
      <c r="P16" s="62" t="s">
        <v>40</v>
      </c>
      <c r="Q16" s="67">
        <f>uurtarief19</f>
        <v>0</v>
      </c>
      <c r="R16" s="64" t="e">
        <f>IF(ISBLANK(N16),0,M16/ROUND(N16,4))</f>
        <v>#DIV/0!</v>
      </c>
      <c r="S16" s="64" t="e">
        <f>IF(ISBLANK(N16),0,R16*ROUND(O16,2))</f>
        <v>#DIV/0!</v>
      </c>
      <c r="T16" s="67" t="e">
        <f>ROUND(Q16,2)*R16</f>
        <v>#DIV/0!</v>
      </c>
      <c r="U16" s="64" t="e">
        <f>R16*dagenperjaar1</f>
        <v>#DIV/0!</v>
      </c>
      <c r="V16" s="68" t="e">
        <f>U16*ROUND(Q16,2)</f>
        <v>#DIV/0!</v>
      </c>
    </row>
    <row r="17" spans="1:22" x14ac:dyDescent="0.4">
      <c r="A17" s="61" t="s">
        <v>203</v>
      </c>
      <c r="B17" s="62" t="s">
        <v>204</v>
      </c>
      <c r="C17" s="62" t="s">
        <v>205</v>
      </c>
      <c r="D17" s="62" t="s">
        <v>232</v>
      </c>
      <c r="E17" s="63" t="s">
        <v>233</v>
      </c>
      <c r="F17" s="62" t="s">
        <v>223</v>
      </c>
      <c r="G17" s="62" t="s">
        <v>171</v>
      </c>
      <c r="H17" s="62" t="s">
        <v>9</v>
      </c>
      <c r="I17" s="62" t="s">
        <v>143</v>
      </c>
      <c r="J17" s="63" t="s">
        <v>172</v>
      </c>
      <c r="K17" s="62" t="s">
        <v>217</v>
      </c>
      <c r="L17" s="64">
        <v>102</v>
      </c>
      <c r="M17" s="64">
        <f>L17*VLOOKUP(H17,dagsoorttabel1,2,FALSE)</f>
        <v>109.64999999999999</v>
      </c>
      <c r="N17" s="65">
        <f>prodnorm20</f>
        <v>0</v>
      </c>
      <c r="O17" s="66">
        <f>dagwerk20</f>
        <v>0</v>
      </c>
      <c r="P17" s="62" t="s">
        <v>40</v>
      </c>
      <c r="Q17" s="67">
        <f>uurtarief20</f>
        <v>0</v>
      </c>
      <c r="R17" s="64" t="e">
        <f>IF(ISBLANK(N17),0,M17/ROUND(N17,4))</f>
        <v>#DIV/0!</v>
      </c>
      <c r="S17" s="64" t="e">
        <f>IF(ISBLANK(N17),0,R17*ROUND(O17,2))</f>
        <v>#DIV/0!</v>
      </c>
      <c r="T17" s="67" t="e">
        <f>ROUND(Q17,2)*R17</f>
        <v>#DIV/0!</v>
      </c>
      <c r="U17" s="64" t="e">
        <f>R17*dagenperjaar1</f>
        <v>#DIV/0!</v>
      </c>
      <c r="V17" s="68" t="e">
        <f>U17*ROUND(Q17,2)</f>
        <v>#DIV/0!</v>
      </c>
    </row>
    <row r="18" spans="1:22" x14ac:dyDescent="0.4">
      <c r="A18" s="61" t="s">
        <v>203</v>
      </c>
      <c r="B18" s="62" t="s">
        <v>204</v>
      </c>
      <c r="C18" s="62" t="s">
        <v>205</v>
      </c>
      <c r="D18" s="62" t="s">
        <v>234</v>
      </c>
      <c r="E18" s="63" t="s">
        <v>222</v>
      </c>
      <c r="F18" s="62" t="s">
        <v>223</v>
      </c>
      <c r="G18" s="62" t="s">
        <v>159</v>
      </c>
      <c r="H18" s="62" t="s">
        <v>9</v>
      </c>
      <c r="I18" s="62" t="s">
        <v>143</v>
      </c>
      <c r="J18" s="63" t="s">
        <v>160</v>
      </c>
      <c r="K18" s="62" t="s">
        <v>217</v>
      </c>
      <c r="L18" s="64">
        <v>76</v>
      </c>
      <c r="M18" s="64">
        <f>L18*VLOOKUP(H18,dagsoorttabel1,2,FALSE)</f>
        <v>81.7</v>
      </c>
      <c r="N18" s="65">
        <f>prodnorm11</f>
        <v>0</v>
      </c>
      <c r="O18" s="66">
        <f>dagwerk11</f>
        <v>0</v>
      </c>
      <c r="P18" s="62" t="s">
        <v>40</v>
      </c>
      <c r="Q18" s="67">
        <f>uurtarief11</f>
        <v>0</v>
      </c>
      <c r="R18" s="64" t="e">
        <f>IF(ISBLANK(N18),0,M18/ROUND(N18,4))</f>
        <v>#DIV/0!</v>
      </c>
      <c r="S18" s="64" t="e">
        <f>IF(ISBLANK(N18),0,R18*ROUND(O18,2))</f>
        <v>#DIV/0!</v>
      </c>
      <c r="T18" s="67" t="e">
        <f>ROUND(Q18,2)*R18</f>
        <v>#DIV/0!</v>
      </c>
      <c r="U18" s="64" t="e">
        <f>R18*dagenperjaar1</f>
        <v>#DIV/0!</v>
      </c>
      <c r="V18" s="68" t="e">
        <f>U18*ROUND(Q18,2)</f>
        <v>#DIV/0!</v>
      </c>
    </row>
    <row r="19" spans="1:22" x14ac:dyDescent="0.4">
      <c r="A19" s="61" t="s">
        <v>203</v>
      </c>
      <c r="B19" s="62" t="s">
        <v>204</v>
      </c>
      <c r="C19" s="62" t="s">
        <v>205</v>
      </c>
      <c r="D19" s="62" t="s">
        <v>235</v>
      </c>
      <c r="E19" s="63" t="s">
        <v>236</v>
      </c>
      <c r="F19" s="62" t="s">
        <v>223</v>
      </c>
      <c r="G19" s="62" t="s">
        <v>169</v>
      </c>
      <c r="H19" s="62" t="s">
        <v>14</v>
      </c>
      <c r="I19" s="62" t="s">
        <v>143</v>
      </c>
      <c r="J19" s="63" t="s">
        <v>170</v>
      </c>
      <c r="K19" s="62" t="s">
        <v>217</v>
      </c>
      <c r="L19" s="64">
        <v>48</v>
      </c>
      <c r="M19" s="64">
        <f>L19*VLOOKUP(H19,dagsoorttabel1,2,FALSE)</f>
        <v>20.64</v>
      </c>
      <c r="N19" s="65">
        <f>prodnorm18</f>
        <v>0</v>
      </c>
      <c r="O19" s="66">
        <f>dagwerk18</f>
        <v>0</v>
      </c>
      <c r="P19" s="62" t="s">
        <v>40</v>
      </c>
      <c r="Q19" s="67">
        <f>uurtarief18</f>
        <v>0</v>
      </c>
      <c r="R19" s="64" t="e">
        <f>IF(ISBLANK(N19),0,M19/ROUND(N19,4))</f>
        <v>#DIV/0!</v>
      </c>
      <c r="S19" s="64" t="e">
        <f>IF(ISBLANK(N19),0,R19*ROUND(O19,2))</f>
        <v>#DIV/0!</v>
      </c>
      <c r="T19" s="67" t="e">
        <f>ROUND(Q19,2)*R19</f>
        <v>#DIV/0!</v>
      </c>
      <c r="U19" s="64" t="e">
        <f>R19*dagenperjaar1</f>
        <v>#DIV/0!</v>
      </c>
      <c r="V19" s="68" t="e">
        <f>U19*ROUND(Q19,2)</f>
        <v>#DIV/0!</v>
      </c>
    </row>
    <row r="20" spans="1:22" x14ac:dyDescent="0.4">
      <c r="A20" s="61" t="s">
        <v>203</v>
      </c>
      <c r="B20" s="62" t="s">
        <v>204</v>
      </c>
      <c r="C20" s="62" t="s">
        <v>205</v>
      </c>
      <c r="D20" s="62" t="s">
        <v>237</v>
      </c>
      <c r="E20" s="63" t="s">
        <v>222</v>
      </c>
      <c r="F20" s="62" t="s">
        <v>223</v>
      </c>
      <c r="G20" s="62" t="s">
        <v>159</v>
      </c>
      <c r="H20" s="62" t="s">
        <v>9</v>
      </c>
      <c r="I20" s="62" t="s">
        <v>143</v>
      </c>
      <c r="J20" s="63" t="s">
        <v>160</v>
      </c>
      <c r="K20" s="62" t="s">
        <v>217</v>
      </c>
      <c r="L20" s="64">
        <v>82</v>
      </c>
      <c r="M20" s="64">
        <f>L20*VLOOKUP(H20,dagsoorttabel1,2,FALSE)</f>
        <v>88.149999999999991</v>
      </c>
      <c r="N20" s="65">
        <f>prodnorm11</f>
        <v>0</v>
      </c>
      <c r="O20" s="66">
        <f>dagwerk11</f>
        <v>0</v>
      </c>
      <c r="P20" s="62" t="s">
        <v>40</v>
      </c>
      <c r="Q20" s="67">
        <f>uurtarief11</f>
        <v>0</v>
      </c>
      <c r="R20" s="64" t="e">
        <f>IF(ISBLANK(N20),0,M20/ROUND(N20,4))</f>
        <v>#DIV/0!</v>
      </c>
      <c r="S20" s="64" t="e">
        <f>IF(ISBLANK(N20),0,R20*ROUND(O20,2))</f>
        <v>#DIV/0!</v>
      </c>
      <c r="T20" s="67" t="e">
        <f>ROUND(Q20,2)*R20</f>
        <v>#DIV/0!</v>
      </c>
      <c r="U20" s="64" t="e">
        <f>R20*dagenperjaar1</f>
        <v>#DIV/0!</v>
      </c>
      <c r="V20" s="68" t="e">
        <f>U20*ROUND(Q20,2)</f>
        <v>#DIV/0!</v>
      </c>
    </row>
    <row r="21" spans="1:22" x14ac:dyDescent="0.4">
      <c r="A21" s="61" t="s">
        <v>203</v>
      </c>
      <c r="B21" s="62" t="s">
        <v>204</v>
      </c>
      <c r="C21" s="62" t="s">
        <v>205</v>
      </c>
      <c r="D21" s="62" t="s">
        <v>238</v>
      </c>
      <c r="E21" s="63" t="s">
        <v>239</v>
      </c>
      <c r="F21" s="62" t="s">
        <v>220</v>
      </c>
      <c r="G21" s="62" t="s">
        <v>159</v>
      </c>
      <c r="H21" s="62" t="s">
        <v>9</v>
      </c>
      <c r="I21" s="62" t="s">
        <v>143</v>
      </c>
      <c r="J21" s="63" t="s">
        <v>160</v>
      </c>
      <c r="K21" s="62" t="s">
        <v>217</v>
      </c>
      <c r="L21" s="64">
        <v>81</v>
      </c>
      <c r="M21" s="64">
        <f>L21*VLOOKUP(H21,dagsoorttabel1,2,FALSE)</f>
        <v>87.075000000000003</v>
      </c>
      <c r="N21" s="65">
        <f>prodnorm11</f>
        <v>0</v>
      </c>
      <c r="O21" s="66">
        <f>dagwerk11</f>
        <v>0</v>
      </c>
      <c r="P21" s="62" t="s">
        <v>40</v>
      </c>
      <c r="Q21" s="67">
        <f>uurtarief11</f>
        <v>0</v>
      </c>
      <c r="R21" s="64" t="e">
        <f>IF(ISBLANK(N21),0,M21/ROUND(N21,4))</f>
        <v>#DIV/0!</v>
      </c>
      <c r="S21" s="64" t="e">
        <f>IF(ISBLANK(N21),0,R21*ROUND(O21,2))</f>
        <v>#DIV/0!</v>
      </c>
      <c r="T21" s="67" t="e">
        <f>ROUND(Q21,2)*R21</f>
        <v>#DIV/0!</v>
      </c>
      <c r="U21" s="64" t="e">
        <f>R21*dagenperjaar1</f>
        <v>#DIV/0!</v>
      </c>
      <c r="V21" s="68" t="e">
        <f>U21*ROUND(Q21,2)</f>
        <v>#DIV/0!</v>
      </c>
    </row>
    <row r="22" spans="1:22" x14ac:dyDescent="0.4">
      <c r="A22" s="61" t="s">
        <v>203</v>
      </c>
      <c r="B22" s="62" t="s">
        <v>204</v>
      </c>
      <c r="C22" s="62" t="s">
        <v>205</v>
      </c>
      <c r="D22" s="62" t="s">
        <v>240</v>
      </c>
      <c r="E22" s="63" t="s">
        <v>241</v>
      </c>
      <c r="F22" s="62" t="s">
        <v>223</v>
      </c>
      <c r="G22" s="62" t="s">
        <v>142</v>
      </c>
      <c r="H22" s="62" t="s">
        <v>14</v>
      </c>
      <c r="I22" s="62" t="s">
        <v>143</v>
      </c>
      <c r="J22" s="63" t="s">
        <v>144</v>
      </c>
      <c r="K22" s="62" t="s">
        <v>213</v>
      </c>
      <c r="L22" s="64">
        <v>22</v>
      </c>
      <c r="M22" s="64">
        <f>L22*VLOOKUP(H22,dagsoorttabel1,2,FALSE)</f>
        <v>9.4599999999999991</v>
      </c>
      <c r="N22" s="65">
        <f>prodnorm2</f>
        <v>0</v>
      </c>
      <c r="O22" s="66">
        <f>dagwerk2</f>
        <v>0</v>
      </c>
      <c r="P22" s="62" t="s">
        <v>40</v>
      </c>
      <c r="Q22" s="67">
        <f>uurtarief2</f>
        <v>0</v>
      </c>
      <c r="R22" s="64" t="e">
        <f>IF(ISBLANK(N22),0,M22/ROUND(N22,4))</f>
        <v>#DIV/0!</v>
      </c>
      <c r="S22" s="64" t="e">
        <f>IF(ISBLANK(N22),0,R22*ROUND(O22,2))</f>
        <v>#DIV/0!</v>
      </c>
      <c r="T22" s="67" t="e">
        <f>ROUND(Q22,2)*R22</f>
        <v>#DIV/0!</v>
      </c>
      <c r="U22" s="64" t="e">
        <f>R22*dagenperjaar1</f>
        <v>#DIV/0!</v>
      </c>
      <c r="V22" s="68" t="e">
        <f>U22*ROUND(Q22,2)</f>
        <v>#DIV/0!</v>
      </c>
    </row>
    <row r="23" spans="1:22" x14ac:dyDescent="0.4">
      <c r="A23" s="61" t="s">
        <v>203</v>
      </c>
      <c r="B23" s="62" t="s">
        <v>204</v>
      </c>
      <c r="C23" s="62" t="s">
        <v>205</v>
      </c>
      <c r="D23" s="62" t="s">
        <v>242</v>
      </c>
      <c r="E23" s="63" t="s">
        <v>243</v>
      </c>
      <c r="F23" s="62" t="s">
        <v>220</v>
      </c>
      <c r="G23" s="62" t="s">
        <v>185</v>
      </c>
      <c r="H23" s="62" t="s">
        <v>9</v>
      </c>
      <c r="I23" s="62" t="s">
        <v>143</v>
      </c>
      <c r="J23" s="63" t="s">
        <v>186</v>
      </c>
      <c r="K23" s="62" t="s">
        <v>244</v>
      </c>
      <c r="L23" s="64">
        <v>4</v>
      </c>
      <c r="M23" s="64">
        <f>L23*VLOOKUP(H23,dagsoorttabel1,2,FALSE)</f>
        <v>4.3</v>
      </c>
      <c r="N23" s="65">
        <f>prodnorm28</f>
        <v>0</v>
      </c>
      <c r="O23" s="66">
        <f>dagwerk28</f>
        <v>0</v>
      </c>
      <c r="P23" s="62" t="s">
        <v>40</v>
      </c>
      <c r="Q23" s="67">
        <f>uurtarief28</f>
        <v>0</v>
      </c>
      <c r="R23" s="64" t="e">
        <f>IF(ISBLANK(N23),0,M23/ROUND(N23,4))</f>
        <v>#DIV/0!</v>
      </c>
      <c r="S23" s="64" t="e">
        <f>IF(ISBLANK(N23),0,R23*ROUND(O23,2))</f>
        <v>#DIV/0!</v>
      </c>
      <c r="T23" s="67" t="e">
        <f>ROUND(Q23,2)*R23</f>
        <v>#DIV/0!</v>
      </c>
      <c r="U23" s="64" t="e">
        <f>R23*dagenperjaar1</f>
        <v>#DIV/0!</v>
      </c>
      <c r="V23" s="68" t="e">
        <f>U23*ROUND(Q23,2)</f>
        <v>#DIV/0!</v>
      </c>
    </row>
    <row r="24" spans="1:22" x14ac:dyDescent="0.4">
      <c r="A24" s="61" t="s">
        <v>203</v>
      </c>
      <c r="B24" s="62" t="s">
        <v>204</v>
      </c>
      <c r="C24" s="62" t="s">
        <v>205</v>
      </c>
      <c r="D24" s="62" t="s">
        <v>245</v>
      </c>
      <c r="E24" s="63" t="s">
        <v>246</v>
      </c>
      <c r="F24" s="62" t="s">
        <v>223</v>
      </c>
      <c r="G24" s="62" t="s">
        <v>179</v>
      </c>
      <c r="H24" s="62" t="s">
        <v>9</v>
      </c>
      <c r="I24" s="62" t="s">
        <v>143</v>
      </c>
      <c r="J24" s="63" t="s">
        <v>180</v>
      </c>
      <c r="K24" s="62" t="s">
        <v>244</v>
      </c>
      <c r="L24" s="64">
        <v>646</v>
      </c>
      <c r="M24" s="64">
        <f>L24*VLOOKUP(H24,dagsoorttabel1,2,FALSE)</f>
        <v>694.44999999999993</v>
      </c>
      <c r="N24" s="65">
        <f>prodnorm25</f>
        <v>0</v>
      </c>
      <c r="O24" s="66">
        <f>dagwerk25</f>
        <v>0</v>
      </c>
      <c r="P24" s="62" t="s">
        <v>40</v>
      </c>
      <c r="Q24" s="67">
        <f>uurtarief25</f>
        <v>0</v>
      </c>
      <c r="R24" s="64" t="e">
        <f>IF(ISBLANK(N24),0,M24/ROUND(N24,4))</f>
        <v>#DIV/0!</v>
      </c>
      <c r="S24" s="64" t="e">
        <f>IF(ISBLANK(N24),0,R24*ROUND(O24,2))</f>
        <v>#DIV/0!</v>
      </c>
      <c r="T24" s="67" t="e">
        <f>ROUND(Q24,2)*R24</f>
        <v>#DIV/0!</v>
      </c>
      <c r="U24" s="64" t="e">
        <f>R24*dagenperjaar1</f>
        <v>#DIV/0!</v>
      </c>
      <c r="V24" s="68" t="e">
        <f>U24*ROUND(Q24,2)</f>
        <v>#DIV/0!</v>
      </c>
    </row>
    <row r="25" spans="1:22" x14ac:dyDescent="0.4">
      <c r="A25" s="61" t="s">
        <v>203</v>
      </c>
      <c r="B25" s="62" t="s">
        <v>204</v>
      </c>
      <c r="C25" s="62" t="s">
        <v>205</v>
      </c>
      <c r="D25" s="62" t="s">
        <v>247</v>
      </c>
      <c r="E25" s="63" t="s">
        <v>207</v>
      </c>
      <c r="F25" s="62" t="s">
        <v>208</v>
      </c>
      <c r="G25" s="62" t="s">
        <v>177</v>
      </c>
      <c r="H25" s="62" t="s">
        <v>9</v>
      </c>
      <c r="I25" s="62" t="s">
        <v>143</v>
      </c>
      <c r="J25" s="63" t="s">
        <v>178</v>
      </c>
      <c r="K25" s="62" t="s">
        <v>209</v>
      </c>
      <c r="L25" s="64">
        <v>8</v>
      </c>
      <c r="M25" s="64">
        <f>L25*VLOOKUP(H25,dagsoorttabel1,2,FALSE)</f>
        <v>8.6</v>
      </c>
      <c r="N25" s="65">
        <f>prodnorm23</f>
        <v>0</v>
      </c>
      <c r="O25" s="66">
        <f>dagwerk23</f>
        <v>0</v>
      </c>
      <c r="P25" s="62" t="s">
        <v>40</v>
      </c>
      <c r="Q25" s="67">
        <f>uurtarief23</f>
        <v>0</v>
      </c>
      <c r="R25" s="64" t="e">
        <f>IF(ISBLANK(N25),0,M25/ROUND(N25,4))</f>
        <v>#DIV/0!</v>
      </c>
      <c r="S25" s="64" t="e">
        <f>IF(ISBLANK(N25),0,R25*ROUND(O25,2))</f>
        <v>#DIV/0!</v>
      </c>
      <c r="T25" s="67" t="e">
        <f>ROUND(Q25,2)*R25</f>
        <v>#DIV/0!</v>
      </c>
      <c r="U25" s="64" t="e">
        <f>R25*dagenperjaar1</f>
        <v>#DIV/0!</v>
      </c>
      <c r="V25" s="68" t="e">
        <f>U25*ROUND(Q25,2)</f>
        <v>#DIV/0!</v>
      </c>
    </row>
    <row r="26" spans="1:22" x14ac:dyDescent="0.4">
      <c r="A26" s="61" t="s">
        <v>203</v>
      </c>
      <c r="B26" s="62" t="s">
        <v>204</v>
      </c>
      <c r="C26" s="62" t="s">
        <v>205</v>
      </c>
      <c r="D26" s="62" t="s">
        <v>247</v>
      </c>
      <c r="E26" s="63" t="s">
        <v>207</v>
      </c>
      <c r="F26" s="62" t="s">
        <v>208</v>
      </c>
      <c r="G26" s="62" t="s">
        <v>177</v>
      </c>
      <c r="H26" s="62" t="s">
        <v>9</v>
      </c>
      <c r="I26" s="62" t="s">
        <v>143</v>
      </c>
      <c r="J26" s="63" t="s">
        <v>178</v>
      </c>
      <c r="K26" s="62" t="s">
        <v>209</v>
      </c>
      <c r="L26" s="64">
        <v>8</v>
      </c>
      <c r="M26" s="64">
        <f>L26*VLOOKUP(H26,dagsoorttabel1,2,FALSE)</f>
        <v>8.6</v>
      </c>
      <c r="N26" s="65">
        <f>prodnorm23</f>
        <v>0</v>
      </c>
      <c r="O26" s="66">
        <f>dagwerk23</f>
        <v>0</v>
      </c>
      <c r="P26" s="62" t="s">
        <v>40</v>
      </c>
      <c r="Q26" s="67">
        <f>uurtarief23</f>
        <v>0</v>
      </c>
      <c r="R26" s="64" t="e">
        <f>IF(ISBLANK(N26),0,M26/ROUND(N26,4))</f>
        <v>#DIV/0!</v>
      </c>
      <c r="S26" s="64" t="e">
        <f>IF(ISBLANK(N26),0,R26*ROUND(O26,2))</f>
        <v>#DIV/0!</v>
      </c>
      <c r="T26" s="67" t="e">
        <f>ROUND(Q26,2)*R26</f>
        <v>#DIV/0!</v>
      </c>
      <c r="U26" s="64" t="e">
        <f>R26*dagenperjaar1</f>
        <v>#DIV/0!</v>
      </c>
      <c r="V26" s="68" t="e">
        <f>U26*ROUND(Q26,2)</f>
        <v>#DIV/0!</v>
      </c>
    </row>
    <row r="27" spans="1:22" x14ac:dyDescent="0.4">
      <c r="A27" s="61" t="s">
        <v>203</v>
      </c>
      <c r="B27" s="62" t="s">
        <v>204</v>
      </c>
      <c r="C27" s="62" t="s">
        <v>205</v>
      </c>
      <c r="D27" s="62" t="s">
        <v>248</v>
      </c>
      <c r="E27" s="63" t="s">
        <v>249</v>
      </c>
      <c r="F27" s="62" t="s">
        <v>220</v>
      </c>
      <c r="G27" s="62" t="s">
        <v>142</v>
      </c>
      <c r="H27" s="62" t="s">
        <v>14</v>
      </c>
      <c r="I27" s="62" t="s">
        <v>143</v>
      </c>
      <c r="J27" s="63" t="s">
        <v>144</v>
      </c>
      <c r="K27" s="62" t="s">
        <v>213</v>
      </c>
      <c r="L27" s="64">
        <v>18</v>
      </c>
      <c r="M27" s="64">
        <f>L27*VLOOKUP(H27,dagsoorttabel1,2,FALSE)</f>
        <v>7.74</v>
      </c>
      <c r="N27" s="65">
        <f>prodnorm2</f>
        <v>0</v>
      </c>
      <c r="O27" s="66">
        <f>dagwerk2</f>
        <v>0</v>
      </c>
      <c r="P27" s="62" t="s">
        <v>40</v>
      </c>
      <c r="Q27" s="67">
        <f>uurtarief2</f>
        <v>0</v>
      </c>
      <c r="R27" s="64" t="e">
        <f>IF(ISBLANK(N27),0,M27/ROUND(N27,4))</f>
        <v>#DIV/0!</v>
      </c>
      <c r="S27" s="64" t="e">
        <f>IF(ISBLANK(N27),0,R27*ROUND(O27,2))</f>
        <v>#DIV/0!</v>
      </c>
      <c r="T27" s="67" t="e">
        <f>ROUND(Q27,2)*R27</f>
        <v>#DIV/0!</v>
      </c>
      <c r="U27" s="64" t="e">
        <f>R27*dagenperjaar1</f>
        <v>#DIV/0!</v>
      </c>
      <c r="V27" s="68" t="e">
        <f>U27*ROUND(Q27,2)</f>
        <v>#DIV/0!</v>
      </c>
    </row>
    <row r="28" spans="1:22" x14ac:dyDescent="0.4">
      <c r="A28" s="61" t="s">
        <v>203</v>
      </c>
      <c r="B28" s="62" t="s">
        <v>204</v>
      </c>
      <c r="C28" s="62" t="s">
        <v>205</v>
      </c>
      <c r="D28" s="62" t="s">
        <v>250</v>
      </c>
      <c r="E28" s="63" t="s">
        <v>243</v>
      </c>
      <c r="F28" s="62" t="s">
        <v>220</v>
      </c>
      <c r="G28" s="62" t="s">
        <v>185</v>
      </c>
      <c r="H28" s="62" t="s">
        <v>9</v>
      </c>
      <c r="I28" s="62" t="s">
        <v>143</v>
      </c>
      <c r="J28" s="63" t="s">
        <v>186</v>
      </c>
      <c r="K28" s="62" t="s">
        <v>244</v>
      </c>
      <c r="L28" s="64">
        <v>14</v>
      </c>
      <c r="M28" s="64">
        <f>L28*VLOOKUP(H28,dagsoorttabel1,2,FALSE)</f>
        <v>15.049999999999999</v>
      </c>
      <c r="N28" s="65">
        <f>prodnorm28</f>
        <v>0</v>
      </c>
      <c r="O28" s="66">
        <f>dagwerk28</f>
        <v>0</v>
      </c>
      <c r="P28" s="62" t="s">
        <v>40</v>
      </c>
      <c r="Q28" s="67">
        <f>uurtarief28</f>
        <v>0</v>
      </c>
      <c r="R28" s="64" t="e">
        <f>IF(ISBLANK(N28),0,M28/ROUND(N28,4))</f>
        <v>#DIV/0!</v>
      </c>
      <c r="S28" s="64" t="e">
        <f>IF(ISBLANK(N28),0,R28*ROUND(O28,2))</f>
        <v>#DIV/0!</v>
      </c>
      <c r="T28" s="67" t="e">
        <f>ROUND(Q28,2)*R28</f>
        <v>#DIV/0!</v>
      </c>
      <c r="U28" s="64" t="e">
        <f>R28*dagenperjaar1</f>
        <v>#DIV/0!</v>
      </c>
      <c r="V28" s="68" t="e">
        <f>U28*ROUND(Q28,2)</f>
        <v>#DIV/0!</v>
      </c>
    </row>
    <row r="29" spans="1:22" x14ac:dyDescent="0.4">
      <c r="A29" s="61" t="s">
        <v>203</v>
      </c>
      <c r="B29" s="62" t="s">
        <v>204</v>
      </c>
      <c r="C29" s="62" t="s">
        <v>205</v>
      </c>
      <c r="D29" s="62" t="s">
        <v>251</v>
      </c>
      <c r="E29" s="63" t="s">
        <v>252</v>
      </c>
      <c r="F29" s="62" t="s">
        <v>253</v>
      </c>
      <c r="G29" s="62" t="s">
        <v>179</v>
      </c>
      <c r="H29" s="62" t="s">
        <v>9</v>
      </c>
      <c r="I29" s="62" t="s">
        <v>143</v>
      </c>
      <c r="J29" s="63" t="s">
        <v>180</v>
      </c>
      <c r="K29" s="62" t="s">
        <v>244</v>
      </c>
      <c r="L29" s="64">
        <v>48</v>
      </c>
      <c r="M29" s="64">
        <f>L29*VLOOKUP(H29,dagsoorttabel1,2,FALSE)</f>
        <v>51.599999999999994</v>
      </c>
      <c r="N29" s="65">
        <f>prodnorm25</f>
        <v>0</v>
      </c>
      <c r="O29" s="66">
        <f>dagwerk25</f>
        <v>0</v>
      </c>
      <c r="P29" s="62" t="s">
        <v>40</v>
      </c>
      <c r="Q29" s="67">
        <f>uurtarief25</f>
        <v>0</v>
      </c>
      <c r="R29" s="64" t="e">
        <f>IF(ISBLANK(N29),0,M29/ROUND(N29,4))</f>
        <v>#DIV/0!</v>
      </c>
      <c r="S29" s="64" t="e">
        <f>IF(ISBLANK(N29),0,R29*ROUND(O29,2))</f>
        <v>#DIV/0!</v>
      </c>
      <c r="T29" s="67" t="e">
        <f>ROUND(Q29,2)*R29</f>
        <v>#DIV/0!</v>
      </c>
      <c r="U29" s="64" t="e">
        <f>R29*dagenperjaar1</f>
        <v>#DIV/0!</v>
      </c>
      <c r="V29" s="68" t="e">
        <f>U29*ROUND(Q29,2)</f>
        <v>#DIV/0!</v>
      </c>
    </row>
    <row r="30" spans="1:22" x14ac:dyDescent="0.4">
      <c r="A30" s="61" t="s">
        <v>203</v>
      </c>
      <c r="B30" s="62" t="s">
        <v>204</v>
      </c>
      <c r="C30" s="62" t="s">
        <v>205</v>
      </c>
      <c r="D30" s="62" t="s">
        <v>254</v>
      </c>
      <c r="E30" s="63" t="s">
        <v>255</v>
      </c>
      <c r="F30" s="62" t="s">
        <v>256</v>
      </c>
      <c r="G30" s="62" t="s">
        <v>153</v>
      </c>
      <c r="H30" s="62" t="s">
        <v>12</v>
      </c>
      <c r="I30" s="62" t="s">
        <v>143</v>
      </c>
      <c r="J30" s="63" t="s">
        <v>154</v>
      </c>
      <c r="K30" s="62" t="s">
        <v>244</v>
      </c>
      <c r="L30" s="64">
        <v>220</v>
      </c>
      <c r="M30" s="64">
        <f>L30*VLOOKUP(H30,dagsoorttabel1,2,FALSE)</f>
        <v>141.9</v>
      </c>
      <c r="N30" s="65">
        <f>prodnorm8</f>
        <v>0</v>
      </c>
      <c r="O30" s="66">
        <f>dagwerk8</f>
        <v>0</v>
      </c>
      <c r="P30" s="62" t="s">
        <v>40</v>
      </c>
      <c r="Q30" s="67">
        <f>uurtarief8</f>
        <v>0</v>
      </c>
      <c r="R30" s="64" t="e">
        <f>IF(ISBLANK(N30),0,M30/ROUND(N30,4))</f>
        <v>#DIV/0!</v>
      </c>
      <c r="S30" s="64" t="e">
        <f>IF(ISBLANK(N30),0,R30*ROUND(O30,2))</f>
        <v>#DIV/0!</v>
      </c>
      <c r="T30" s="67" t="e">
        <f>ROUND(Q30,2)*R30</f>
        <v>#DIV/0!</v>
      </c>
      <c r="U30" s="64" t="e">
        <f>R30*dagenperjaar1</f>
        <v>#DIV/0!</v>
      </c>
      <c r="V30" s="68" t="e">
        <f>U30*ROUND(Q30,2)</f>
        <v>#DIV/0!</v>
      </c>
    </row>
    <row r="31" spans="1:22" x14ac:dyDescent="0.4">
      <c r="A31" s="61" t="s">
        <v>203</v>
      </c>
      <c r="B31" s="62" t="s">
        <v>204</v>
      </c>
      <c r="C31" s="62" t="s">
        <v>205</v>
      </c>
      <c r="D31" s="62" t="s">
        <v>257</v>
      </c>
      <c r="E31" s="63" t="s">
        <v>255</v>
      </c>
      <c r="F31" s="62" t="s">
        <v>256</v>
      </c>
      <c r="G31" s="62" t="s">
        <v>153</v>
      </c>
      <c r="H31" s="62" t="s">
        <v>12</v>
      </c>
      <c r="I31" s="62" t="s">
        <v>143</v>
      </c>
      <c r="J31" s="63" t="s">
        <v>154</v>
      </c>
      <c r="K31" s="62" t="s">
        <v>244</v>
      </c>
      <c r="L31" s="64">
        <v>20</v>
      </c>
      <c r="M31" s="64">
        <f>L31*VLOOKUP(H31,dagsoorttabel1,2,FALSE)</f>
        <v>12.9</v>
      </c>
      <c r="N31" s="65">
        <f>prodnorm8</f>
        <v>0</v>
      </c>
      <c r="O31" s="66">
        <f>dagwerk8</f>
        <v>0</v>
      </c>
      <c r="P31" s="62" t="s">
        <v>40</v>
      </c>
      <c r="Q31" s="67">
        <f>uurtarief8</f>
        <v>0</v>
      </c>
      <c r="R31" s="64" t="e">
        <f>IF(ISBLANK(N31),0,M31/ROUND(N31,4))</f>
        <v>#DIV/0!</v>
      </c>
      <c r="S31" s="64" t="e">
        <f>IF(ISBLANK(N31),0,R31*ROUND(O31,2))</f>
        <v>#DIV/0!</v>
      </c>
      <c r="T31" s="67" t="e">
        <f>ROUND(Q31,2)*R31</f>
        <v>#DIV/0!</v>
      </c>
      <c r="U31" s="64" t="e">
        <f>R31*dagenperjaar1</f>
        <v>#DIV/0!</v>
      </c>
      <c r="V31" s="68" t="e">
        <f>U31*ROUND(Q31,2)</f>
        <v>#DIV/0!</v>
      </c>
    </row>
    <row r="32" spans="1:22" x14ac:dyDescent="0.4">
      <c r="A32" s="61" t="s">
        <v>203</v>
      </c>
      <c r="B32" s="62" t="s">
        <v>204</v>
      </c>
      <c r="C32" s="62" t="s">
        <v>205</v>
      </c>
      <c r="D32" s="62" t="s">
        <v>258</v>
      </c>
      <c r="E32" s="63" t="s">
        <v>259</v>
      </c>
      <c r="F32" s="62" t="s">
        <v>256</v>
      </c>
      <c r="G32" s="62" t="s">
        <v>142</v>
      </c>
      <c r="H32" s="62" t="s">
        <v>14</v>
      </c>
      <c r="I32" s="62" t="s">
        <v>143</v>
      </c>
      <c r="J32" s="63" t="s">
        <v>144</v>
      </c>
      <c r="K32" s="62" t="s">
        <v>213</v>
      </c>
      <c r="L32" s="64">
        <v>21</v>
      </c>
      <c r="M32" s="64">
        <f>L32*VLOOKUP(H32,dagsoorttabel1,2,FALSE)</f>
        <v>9.0299999999999994</v>
      </c>
      <c r="N32" s="65">
        <f>prodnorm2</f>
        <v>0</v>
      </c>
      <c r="O32" s="66">
        <f>dagwerk2</f>
        <v>0</v>
      </c>
      <c r="P32" s="62" t="s">
        <v>40</v>
      </c>
      <c r="Q32" s="67">
        <f>uurtarief2</f>
        <v>0</v>
      </c>
      <c r="R32" s="64" t="e">
        <f>IF(ISBLANK(N32),0,M32/ROUND(N32,4))</f>
        <v>#DIV/0!</v>
      </c>
      <c r="S32" s="64" t="e">
        <f>IF(ISBLANK(N32),0,R32*ROUND(O32,2))</f>
        <v>#DIV/0!</v>
      </c>
      <c r="T32" s="67" t="e">
        <f>ROUND(Q32,2)*R32</f>
        <v>#DIV/0!</v>
      </c>
      <c r="U32" s="64" t="e">
        <f>R32*dagenperjaar1</f>
        <v>#DIV/0!</v>
      </c>
      <c r="V32" s="68" t="e">
        <f>U32*ROUND(Q32,2)</f>
        <v>#DIV/0!</v>
      </c>
    </row>
    <row r="33" spans="1:22" x14ac:dyDescent="0.4">
      <c r="A33" s="61" t="s">
        <v>203</v>
      </c>
      <c r="B33" s="62" t="s">
        <v>204</v>
      </c>
      <c r="C33" s="62" t="s">
        <v>205</v>
      </c>
      <c r="D33" s="62" t="s">
        <v>260</v>
      </c>
      <c r="E33" s="63" t="s">
        <v>211</v>
      </c>
      <c r="F33" s="62" t="s">
        <v>256</v>
      </c>
      <c r="G33" s="62" t="s">
        <v>142</v>
      </c>
      <c r="H33" s="62" t="s">
        <v>14</v>
      </c>
      <c r="I33" s="62" t="s">
        <v>143</v>
      </c>
      <c r="J33" s="63" t="s">
        <v>144</v>
      </c>
      <c r="K33" s="62" t="s">
        <v>213</v>
      </c>
      <c r="L33" s="64">
        <v>20</v>
      </c>
      <c r="M33" s="64">
        <f>L33*VLOOKUP(H33,dagsoorttabel1,2,FALSE)</f>
        <v>8.6</v>
      </c>
      <c r="N33" s="65">
        <f>prodnorm2</f>
        <v>0</v>
      </c>
      <c r="O33" s="66">
        <f>dagwerk2</f>
        <v>0</v>
      </c>
      <c r="P33" s="62" t="s">
        <v>40</v>
      </c>
      <c r="Q33" s="67">
        <f>uurtarief2</f>
        <v>0</v>
      </c>
      <c r="R33" s="64" t="e">
        <f>IF(ISBLANK(N33),0,M33/ROUND(N33,4))</f>
        <v>#DIV/0!</v>
      </c>
      <c r="S33" s="64" t="e">
        <f>IF(ISBLANK(N33),0,R33*ROUND(O33,2))</f>
        <v>#DIV/0!</v>
      </c>
      <c r="T33" s="67" t="e">
        <f>ROUND(Q33,2)*R33</f>
        <v>#DIV/0!</v>
      </c>
      <c r="U33" s="64" t="e">
        <f>R33*dagenperjaar1</f>
        <v>#DIV/0!</v>
      </c>
      <c r="V33" s="68" t="e">
        <f>U33*ROUND(Q33,2)</f>
        <v>#DIV/0!</v>
      </c>
    </row>
    <row r="34" spans="1:22" x14ac:dyDescent="0.4">
      <c r="A34" s="61" t="s">
        <v>203</v>
      </c>
      <c r="B34" s="62" t="s">
        <v>204</v>
      </c>
      <c r="C34" s="62" t="s">
        <v>205</v>
      </c>
      <c r="D34" s="62" t="s">
        <v>261</v>
      </c>
      <c r="E34" s="63" t="s">
        <v>211</v>
      </c>
      <c r="F34" s="62" t="s">
        <v>262</v>
      </c>
      <c r="G34" s="62" t="s">
        <v>145</v>
      </c>
      <c r="H34" s="62" t="s">
        <v>14</v>
      </c>
      <c r="I34" s="62" t="s">
        <v>143</v>
      </c>
      <c r="J34" s="63" t="s">
        <v>146</v>
      </c>
      <c r="K34" s="62" t="s">
        <v>213</v>
      </c>
      <c r="L34" s="64">
        <v>20</v>
      </c>
      <c r="M34" s="64">
        <f>L34*VLOOKUP(H34,dagsoorttabel1,2,FALSE)</f>
        <v>8.6</v>
      </c>
      <c r="N34" s="65">
        <f>prodnorm4</f>
        <v>0</v>
      </c>
      <c r="O34" s="66">
        <f>dagwerk4</f>
        <v>0</v>
      </c>
      <c r="P34" s="62" t="s">
        <v>40</v>
      </c>
      <c r="Q34" s="67">
        <f>uurtarief4</f>
        <v>0</v>
      </c>
      <c r="R34" s="64" t="e">
        <f>IF(ISBLANK(N34),0,M34/ROUND(N34,4))</f>
        <v>#DIV/0!</v>
      </c>
      <c r="S34" s="64" t="e">
        <f>IF(ISBLANK(N34),0,R34*ROUND(O34,2))</f>
        <v>#DIV/0!</v>
      </c>
      <c r="T34" s="67" t="e">
        <f>ROUND(Q34,2)*R34</f>
        <v>#DIV/0!</v>
      </c>
      <c r="U34" s="64" t="e">
        <f>R34*dagenperjaar1</f>
        <v>#DIV/0!</v>
      </c>
      <c r="V34" s="68" t="e">
        <f>U34*ROUND(Q34,2)</f>
        <v>#DIV/0!</v>
      </c>
    </row>
    <row r="35" spans="1:22" x14ac:dyDescent="0.4">
      <c r="A35" s="61" t="s">
        <v>203</v>
      </c>
      <c r="B35" s="62" t="s">
        <v>204</v>
      </c>
      <c r="C35" s="62" t="s">
        <v>205</v>
      </c>
      <c r="D35" s="62" t="s">
        <v>263</v>
      </c>
      <c r="E35" s="63" t="s">
        <v>264</v>
      </c>
      <c r="F35" s="62" t="s">
        <v>262</v>
      </c>
      <c r="G35" s="62" t="s">
        <v>145</v>
      </c>
      <c r="H35" s="62" t="s">
        <v>14</v>
      </c>
      <c r="I35" s="62" t="s">
        <v>143</v>
      </c>
      <c r="J35" s="63" t="s">
        <v>146</v>
      </c>
      <c r="K35" s="62" t="s">
        <v>213</v>
      </c>
      <c r="L35" s="64">
        <v>33</v>
      </c>
      <c r="M35" s="64">
        <f>L35*VLOOKUP(H35,dagsoorttabel1,2,FALSE)</f>
        <v>14.19</v>
      </c>
      <c r="N35" s="65">
        <f>prodnorm4</f>
        <v>0</v>
      </c>
      <c r="O35" s="66">
        <f>dagwerk4</f>
        <v>0</v>
      </c>
      <c r="P35" s="62" t="s">
        <v>40</v>
      </c>
      <c r="Q35" s="67">
        <f>uurtarief4</f>
        <v>0</v>
      </c>
      <c r="R35" s="64" t="e">
        <f>IF(ISBLANK(N35),0,M35/ROUND(N35,4))</f>
        <v>#DIV/0!</v>
      </c>
      <c r="S35" s="64" t="e">
        <f>IF(ISBLANK(N35),0,R35*ROUND(O35,2))</f>
        <v>#DIV/0!</v>
      </c>
      <c r="T35" s="67" t="e">
        <f>ROUND(Q35,2)*R35</f>
        <v>#DIV/0!</v>
      </c>
      <c r="U35" s="64" t="e">
        <f>R35*dagenperjaar1</f>
        <v>#DIV/0!</v>
      </c>
      <c r="V35" s="68" t="e">
        <f>U35*ROUND(Q35,2)</f>
        <v>#DIV/0!</v>
      </c>
    </row>
    <row r="36" spans="1:22" x14ac:dyDescent="0.4">
      <c r="A36" s="61" t="s">
        <v>203</v>
      </c>
      <c r="B36" s="62" t="s">
        <v>204</v>
      </c>
      <c r="C36" s="62" t="s">
        <v>205</v>
      </c>
      <c r="D36" s="62" t="s">
        <v>265</v>
      </c>
      <c r="E36" s="63" t="s">
        <v>241</v>
      </c>
      <c r="F36" s="62" t="s">
        <v>262</v>
      </c>
      <c r="G36" s="62" t="s">
        <v>145</v>
      </c>
      <c r="H36" s="62" t="s">
        <v>14</v>
      </c>
      <c r="I36" s="62" t="s">
        <v>143</v>
      </c>
      <c r="J36" s="63" t="s">
        <v>146</v>
      </c>
      <c r="K36" s="62" t="s">
        <v>213</v>
      </c>
      <c r="L36" s="64">
        <v>51</v>
      </c>
      <c r="M36" s="64">
        <f>L36*VLOOKUP(H36,dagsoorttabel1,2,FALSE)</f>
        <v>21.93</v>
      </c>
      <c r="N36" s="65">
        <f>prodnorm4</f>
        <v>0</v>
      </c>
      <c r="O36" s="66">
        <f>dagwerk4</f>
        <v>0</v>
      </c>
      <c r="P36" s="62" t="s">
        <v>40</v>
      </c>
      <c r="Q36" s="67">
        <f>uurtarief4</f>
        <v>0</v>
      </c>
      <c r="R36" s="64" t="e">
        <f>IF(ISBLANK(N36),0,M36/ROUND(N36,4))</f>
        <v>#DIV/0!</v>
      </c>
      <c r="S36" s="64" t="e">
        <f>IF(ISBLANK(N36),0,R36*ROUND(O36,2))</f>
        <v>#DIV/0!</v>
      </c>
      <c r="T36" s="67" t="e">
        <f>ROUND(Q36,2)*R36</f>
        <v>#DIV/0!</v>
      </c>
      <c r="U36" s="64" t="e">
        <f>R36*dagenperjaar1</f>
        <v>#DIV/0!</v>
      </c>
      <c r="V36" s="68" t="e">
        <f>U36*ROUND(Q36,2)</f>
        <v>#DIV/0!</v>
      </c>
    </row>
    <row r="37" spans="1:22" x14ac:dyDescent="0.4">
      <c r="A37" s="61" t="s">
        <v>203</v>
      </c>
      <c r="B37" s="62" t="s">
        <v>204</v>
      </c>
      <c r="C37" s="62" t="s">
        <v>205</v>
      </c>
      <c r="D37" s="62" t="s">
        <v>266</v>
      </c>
      <c r="E37" s="63" t="s">
        <v>267</v>
      </c>
      <c r="F37" s="62" t="s">
        <v>268</v>
      </c>
      <c r="G37" s="62" t="s">
        <v>181</v>
      </c>
      <c r="H37" s="62" t="s">
        <v>9</v>
      </c>
      <c r="I37" s="62" t="s">
        <v>143</v>
      </c>
      <c r="J37" s="63" t="s">
        <v>182</v>
      </c>
      <c r="K37" s="62" t="s">
        <v>244</v>
      </c>
      <c r="L37" s="64">
        <v>10</v>
      </c>
      <c r="M37" s="64">
        <f>L37*VLOOKUP(H37,dagsoorttabel1,2,FALSE)</f>
        <v>10.75</v>
      </c>
      <c r="N37" s="65">
        <f>prodnorm26</f>
        <v>0</v>
      </c>
      <c r="O37" s="66">
        <f>dagwerk26</f>
        <v>0</v>
      </c>
      <c r="P37" s="62" t="s">
        <v>40</v>
      </c>
      <c r="Q37" s="67">
        <f>uurtarief26</f>
        <v>0</v>
      </c>
      <c r="R37" s="64" t="e">
        <f>IF(ISBLANK(N37),0,M37/ROUND(N37,4))</f>
        <v>#DIV/0!</v>
      </c>
      <c r="S37" s="64" t="e">
        <f>IF(ISBLANK(N37),0,R37*ROUND(O37,2))</f>
        <v>#DIV/0!</v>
      </c>
      <c r="T37" s="67" t="e">
        <f>ROUND(Q37,2)*R37</f>
        <v>#DIV/0!</v>
      </c>
      <c r="U37" s="64" t="e">
        <f>R37*dagenperjaar1</f>
        <v>#DIV/0!</v>
      </c>
      <c r="V37" s="68" t="e">
        <f>U37*ROUND(Q37,2)</f>
        <v>#DIV/0!</v>
      </c>
    </row>
    <row r="38" spans="1:22" x14ac:dyDescent="0.4">
      <c r="A38" s="61" t="s">
        <v>203</v>
      </c>
      <c r="B38" s="62" t="s">
        <v>204</v>
      </c>
      <c r="C38" s="62" t="s">
        <v>205</v>
      </c>
      <c r="D38" s="62" t="s">
        <v>269</v>
      </c>
      <c r="E38" s="63" t="s">
        <v>270</v>
      </c>
      <c r="F38" s="62" t="s">
        <v>220</v>
      </c>
      <c r="G38" s="62" t="s">
        <v>181</v>
      </c>
      <c r="H38" s="62" t="s">
        <v>9</v>
      </c>
      <c r="I38" s="62" t="s">
        <v>143</v>
      </c>
      <c r="J38" s="63" t="s">
        <v>182</v>
      </c>
      <c r="K38" s="62" t="s">
        <v>244</v>
      </c>
      <c r="L38" s="64">
        <v>356</v>
      </c>
      <c r="M38" s="64">
        <f>L38*VLOOKUP(H38,dagsoorttabel1,2,FALSE)</f>
        <v>382.7</v>
      </c>
      <c r="N38" s="65">
        <f>prodnorm26</f>
        <v>0</v>
      </c>
      <c r="O38" s="66">
        <f>dagwerk26</f>
        <v>0</v>
      </c>
      <c r="P38" s="62" t="s">
        <v>40</v>
      </c>
      <c r="Q38" s="67">
        <f>uurtarief26</f>
        <v>0</v>
      </c>
      <c r="R38" s="64" t="e">
        <f>IF(ISBLANK(N38),0,M38/ROUND(N38,4))</f>
        <v>#DIV/0!</v>
      </c>
      <c r="S38" s="64" t="e">
        <f>IF(ISBLANK(N38),0,R38*ROUND(O38,2))</f>
        <v>#DIV/0!</v>
      </c>
      <c r="T38" s="67" t="e">
        <f>ROUND(Q38,2)*R38</f>
        <v>#DIV/0!</v>
      </c>
      <c r="U38" s="64" t="e">
        <f>R38*dagenperjaar1</f>
        <v>#DIV/0!</v>
      </c>
      <c r="V38" s="68" t="e">
        <f>U38*ROUND(Q38,2)</f>
        <v>#DIV/0!</v>
      </c>
    </row>
    <row r="39" spans="1:22" x14ac:dyDescent="0.4">
      <c r="A39" s="61" t="s">
        <v>203</v>
      </c>
      <c r="B39" s="62" t="s">
        <v>204</v>
      </c>
      <c r="C39" s="62" t="s">
        <v>205</v>
      </c>
      <c r="D39" s="62" t="s">
        <v>269</v>
      </c>
      <c r="E39" s="63" t="s">
        <v>271</v>
      </c>
      <c r="F39" s="62" t="s">
        <v>272</v>
      </c>
      <c r="G39" s="62" t="s">
        <v>179</v>
      </c>
      <c r="H39" s="62" t="s">
        <v>9</v>
      </c>
      <c r="I39" s="62" t="s">
        <v>143</v>
      </c>
      <c r="J39" s="63" t="s">
        <v>180</v>
      </c>
      <c r="K39" s="62" t="s">
        <v>244</v>
      </c>
      <c r="L39" s="64">
        <v>6</v>
      </c>
      <c r="M39" s="64">
        <f>L39*VLOOKUP(H39,dagsoorttabel1,2,FALSE)</f>
        <v>6.4499999999999993</v>
      </c>
      <c r="N39" s="65">
        <f>prodnorm25</f>
        <v>0</v>
      </c>
      <c r="O39" s="66">
        <f>dagwerk25</f>
        <v>0</v>
      </c>
      <c r="P39" s="62" t="s">
        <v>40</v>
      </c>
      <c r="Q39" s="67">
        <f>uurtarief25</f>
        <v>0</v>
      </c>
      <c r="R39" s="64" t="e">
        <f>IF(ISBLANK(N39),0,M39/ROUND(N39,4))</f>
        <v>#DIV/0!</v>
      </c>
      <c r="S39" s="64" t="e">
        <f>IF(ISBLANK(N39),0,R39*ROUND(O39,2))</f>
        <v>#DIV/0!</v>
      </c>
      <c r="T39" s="67" t="e">
        <f>ROUND(Q39,2)*R39</f>
        <v>#DIV/0!</v>
      </c>
      <c r="U39" s="64" t="e">
        <f>R39*dagenperjaar1</f>
        <v>#DIV/0!</v>
      </c>
      <c r="V39" s="68" t="e">
        <f>U39*ROUND(Q39,2)</f>
        <v>#DIV/0!</v>
      </c>
    </row>
    <row r="40" spans="1:22" x14ac:dyDescent="0.4">
      <c r="A40" s="61" t="s">
        <v>203</v>
      </c>
      <c r="B40" s="62" t="s">
        <v>204</v>
      </c>
      <c r="C40" s="62" t="s">
        <v>205</v>
      </c>
      <c r="D40" s="62" t="s">
        <v>273</v>
      </c>
      <c r="E40" s="63" t="s">
        <v>270</v>
      </c>
      <c r="F40" s="62" t="s">
        <v>220</v>
      </c>
      <c r="G40" s="62" t="s">
        <v>181</v>
      </c>
      <c r="H40" s="62" t="s">
        <v>9</v>
      </c>
      <c r="I40" s="62" t="s">
        <v>143</v>
      </c>
      <c r="J40" s="63" t="s">
        <v>182</v>
      </c>
      <c r="K40" s="62" t="s">
        <v>244</v>
      </c>
      <c r="L40" s="64">
        <v>338</v>
      </c>
      <c r="M40" s="64">
        <f>L40*VLOOKUP(H40,dagsoorttabel1,2,FALSE)</f>
        <v>363.34999999999997</v>
      </c>
      <c r="N40" s="65">
        <f>prodnorm26</f>
        <v>0</v>
      </c>
      <c r="O40" s="66">
        <f>dagwerk26</f>
        <v>0</v>
      </c>
      <c r="P40" s="62" t="s">
        <v>40</v>
      </c>
      <c r="Q40" s="67">
        <f>uurtarief26</f>
        <v>0</v>
      </c>
      <c r="R40" s="64" t="e">
        <f>IF(ISBLANK(N40),0,M40/ROUND(N40,4))</f>
        <v>#DIV/0!</v>
      </c>
      <c r="S40" s="64" t="e">
        <f>IF(ISBLANK(N40),0,R40*ROUND(O40,2))</f>
        <v>#DIV/0!</v>
      </c>
      <c r="T40" s="67" t="e">
        <f>ROUND(Q40,2)*R40</f>
        <v>#DIV/0!</v>
      </c>
      <c r="U40" s="64" t="e">
        <f>R40*dagenperjaar1</f>
        <v>#DIV/0!</v>
      </c>
      <c r="V40" s="68" t="e">
        <f>U40*ROUND(Q40,2)</f>
        <v>#DIV/0!</v>
      </c>
    </row>
    <row r="41" spans="1:22" x14ac:dyDescent="0.4">
      <c r="A41" s="61" t="s">
        <v>203</v>
      </c>
      <c r="B41" s="62" t="s">
        <v>204</v>
      </c>
      <c r="C41" s="62" t="s">
        <v>205</v>
      </c>
      <c r="D41" s="62" t="s">
        <v>273</v>
      </c>
      <c r="E41" s="63" t="s">
        <v>271</v>
      </c>
      <c r="F41" s="62" t="s">
        <v>272</v>
      </c>
      <c r="G41" s="62" t="s">
        <v>179</v>
      </c>
      <c r="H41" s="62" t="s">
        <v>9</v>
      </c>
      <c r="I41" s="62" t="s">
        <v>143</v>
      </c>
      <c r="J41" s="63" t="s">
        <v>180</v>
      </c>
      <c r="K41" s="62" t="s">
        <v>244</v>
      </c>
      <c r="L41" s="64">
        <v>4</v>
      </c>
      <c r="M41" s="64">
        <f>L41*VLOOKUP(H41,dagsoorttabel1,2,FALSE)</f>
        <v>4.3</v>
      </c>
      <c r="N41" s="65">
        <f>prodnorm25</f>
        <v>0</v>
      </c>
      <c r="O41" s="66">
        <f>dagwerk25</f>
        <v>0</v>
      </c>
      <c r="P41" s="62" t="s">
        <v>40</v>
      </c>
      <c r="Q41" s="67">
        <f>uurtarief25</f>
        <v>0</v>
      </c>
      <c r="R41" s="64" t="e">
        <f>IF(ISBLANK(N41),0,M41/ROUND(N41,4))</f>
        <v>#DIV/0!</v>
      </c>
      <c r="S41" s="64" t="e">
        <f>IF(ISBLANK(N41),0,R41*ROUND(O41,2))</f>
        <v>#DIV/0!</v>
      </c>
      <c r="T41" s="67" t="e">
        <f>ROUND(Q41,2)*R41</f>
        <v>#DIV/0!</v>
      </c>
      <c r="U41" s="64" t="e">
        <f>R41*dagenperjaar1</f>
        <v>#DIV/0!</v>
      </c>
      <c r="V41" s="68" t="e">
        <f>U41*ROUND(Q41,2)</f>
        <v>#DIV/0!</v>
      </c>
    </row>
    <row r="42" spans="1:22" x14ac:dyDescent="0.4">
      <c r="A42" s="61" t="s">
        <v>203</v>
      </c>
      <c r="B42" s="62" t="s">
        <v>204</v>
      </c>
      <c r="C42" s="62" t="s">
        <v>205</v>
      </c>
      <c r="D42" s="62" t="s">
        <v>274</v>
      </c>
      <c r="E42" s="63" t="s">
        <v>275</v>
      </c>
      <c r="F42" s="62" t="s">
        <v>268</v>
      </c>
      <c r="G42" s="62" t="s">
        <v>181</v>
      </c>
      <c r="H42" s="62" t="s">
        <v>9</v>
      </c>
      <c r="I42" s="62" t="s">
        <v>143</v>
      </c>
      <c r="J42" s="63" t="s">
        <v>182</v>
      </c>
      <c r="K42" s="62" t="s">
        <v>244</v>
      </c>
      <c r="L42" s="64">
        <v>16</v>
      </c>
      <c r="M42" s="64">
        <f>L42*VLOOKUP(H42,dagsoorttabel1,2,FALSE)</f>
        <v>17.2</v>
      </c>
      <c r="N42" s="65">
        <f>prodnorm26</f>
        <v>0</v>
      </c>
      <c r="O42" s="66">
        <f>dagwerk26</f>
        <v>0</v>
      </c>
      <c r="P42" s="62" t="s">
        <v>40</v>
      </c>
      <c r="Q42" s="67">
        <f>uurtarief26</f>
        <v>0</v>
      </c>
      <c r="R42" s="64" t="e">
        <f>IF(ISBLANK(N42),0,M42/ROUND(N42,4))</f>
        <v>#DIV/0!</v>
      </c>
      <c r="S42" s="64" t="e">
        <f>IF(ISBLANK(N42),0,R42*ROUND(O42,2))</f>
        <v>#DIV/0!</v>
      </c>
      <c r="T42" s="67" t="e">
        <f>ROUND(Q42,2)*R42</f>
        <v>#DIV/0!</v>
      </c>
      <c r="U42" s="64" t="e">
        <f>R42*dagenperjaar1</f>
        <v>#DIV/0!</v>
      </c>
      <c r="V42" s="68" t="e">
        <f>U42*ROUND(Q42,2)</f>
        <v>#DIV/0!</v>
      </c>
    </row>
    <row r="43" spans="1:22" x14ac:dyDescent="0.4">
      <c r="A43" s="61" t="s">
        <v>203</v>
      </c>
      <c r="B43" s="62" t="s">
        <v>204</v>
      </c>
      <c r="C43" s="62" t="s">
        <v>205</v>
      </c>
      <c r="D43" s="62" t="s">
        <v>276</v>
      </c>
      <c r="E43" s="63" t="s">
        <v>277</v>
      </c>
      <c r="F43" s="62" t="s">
        <v>208</v>
      </c>
      <c r="G43" s="62" t="s">
        <v>177</v>
      </c>
      <c r="H43" s="62" t="s">
        <v>9</v>
      </c>
      <c r="I43" s="62" t="s">
        <v>143</v>
      </c>
      <c r="J43" s="63" t="s">
        <v>178</v>
      </c>
      <c r="K43" s="62" t="s">
        <v>209</v>
      </c>
      <c r="L43" s="64">
        <v>6</v>
      </c>
      <c r="M43" s="64">
        <f>L43*VLOOKUP(H43,dagsoorttabel1,2,FALSE)</f>
        <v>6.4499999999999993</v>
      </c>
      <c r="N43" s="65">
        <f>prodnorm23</f>
        <v>0</v>
      </c>
      <c r="O43" s="66">
        <f>dagwerk23</f>
        <v>0</v>
      </c>
      <c r="P43" s="62" t="s">
        <v>40</v>
      </c>
      <c r="Q43" s="67">
        <f>uurtarief23</f>
        <v>0</v>
      </c>
      <c r="R43" s="64" t="e">
        <f>IF(ISBLANK(N43),0,M43/ROUND(N43,4))</f>
        <v>#DIV/0!</v>
      </c>
      <c r="S43" s="64" t="e">
        <f>IF(ISBLANK(N43),0,R43*ROUND(O43,2))</f>
        <v>#DIV/0!</v>
      </c>
      <c r="T43" s="67" t="e">
        <f>ROUND(Q43,2)*R43</f>
        <v>#DIV/0!</v>
      </c>
      <c r="U43" s="64" t="e">
        <f>R43*dagenperjaar1</f>
        <v>#DIV/0!</v>
      </c>
      <c r="V43" s="68" t="e">
        <f>U43*ROUND(Q43,2)</f>
        <v>#DIV/0!</v>
      </c>
    </row>
    <row r="44" spans="1:22" x14ac:dyDescent="0.4">
      <c r="A44" s="61" t="s">
        <v>203</v>
      </c>
      <c r="B44" s="62" t="s">
        <v>204</v>
      </c>
      <c r="C44" s="62" t="s">
        <v>205</v>
      </c>
      <c r="D44" s="62" t="s">
        <v>278</v>
      </c>
      <c r="E44" s="63" t="s">
        <v>278</v>
      </c>
      <c r="F44" s="62" t="s">
        <v>208</v>
      </c>
      <c r="G44" s="62" t="s">
        <v>155</v>
      </c>
      <c r="H44" s="62" t="s">
        <v>14</v>
      </c>
      <c r="I44" s="62" t="s">
        <v>143</v>
      </c>
      <c r="J44" s="63" t="s">
        <v>156</v>
      </c>
      <c r="K44" s="62" t="s">
        <v>244</v>
      </c>
      <c r="L44" s="64">
        <v>15</v>
      </c>
      <c r="M44" s="64">
        <f>L44*VLOOKUP(H44,dagsoorttabel1,2,FALSE)</f>
        <v>6.45</v>
      </c>
      <c r="N44" s="65">
        <f>prodnorm9</f>
        <v>0</v>
      </c>
      <c r="O44" s="66">
        <f>dagwerk9</f>
        <v>0</v>
      </c>
      <c r="P44" s="62" t="s">
        <v>40</v>
      </c>
      <c r="Q44" s="67">
        <f>uurtarief9</f>
        <v>0</v>
      </c>
      <c r="R44" s="64" t="e">
        <f>IF(ISBLANK(N44),0,M44/ROUND(N44,4))</f>
        <v>#DIV/0!</v>
      </c>
      <c r="S44" s="64" t="e">
        <f>IF(ISBLANK(N44),0,R44*ROUND(O44,2))</f>
        <v>#DIV/0!</v>
      </c>
      <c r="T44" s="67" t="e">
        <f>ROUND(Q44,2)*R44</f>
        <v>#DIV/0!</v>
      </c>
      <c r="U44" s="64" t="e">
        <f>R44*dagenperjaar1</f>
        <v>#DIV/0!</v>
      </c>
      <c r="V44" s="68" t="e">
        <f>U44*ROUND(Q44,2)</f>
        <v>#DIV/0!</v>
      </c>
    </row>
    <row r="45" spans="1:22" x14ac:dyDescent="0.4">
      <c r="A45" s="61" t="s">
        <v>203</v>
      </c>
      <c r="B45" s="62" t="s">
        <v>204</v>
      </c>
      <c r="C45" s="62" t="s">
        <v>205</v>
      </c>
      <c r="D45" s="62" t="s">
        <v>279</v>
      </c>
      <c r="E45" s="63" t="s">
        <v>207</v>
      </c>
      <c r="F45" s="62" t="s">
        <v>280</v>
      </c>
      <c r="G45" s="62" t="s">
        <v>177</v>
      </c>
      <c r="H45" s="62" t="s">
        <v>9</v>
      </c>
      <c r="I45" s="62" t="s">
        <v>143</v>
      </c>
      <c r="J45" s="63" t="s">
        <v>178</v>
      </c>
      <c r="K45" s="62" t="s">
        <v>209</v>
      </c>
      <c r="L45" s="64">
        <v>16</v>
      </c>
      <c r="M45" s="64">
        <f>L45*VLOOKUP(H45,dagsoorttabel1,2,FALSE)</f>
        <v>17.2</v>
      </c>
      <c r="N45" s="65">
        <f>prodnorm23</f>
        <v>0</v>
      </c>
      <c r="O45" s="66">
        <f>dagwerk23</f>
        <v>0</v>
      </c>
      <c r="P45" s="62" t="s">
        <v>40</v>
      </c>
      <c r="Q45" s="67">
        <f>uurtarief23</f>
        <v>0</v>
      </c>
      <c r="R45" s="64" t="e">
        <f>IF(ISBLANK(N45),0,M45/ROUND(N45,4))</f>
        <v>#DIV/0!</v>
      </c>
      <c r="S45" s="64" t="e">
        <f>IF(ISBLANK(N45),0,R45*ROUND(O45,2))</f>
        <v>#DIV/0!</v>
      </c>
      <c r="T45" s="67" t="e">
        <f>ROUND(Q45,2)*R45</f>
        <v>#DIV/0!</v>
      </c>
      <c r="U45" s="64" t="e">
        <f>R45*dagenperjaar1</f>
        <v>#DIV/0!</v>
      </c>
      <c r="V45" s="68" t="e">
        <f>U45*ROUND(Q45,2)</f>
        <v>#DIV/0!</v>
      </c>
    </row>
    <row r="46" spans="1:22" x14ac:dyDescent="0.4">
      <c r="A46" s="61" t="s">
        <v>203</v>
      </c>
      <c r="B46" s="62" t="s">
        <v>204</v>
      </c>
      <c r="C46" s="62" t="s">
        <v>205</v>
      </c>
      <c r="D46" s="62" t="s">
        <v>279</v>
      </c>
      <c r="E46" s="63" t="s">
        <v>207</v>
      </c>
      <c r="F46" s="62" t="s">
        <v>280</v>
      </c>
      <c r="G46" s="62" t="s">
        <v>177</v>
      </c>
      <c r="H46" s="62" t="s">
        <v>9</v>
      </c>
      <c r="I46" s="62" t="s">
        <v>143</v>
      </c>
      <c r="J46" s="63" t="s">
        <v>178</v>
      </c>
      <c r="K46" s="62" t="s">
        <v>209</v>
      </c>
      <c r="L46" s="64">
        <v>16</v>
      </c>
      <c r="M46" s="64">
        <f>L46*VLOOKUP(H46,dagsoorttabel1,2,FALSE)</f>
        <v>17.2</v>
      </c>
      <c r="N46" s="65">
        <f>prodnorm23</f>
        <v>0</v>
      </c>
      <c r="O46" s="66">
        <f>dagwerk23</f>
        <v>0</v>
      </c>
      <c r="P46" s="62" t="s">
        <v>40</v>
      </c>
      <c r="Q46" s="67">
        <f>uurtarief23</f>
        <v>0</v>
      </c>
      <c r="R46" s="64" t="e">
        <f>IF(ISBLANK(N46),0,M46/ROUND(N46,4))</f>
        <v>#DIV/0!</v>
      </c>
      <c r="S46" s="64" t="e">
        <f>IF(ISBLANK(N46),0,R46*ROUND(O46,2))</f>
        <v>#DIV/0!</v>
      </c>
      <c r="T46" s="67" t="e">
        <f>ROUND(Q46,2)*R46</f>
        <v>#DIV/0!</v>
      </c>
      <c r="U46" s="64" t="e">
        <f>R46*dagenperjaar1</f>
        <v>#DIV/0!</v>
      </c>
      <c r="V46" s="68" t="e">
        <f>U46*ROUND(Q46,2)</f>
        <v>#DIV/0!</v>
      </c>
    </row>
    <row r="47" spans="1:22" x14ac:dyDescent="0.4">
      <c r="A47" s="61" t="s">
        <v>203</v>
      </c>
      <c r="B47" s="62" t="s">
        <v>204</v>
      </c>
      <c r="C47" s="62" t="s">
        <v>205</v>
      </c>
      <c r="D47" s="62" t="s">
        <v>281</v>
      </c>
      <c r="E47" s="63" t="s">
        <v>211</v>
      </c>
      <c r="F47" s="62" t="s">
        <v>256</v>
      </c>
      <c r="G47" s="62" t="s">
        <v>142</v>
      </c>
      <c r="H47" s="62" t="s">
        <v>14</v>
      </c>
      <c r="I47" s="62" t="s">
        <v>143</v>
      </c>
      <c r="J47" s="63" t="s">
        <v>144</v>
      </c>
      <c r="K47" s="62" t="s">
        <v>213</v>
      </c>
      <c r="L47" s="64">
        <v>78</v>
      </c>
      <c r="M47" s="64">
        <f>L47*VLOOKUP(H47,dagsoorttabel1,2,FALSE)</f>
        <v>33.54</v>
      </c>
      <c r="N47" s="65">
        <f>prodnorm2</f>
        <v>0</v>
      </c>
      <c r="O47" s="66">
        <f>dagwerk2</f>
        <v>0</v>
      </c>
      <c r="P47" s="62" t="s">
        <v>40</v>
      </c>
      <c r="Q47" s="67">
        <f>uurtarief2</f>
        <v>0</v>
      </c>
      <c r="R47" s="64" t="e">
        <f>IF(ISBLANK(N47),0,M47/ROUND(N47,4))</f>
        <v>#DIV/0!</v>
      </c>
      <c r="S47" s="64" t="e">
        <f>IF(ISBLANK(N47),0,R47*ROUND(O47,2))</f>
        <v>#DIV/0!</v>
      </c>
      <c r="T47" s="67" t="e">
        <f>ROUND(Q47,2)*R47</f>
        <v>#DIV/0!</v>
      </c>
      <c r="U47" s="64" t="e">
        <f>R47*dagenperjaar1</f>
        <v>#DIV/0!</v>
      </c>
      <c r="V47" s="68" t="e">
        <f>U47*ROUND(Q47,2)</f>
        <v>#DIV/0!</v>
      </c>
    </row>
    <row r="48" spans="1:22" x14ac:dyDescent="0.4">
      <c r="A48" s="61" t="s">
        <v>203</v>
      </c>
      <c r="B48" s="62" t="s">
        <v>204</v>
      </c>
      <c r="C48" s="62" t="s">
        <v>205</v>
      </c>
      <c r="D48" s="62" t="s">
        <v>282</v>
      </c>
      <c r="E48" s="63" t="s">
        <v>283</v>
      </c>
      <c r="F48" s="62" t="s">
        <v>220</v>
      </c>
      <c r="G48" s="62" t="s">
        <v>142</v>
      </c>
      <c r="H48" s="62" t="s">
        <v>14</v>
      </c>
      <c r="I48" s="62" t="s">
        <v>143</v>
      </c>
      <c r="J48" s="63" t="s">
        <v>144</v>
      </c>
      <c r="K48" s="62" t="s">
        <v>213</v>
      </c>
      <c r="L48" s="64">
        <v>20</v>
      </c>
      <c r="M48" s="64">
        <f>L48*VLOOKUP(H48,dagsoorttabel1,2,FALSE)</f>
        <v>8.6</v>
      </c>
      <c r="N48" s="65">
        <f>prodnorm2</f>
        <v>0</v>
      </c>
      <c r="O48" s="66">
        <f>dagwerk2</f>
        <v>0</v>
      </c>
      <c r="P48" s="62" t="s">
        <v>40</v>
      </c>
      <c r="Q48" s="67">
        <f>uurtarief2</f>
        <v>0</v>
      </c>
      <c r="R48" s="64" t="e">
        <f>IF(ISBLANK(N48),0,M48/ROUND(N48,4))</f>
        <v>#DIV/0!</v>
      </c>
      <c r="S48" s="64" t="e">
        <f>IF(ISBLANK(N48),0,R48*ROUND(O48,2))</f>
        <v>#DIV/0!</v>
      </c>
      <c r="T48" s="67" t="e">
        <f>ROUND(Q48,2)*R48</f>
        <v>#DIV/0!</v>
      </c>
      <c r="U48" s="64" t="e">
        <f>R48*dagenperjaar1</f>
        <v>#DIV/0!</v>
      </c>
      <c r="V48" s="68" t="e">
        <f>U48*ROUND(Q48,2)</f>
        <v>#DIV/0!</v>
      </c>
    </row>
    <row r="49" spans="1:22" x14ac:dyDescent="0.4">
      <c r="A49" s="61" t="s">
        <v>203</v>
      </c>
      <c r="B49" s="62" t="s">
        <v>204</v>
      </c>
      <c r="C49" s="62" t="s">
        <v>205</v>
      </c>
      <c r="D49" s="62" t="s">
        <v>284</v>
      </c>
      <c r="E49" s="63" t="s">
        <v>239</v>
      </c>
      <c r="F49" s="62" t="s">
        <v>220</v>
      </c>
      <c r="G49" s="62" t="s">
        <v>159</v>
      </c>
      <c r="H49" s="62" t="s">
        <v>9</v>
      </c>
      <c r="I49" s="62" t="s">
        <v>143</v>
      </c>
      <c r="J49" s="63" t="s">
        <v>160</v>
      </c>
      <c r="K49" s="62" t="s">
        <v>217</v>
      </c>
      <c r="L49" s="64">
        <v>80</v>
      </c>
      <c r="M49" s="64">
        <f>L49*VLOOKUP(H49,dagsoorttabel1,2,FALSE)</f>
        <v>86</v>
      </c>
      <c r="N49" s="65">
        <f>prodnorm11</f>
        <v>0</v>
      </c>
      <c r="O49" s="66">
        <f>dagwerk11</f>
        <v>0</v>
      </c>
      <c r="P49" s="62" t="s">
        <v>40</v>
      </c>
      <c r="Q49" s="67">
        <f>uurtarief11</f>
        <v>0</v>
      </c>
      <c r="R49" s="64" t="e">
        <f>IF(ISBLANK(N49),0,M49/ROUND(N49,4))</f>
        <v>#DIV/0!</v>
      </c>
      <c r="S49" s="64" t="e">
        <f>IF(ISBLANK(N49),0,R49*ROUND(O49,2))</f>
        <v>#DIV/0!</v>
      </c>
      <c r="T49" s="67" t="e">
        <f>ROUND(Q49,2)*R49</f>
        <v>#DIV/0!</v>
      </c>
      <c r="U49" s="64" t="e">
        <f>R49*dagenperjaar1</f>
        <v>#DIV/0!</v>
      </c>
      <c r="V49" s="68" t="e">
        <f>U49*ROUND(Q49,2)</f>
        <v>#DIV/0!</v>
      </c>
    </row>
    <row r="50" spans="1:22" x14ac:dyDescent="0.4">
      <c r="A50" s="61" t="s">
        <v>203</v>
      </c>
      <c r="B50" s="62" t="s">
        <v>204</v>
      </c>
      <c r="C50" s="62" t="s">
        <v>205</v>
      </c>
      <c r="D50" s="62" t="s">
        <v>285</v>
      </c>
      <c r="E50" s="63" t="s">
        <v>222</v>
      </c>
      <c r="F50" s="62" t="s">
        <v>256</v>
      </c>
      <c r="G50" s="62" t="s">
        <v>159</v>
      </c>
      <c r="H50" s="62" t="s">
        <v>9</v>
      </c>
      <c r="I50" s="62" t="s">
        <v>143</v>
      </c>
      <c r="J50" s="63" t="s">
        <v>160</v>
      </c>
      <c r="K50" s="62" t="s">
        <v>217</v>
      </c>
      <c r="L50" s="64">
        <v>17</v>
      </c>
      <c r="M50" s="64">
        <f>L50*VLOOKUP(H50,dagsoorttabel1,2,FALSE)</f>
        <v>18.274999999999999</v>
      </c>
      <c r="N50" s="65">
        <f>prodnorm11</f>
        <v>0</v>
      </c>
      <c r="O50" s="66">
        <f>dagwerk11</f>
        <v>0</v>
      </c>
      <c r="P50" s="62" t="s">
        <v>40</v>
      </c>
      <c r="Q50" s="67">
        <f>uurtarief11</f>
        <v>0</v>
      </c>
      <c r="R50" s="64" t="e">
        <f>IF(ISBLANK(N50),0,M50/ROUND(N50,4))</f>
        <v>#DIV/0!</v>
      </c>
      <c r="S50" s="64" t="e">
        <f>IF(ISBLANK(N50),0,R50*ROUND(O50,2))</f>
        <v>#DIV/0!</v>
      </c>
      <c r="T50" s="67" t="e">
        <f>ROUND(Q50,2)*R50</f>
        <v>#DIV/0!</v>
      </c>
      <c r="U50" s="64" t="e">
        <f>R50*dagenperjaar1</f>
        <v>#DIV/0!</v>
      </c>
      <c r="V50" s="68" t="e">
        <f>U50*ROUND(Q50,2)</f>
        <v>#DIV/0!</v>
      </c>
    </row>
    <row r="51" spans="1:22" ht="29.15" x14ac:dyDescent="0.4">
      <c r="A51" s="61" t="s">
        <v>203</v>
      </c>
      <c r="B51" s="62" t="s">
        <v>204</v>
      </c>
      <c r="C51" s="62" t="s">
        <v>205</v>
      </c>
      <c r="D51" s="62" t="s">
        <v>286</v>
      </c>
      <c r="E51" s="63" t="s">
        <v>287</v>
      </c>
      <c r="F51" s="62" t="s">
        <v>220</v>
      </c>
      <c r="G51" s="62" t="s">
        <v>142</v>
      </c>
      <c r="H51" s="62" t="s">
        <v>14</v>
      </c>
      <c r="I51" s="62" t="s">
        <v>143</v>
      </c>
      <c r="J51" s="63" t="s">
        <v>144</v>
      </c>
      <c r="K51" s="62" t="s">
        <v>213</v>
      </c>
      <c r="L51" s="64">
        <v>33</v>
      </c>
      <c r="M51" s="64">
        <f>L51*VLOOKUP(H51,dagsoorttabel1,2,FALSE)</f>
        <v>14.19</v>
      </c>
      <c r="N51" s="65">
        <f>prodnorm2</f>
        <v>0</v>
      </c>
      <c r="O51" s="66">
        <f>dagwerk2</f>
        <v>0</v>
      </c>
      <c r="P51" s="62" t="s">
        <v>40</v>
      </c>
      <c r="Q51" s="67">
        <f>uurtarief2</f>
        <v>0</v>
      </c>
      <c r="R51" s="64" t="e">
        <f>IF(ISBLANK(N51),0,M51/ROUND(N51,4))</f>
        <v>#DIV/0!</v>
      </c>
      <c r="S51" s="64" t="e">
        <f>IF(ISBLANK(N51),0,R51*ROUND(O51,2))</f>
        <v>#DIV/0!</v>
      </c>
      <c r="T51" s="67" t="e">
        <f>ROUND(Q51,2)*R51</f>
        <v>#DIV/0!</v>
      </c>
      <c r="U51" s="64" t="e">
        <f>R51*dagenperjaar1</f>
        <v>#DIV/0!</v>
      </c>
      <c r="V51" s="68" t="e">
        <f>U51*ROUND(Q51,2)</f>
        <v>#DIV/0!</v>
      </c>
    </row>
    <row r="52" spans="1:22" x14ac:dyDescent="0.4">
      <c r="A52" s="61" t="s">
        <v>203</v>
      </c>
      <c r="B52" s="62" t="s">
        <v>204</v>
      </c>
      <c r="C52" s="62" t="s">
        <v>205</v>
      </c>
      <c r="D52" s="62" t="s">
        <v>288</v>
      </c>
      <c r="E52" s="63" t="s">
        <v>222</v>
      </c>
      <c r="F52" s="62" t="s">
        <v>223</v>
      </c>
      <c r="G52" s="62" t="s">
        <v>159</v>
      </c>
      <c r="H52" s="62" t="s">
        <v>9</v>
      </c>
      <c r="I52" s="62" t="s">
        <v>143</v>
      </c>
      <c r="J52" s="63" t="s">
        <v>160</v>
      </c>
      <c r="K52" s="62" t="s">
        <v>217</v>
      </c>
      <c r="L52" s="64">
        <v>64</v>
      </c>
      <c r="M52" s="64">
        <f>L52*VLOOKUP(H52,dagsoorttabel1,2,FALSE)</f>
        <v>68.8</v>
      </c>
      <c r="N52" s="65">
        <f>prodnorm11</f>
        <v>0</v>
      </c>
      <c r="O52" s="66">
        <f>dagwerk11</f>
        <v>0</v>
      </c>
      <c r="P52" s="62" t="s">
        <v>40</v>
      </c>
      <c r="Q52" s="67">
        <f>uurtarief11</f>
        <v>0</v>
      </c>
      <c r="R52" s="64" t="e">
        <f>IF(ISBLANK(N52),0,M52/ROUND(N52,4))</f>
        <v>#DIV/0!</v>
      </c>
      <c r="S52" s="64" t="e">
        <f>IF(ISBLANK(N52),0,R52*ROUND(O52,2))</f>
        <v>#DIV/0!</v>
      </c>
      <c r="T52" s="67" t="e">
        <f>ROUND(Q52,2)*R52</f>
        <v>#DIV/0!</v>
      </c>
      <c r="U52" s="64" t="e">
        <f>R52*dagenperjaar1</f>
        <v>#DIV/0!</v>
      </c>
      <c r="V52" s="68" t="e">
        <f>U52*ROUND(Q52,2)</f>
        <v>#DIV/0!</v>
      </c>
    </row>
    <row r="53" spans="1:22" x14ac:dyDescent="0.4">
      <c r="A53" s="61" t="s">
        <v>203</v>
      </c>
      <c r="B53" s="62" t="s">
        <v>204</v>
      </c>
      <c r="C53" s="62" t="s">
        <v>205</v>
      </c>
      <c r="D53" s="62" t="s">
        <v>289</v>
      </c>
      <c r="E53" s="63" t="s">
        <v>222</v>
      </c>
      <c r="F53" s="62" t="s">
        <v>212</v>
      </c>
      <c r="G53" s="62" t="s">
        <v>161</v>
      </c>
      <c r="H53" s="62" t="s">
        <v>9</v>
      </c>
      <c r="I53" s="62" t="s">
        <v>143</v>
      </c>
      <c r="J53" s="63" t="s">
        <v>162</v>
      </c>
      <c r="K53" s="62" t="s">
        <v>217</v>
      </c>
      <c r="L53" s="64">
        <v>64</v>
      </c>
      <c r="M53" s="64">
        <f>L53*VLOOKUP(H53,dagsoorttabel1,2,FALSE)</f>
        <v>68.8</v>
      </c>
      <c r="N53" s="65">
        <f>prodnorm12</f>
        <v>0</v>
      </c>
      <c r="O53" s="66">
        <f>dagwerk12</f>
        <v>0</v>
      </c>
      <c r="P53" s="62" t="s">
        <v>40</v>
      </c>
      <c r="Q53" s="67">
        <f>uurtarief12</f>
        <v>0</v>
      </c>
      <c r="R53" s="64" t="e">
        <f>IF(ISBLANK(N53),0,M53/ROUND(N53,4))</f>
        <v>#DIV/0!</v>
      </c>
      <c r="S53" s="64" t="e">
        <f>IF(ISBLANK(N53),0,R53*ROUND(O53,2))</f>
        <v>#DIV/0!</v>
      </c>
      <c r="T53" s="67" t="e">
        <f>ROUND(Q53,2)*R53</f>
        <v>#DIV/0!</v>
      </c>
      <c r="U53" s="64" t="e">
        <f>R53*dagenperjaar1</f>
        <v>#DIV/0!</v>
      </c>
      <c r="V53" s="68" t="e">
        <f>U53*ROUND(Q53,2)</f>
        <v>#DIV/0!</v>
      </c>
    </row>
    <row r="54" spans="1:22" x14ac:dyDescent="0.4">
      <c r="A54" s="61" t="s">
        <v>203</v>
      </c>
      <c r="B54" s="62" t="s">
        <v>204</v>
      </c>
      <c r="C54" s="62" t="s">
        <v>205</v>
      </c>
      <c r="D54" s="62" t="s">
        <v>290</v>
      </c>
      <c r="E54" s="63" t="s">
        <v>291</v>
      </c>
      <c r="F54" s="62" t="s">
        <v>212</v>
      </c>
      <c r="G54" s="62" t="s">
        <v>161</v>
      </c>
      <c r="H54" s="62" t="s">
        <v>14</v>
      </c>
      <c r="I54" s="62" t="s">
        <v>143</v>
      </c>
      <c r="J54" s="63" t="s">
        <v>162</v>
      </c>
      <c r="K54" s="62" t="s">
        <v>217</v>
      </c>
      <c r="L54" s="64">
        <v>96</v>
      </c>
      <c r="M54" s="64">
        <f>L54*VLOOKUP(H54,dagsoorttabel1,2,FALSE)</f>
        <v>41.28</v>
      </c>
      <c r="N54" s="65">
        <f>prodnorm13</f>
        <v>0</v>
      </c>
      <c r="O54" s="66">
        <f>dagwerk13</f>
        <v>0</v>
      </c>
      <c r="P54" s="62" t="s">
        <v>40</v>
      </c>
      <c r="Q54" s="67">
        <f>uurtarief13</f>
        <v>0</v>
      </c>
      <c r="R54" s="64" t="e">
        <f>IF(ISBLANK(N54),0,M54/ROUND(N54,4))</f>
        <v>#DIV/0!</v>
      </c>
      <c r="S54" s="64" t="e">
        <f>IF(ISBLANK(N54),0,R54*ROUND(O54,2))</f>
        <v>#DIV/0!</v>
      </c>
      <c r="T54" s="67" t="e">
        <f>ROUND(Q54,2)*R54</f>
        <v>#DIV/0!</v>
      </c>
      <c r="U54" s="64" t="e">
        <f>R54*dagenperjaar1</f>
        <v>#DIV/0!</v>
      </c>
      <c r="V54" s="68" t="e">
        <f>U54*ROUND(Q54,2)</f>
        <v>#DIV/0!</v>
      </c>
    </row>
    <row r="55" spans="1:22" x14ac:dyDescent="0.4">
      <c r="A55" s="61" t="s">
        <v>203</v>
      </c>
      <c r="B55" s="62" t="s">
        <v>204</v>
      </c>
      <c r="C55" s="62" t="s">
        <v>205</v>
      </c>
      <c r="D55" s="62" t="s">
        <v>292</v>
      </c>
      <c r="E55" s="63" t="s">
        <v>293</v>
      </c>
      <c r="F55" s="62" t="s">
        <v>212</v>
      </c>
      <c r="G55" s="62" t="s">
        <v>161</v>
      </c>
      <c r="H55" s="62" t="s">
        <v>14</v>
      </c>
      <c r="I55" s="62" t="s">
        <v>143</v>
      </c>
      <c r="J55" s="63" t="s">
        <v>162</v>
      </c>
      <c r="K55" s="62" t="s">
        <v>217</v>
      </c>
      <c r="L55" s="64">
        <v>22</v>
      </c>
      <c r="M55" s="64">
        <f>L55*VLOOKUP(H55,dagsoorttabel1,2,FALSE)</f>
        <v>9.4599999999999991</v>
      </c>
      <c r="N55" s="65">
        <f>prodnorm13</f>
        <v>0</v>
      </c>
      <c r="O55" s="66">
        <f>dagwerk13</f>
        <v>0</v>
      </c>
      <c r="P55" s="62" t="s">
        <v>40</v>
      </c>
      <c r="Q55" s="67">
        <f>uurtarief13</f>
        <v>0</v>
      </c>
      <c r="R55" s="64" t="e">
        <f>IF(ISBLANK(N55),0,M55/ROUND(N55,4))</f>
        <v>#DIV/0!</v>
      </c>
      <c r="S55" s="64" t="e">
        <f>IF(ISBLANK(N55),0,R55*ROUND(O55,2))</f>
        <v>#DIV/0!</v>
      </c>
      <c r="T55" s="67" t="e">
        <f>ROUND(Q55,2)*R55</f>
        <v>#DIV/0!</v>
      </c>
      <c r="U55" s="64" t="e">
        <f>R55*dagenperjaar1</f>
        <v>#DIV/0!</v>
      </c>
      <c r="V55" s="68" t="e">
        <f>U55*ROUND(Q55,2)</f>
        <v>#DIV/0!</v>
      </c>
    </row>
    <row r="56" spans="1:22" x14ac:dyDescent="0.4">
      <c r="A56" s="61" t="s">
        <v>203</v>
      </c>
      <c r="B56" s="62" t="s">
        <v>204</v>
      </c>
      <c r="C56" s="62" t="s">
        <v>205</v>
      </c>
      <c r="D56" s="62" t="s">
        <v>294</v>
      </c>
      <c r="E56" s="63" t="s">
        <v>211</v>
      </c>
      <c r="F56" s="62" t="s">
        <v>212</v>
      </c>
      <c r="G56" s="62" t="s">
        <v>145</v>
      </c>
      <c r="H56" s="62" t="s">
        <v>14</v>
      </c>
      <c r="I56" s="62" t="s">
        <v>143</v>
      </c>
      <c r="J56" s="63" t="s">
        <v>146</v>
      </c>
      <c r="K56" s="62" t="s">
        <v>213</v>
      </c>
      <c r="L56" s="64">
        <v>18</v>
      </c>
      <c r="M56" s="64">
        <f>L56*VLOOKUP(H56,dagsoorttabel1,2,FALSE)</f>
        <v>7.74</v>
      </c>
      <c r="N56" s="65">
        <f>prodnorm4</f>
        <v>0</v>
      </c>
      <c r="O56" s="66">
        <f>dagwerk4</f>
        <v>0</v>
      </c>
      <c r="P56" s="62" t="s">
        <v>40</v>
      </c>
      <c r="Q56" s="67">
        <f>uurtarief4</f>
        <v>0</v>
      </c>
      <c r="R56" s="64" t="e">
        <f>IF(ISBLANK(N56),0,M56/ROUND(N56,4))</f>
        <v>#DIV/0!</v>
      </c>
      <c r="S56" s="64" t="e">
        <f>IF(ISBLANK(N56),0,R56*ROUND(O56,2))</f>
        <v>#DIV/0!</v>
      </c>
      <c r="T56" s="67" t="e">
        <f>ROUND(Q56,2)*R56</f>
        <v>#DIV/0!</v>
      </c>
      <c r="U56" s="64" t="e">
        <f>R56*dagenperjaar1</f>
        <v>#DIV/0!</v>
      </c>
      <c r="V56" s="68" t="e">
        <f>U56*ROUND(Q56,2)</f>
        <v>#DIV/0!</v>
      </c>
    </row>
    <row r="57" spans="1:22" x14ac:dyDescent="0.4">
      <c r="A57" s="61" t="s">
        <v>203</v>
      </c>
      <c r="B57" s="62" t="s">
        <v>204</v>
      </c>
      <c r="C57" s="62" t="s">
        <v>205</v>
      </c>
      <c r="D57" s="62" t="s">
        <v>295</v>
      </c>
      <c r="E57" s="63" t="s">
        <v>211</v>
      </c>
      <c r="F57" s="62" t="s">
        <v>212</v>
      </c>
      <c r="G57" s="62" t="s">
        <v>145</v>
      </c>
      <c r="H57" s="62" t="s">
        <v>14</v>
      </c>
      <c r="I57" s="62" t="s">
        <v>143</v>
      </c>
      <c r="J57" s="63" t="s">
        <v>146</v>
      </c>
      <c r="K57" s="62" t="s">
        <v>213</v>
      </c>
      <c r="L57" s="64">
        <v>8</v>
      </c>
      <c r="M57" s="64">
        <f>L57*VLOOKUP(H57,dagsoorttabel1,2,FALSE)</f>
        <v>3.44</v>
      </c>
      <c r="N57" s="65">
        <f>prodnorm4</f>
        <v>0</v>
      </c>
      <c r="O57" s="66">
        <f>dagwerk4</f>
        <v>0</v>
      </c>
      <c r="P57" s="62" t="s">
        <v>40</v>
      </c>
      <c r="Q57" s="67">
        <f>uurtarief4</f>
        <v>0</v>
      </c>
      <c r="R57" s="64" t="e">
        <f>IF(ISBLANK(N57),0,M57/ROUND(N57,4))</f>
        <v>#DIV/0!</v>
      </c>
      <c r="S57" s="64" t="e">
        <f>IF(ISBLANK(N57),0,R57*ROUND(O57,2))</f>
        <v>#DIV/0!</v>
      </c>
      <c r="T57" s="67" t="e">
        <f>ROUND(Q57,2)*R57</f>
        <v>#DIV/0!</v>
      </c>
      <c r="U57" s="64" t="e">
        <f>R57*dagenperjaar1</f>
        <v>#DIV/0!</v>
      </c>
      <c r="V57" s="68" t="e">
        <f>U57*ROUND(Q57,2)</f>
        <v>#DIV/0!</v>
      </c>
    </row>
    <row r="58" spans="1:22" x14ac:dyDescent="0.4">
      <c r="A58" s="61" t="s">
        <v>203</v>
      </c>
      <c r="B58" s="62" t="s">
        <v>204</v>
      </c>
      <c r="C58" s="62" t="s">
        <v>205</v>
      </c>
      <c r="D58" s="62" t="s">
        <v>296</v>
      </c>
      <c r="E58" s="63" t="s">
        <v>211</v>
      </c>
      <c r="F58" s="62" t="s">
        <v>212</v>
      </c>
      <c r="G58" s="62" t="s">
        <v>145</v>
      </c>
      <c r="H58" s="62" t="s">
        <v>14</v>
      </c>
      <c r="I58" s="62" t="s">
        <v>143</v>
      </c>
      <c r="J58" s="63" t="s">
        <v>146</v>
      </c>
      <c r="K58" s="62" t="s">
        <v>213</v>
      </c>
      <c r="L58" s="64">
        <v>8</v>
      </c>
      <c r="M58" s="64">
        <f>L58*VLOOKUP(H58,dagsoorttabel1,2,FALSE)</f>
        <v>3.44</v>
      </c>
      <c r="N58" s="65">
        <f>prodnorm4</f>
        <v>0</v>
      </c>
      <c r="O58" s="66">
        <f>dagwerk4</f>
        <v>0</v>
      </c>
      <c r="P58" s="62" t="s">
        <v>40</v>
      </c>
      <c r="Q58" s="67">
        <f>uurtarief4</f>
        <v>0</v>
      </c>
      <c r="R58" s="64" t="e">
        <f>IF(ISBLANK(N58),0,M58/ROUND(N58,4))</f>
        <v>#DIV/0!</v>
      </c>
      <c r="S58" s="64" t="e">
        <f>IF(ISBLANK(N58),0,R58*ROUND(O58,2))</f>
        <v>#DIV/0!</v>
      </c>
      <c r="T58" s="67" t="e">
        <f>ROUND(Q58,2)*R58</f>
        <v>#DIV/0!</v>
      </c>
      <c r="U58" s="64" t="e">
        <f>R58*dagenperjaar1</f>
        <v>#DIV/0!</v>
      </c>
      <c r="V58" s="68" t="e">
        <f>U58*ROUND(Q58,2)</f>
        <v>#DIV/0!</v>
      </c>
    </row>
    <row r="59" spans="1:22" x14ac:dyDescent="0.4">
      <c r="A59" s="61" t="s">
        <v>203</v>
      </c>
      <c r="B59" s="62" t="s">
        <v>204</v>
      </c>
      <c r="C59" s="62" t="s">
        <v>205</v>
      </c>
      <c r="D59" s="62" t="s">
        <v>297</v>
      </c>
      <c r="E59" s="63" t="s">
        <v>211</v>
      </c>
      <c r="F59" s="62" t="s">
        <v>212</v>
      </c>
      <c r="G59" s="62" t="s">
        <v>145</v>
      </c>
      <c r="H59" s="62" t="s">
        <v>14</v>
      </c>
      <c r="I59" s="62" t="s">
        <v>143</v>
      </c>
      <c r="J59" s="63" t="s">
        <v>146</v>
      </c>
      <c r="K59" s="62" t="s">
        <v>213</v>
      </c>
      <c r="L59" s="64">
        <v>13</v>
      </c>
      <c r="M59" s="64">
        <f>L59*VLOOKUP(H59,dagsoorttabel1,2,FALSE)</f>
        <v>5.59</v>
      </c>
      <c r="N59" s="65">
        <f>prodnorm4</f>
        <v>0</v>
      </c>
      <c r="O59" s="66">
        <f>dagwerk4</f>
        <v>0</v>
      </c>
      <c r="P59" s="62" t="s">
        <v>40</v>
      </c>
      <c r="Q59" s="67">
        <f>uurtarief4</f>
        <v>0</v>
      </c>
      <c r="R59" s="64" t="e">
        <f>IF(ISBLANK(N59),0,M59/ROUND(N59,4))</f>
        <v>#DIV/0!</v>
      </c>
      <c r="S59" s="64" t="e">
        <f>IF(ISBLANK(N59),0,R59*ROUND(O59,2))</f>
        <v>#DIV/0!</v>
      </c>
      <c r="T59" s="67" t="e">
        <f>ROUND(Q59,2)*R59</f>
        <v>#DIV/0!</v>
      </c>
      <c r="U59" s="64" t="e">
        <f>R59*dagenperjaar1</f>
        <v>#DIV/0!</v>
      </c>
      <c r="V59" s="68" t="e">
        <f>U59*ROUND(Q59,2)</f>
        <v>#DIV/0!</v>
      </c>
    </row>
    <row r="60" spans="1:22" x14ac:dyDescent="0.4">
      <c r="A60" s="61" t="s">
        <v>203</v>
      </c>
      <c r="B60" s="62" t="s">
        <v>204</v>
      </c>
      <c r="C60" s="62" t="s">
        <v>205</v>
      </c>
      <c r="D60" s="62" t="s">
        <v>298</v>
      </c>
      <c r="E60" s="63" t="s">
        <v>222</v>
      </c>
      <c r="F60" s="62" t="s">
        <v>223</v>
      </c>
      <c r="G60" s="62" t="s">
        <v>159</v>
      </c>
      <c r="H60" s="62" t="s">
        <v>9</v>
      </c>
      <c r="I60" s="62" t="s">
        <v>143</v>
      </c>
      <c r="J60" s="63" t="s">
        <v>160</v>
      </c>
      <c r="K60" s="62" t="s">
        <v>217</v>
      </c>
      <c r="L60" s="64">
        <v>52</v>
      </c>
      <c r="M60" s="64">
        <f>L60*VLOOKUP(H60,dagsoorttabel1,2,FALSE)</f>
        <v>55.9</v>
      </c>
      <c r="N60" s="65">
        <f>prodnorm11</f>
        <v>0</v>
      </c>
      <c r="O60" s="66">
        <f>dagwerk11</f>
        <v>0</v>
      </c>
      <c r="P60" s="62" t="s">
        <v>40</v>
      </c>
      <c r="Q60" s="67">
        <f>uurtarief11</f>
        <v>0</v>
      </c>
      <c r="R60" s="64" t="e">
        <f>IF(ISBLANK(N60),0,M60/ROUND(N60,4))</f>
        <v>#DIV/0!</v>
      </c>
      <c r="S60" s="64" t="e">
        <f>IF(ISBLANK(N60),0,R60*ROUND(O60,2))</f>
        <v>#DIV/0!</v>
      </c>
      <c r="T60" s="67" t="e">
        <f>ROUND(Q60,2)*R60</f>
        <v>#DIV/0!</v>
      </c>
      <c r="U60" s="64" t="e">
        <f>R60*dagenperjaar1</f>
        <v>#DIV/0!</v>
      </c>
      <c r="V60" s="68" t="e">
        <f>U60*ROUND(Q60,2)</f>
        <v>#DIV/0!</v>
      </c>
    </row>
    <row r="61" spans="1:22" x14ac:dyDescent="0.4">
      <c r="A61" s="61" t="s">
        <v>203</v>
      </c>
      <c r="B61" s="62" t="s">
        <v>204</v>
      </c>
      <c r="C61" s="62" t="s">
        <v>205</v>
      </c>
      <c r="D61" s="62" t="s">
        <v>299</v>
      </c>
      <c r="E61" s="63" t="s">
        <v>222</v>
      </c>
      <c r="F61" s="62" t="s">
        <v>223</v>
      </c>
      <c r="G61" s="62" t="s">
        <v>159</v>
      </c>
      <c r="H61" s="62" t="s">
        <v>9</v>
      </c>
      <c r="I61" s="62" t="s">
        <v>143</v>
      </c>
      <c r="J61" s="63" t="s">
        <v>160</v>
      </c>
      <c r="K61" s="62" t="s">
        <v>217</v>
      </c>
      <c r="L61" s="64">
        <v>52</v>
      </c>
      <c r="M61" s="64">
        <f>L61*VLOOKUP(H61,dagsoorttabel1,2,FALSE)</f>
        <v>55.9</v>
      </c>
      <c r="N61" s="65">
        <f>prodnorm11</f>
        <v>0</v>
      </c>
      <c r="O61" s="66">
        <f>dagwerk11</f>
        <v>0</v>
      </c>
      <c r="P61" s="62" t="s">
        <v>40</v>
      </c>
      <c r="Q61" s="67">
        <f>uurtarief11</f>
        <v>0</v>
      </c>
      <c r="R61" s="64" t="e">
        <f>IF(ISBLANK(N61),0,M61/ROUND(N61,4))</f>
        <v>#DIV/0!</v>
      </c>
      <c r="S61" s="64" t="e">
        <f>IF(ISBLANK(N61),0,R61*ROUND(O61,2))</f>
        <v>#DIV/0!</v>
      </c>
      <c r="T61" s="67" t="e">
        <f>ROUND(Q61,2)*R61</f>
        <v>#DIV/0!</v>
      </c>
      <c r="U61" s="64" t="e">
        <f>R61*dagenperjaar1</f>
        <v>#DIV/0!</v>
      </c>
      <c r="V61" s="68" t="e">
        <f>U61*ROUND(Q61,2)</f>
        <v>#DIV/0!</v>
      </c>
    </row>
    <row r="62" spans="1:22" x14ac:dyDescent="0.4">
      <c r="A62" s="61" t="s">
        <v>203</v>
      </c>
      <c r="B62" s="62" t="s">
        <v>204</v>
      </c>
      <c r="C62" s="62" t="s">
        <v>205</v>
      </c>
      <c r="D62" s="62" t="s">
        <v>300</v>
      </c>
      <c r="E62" s="63" t="s">
        <v>222</v>
      </c>
      <c r="F62" s="62" t="s">
        <v>223</v>
      </c>
      <c r="G62" s="62" t="s">
        <v>159</v>
      </c>
      <c r="H62" s="62" t="s">
        <v>9</v>
      </c>
      <c r="I62" s="62" t="s">
        <v>143</v>
      </c>
      <c r="J62" s="63" t="s">
        <v>160</v>
      </c>
      <c r="K62" s="62" t="s">
        <v>217</v>
      </c>
      <c r="L62" s="64">
        <v>52</v>
      </c>
      <c r="M62" s="64">
        <f>L62*VLOOKUP(H62,dagsoorttabel1,2,FALSE)</f>
        <v>55.9</v>
      </c>
      <c r="N62" s="65">
        <f>prodnorm11</f>
        <v>0</v>
      </c>
      <c r="O62" s="66">
        <f>dagwerk11</f>
        <v>0</v>
      </c>
      <c r="P62" s="62" t="s">
        <v>40</v>
      </c>
      <c r="Q62" s="67">
        <f>uurtarief11</f>
        <v>0</v>
      </c>
      <c r="R62" s="64" t="e">
        <f>IF(ISBLANK(N62),0,M62/ROUND(N62,4))</f>
        <v>#DIV/0!</v>
      </c>
      <c r="S62" s="64" t="e">
        <f>IF(ISBLANK(N62),0,R62*ROUND(O62,2))</f>
        <v>#DIV/0!</v>
      </c>
      <c r="T62" s="67" t="e">
        <f>ROUND(Q62,2)*R62</f>
        <v>#DIV/0!</v>
      </c>
      <c r="U62" s="64" t="e">
        <f>R62*dagenperjaar1</f>
        <v>#DIV/0!</v>
      </c>
      <c r="V62" s="68" t="e">
        <f>U62*ROUND(Q62,2)</f>
        <v>#DIV/0!</v>
      </c>
    </row>
    <row r="63" spans="1:22" x14ac:dyDescent="0.4">
      <c r="A63" s="61" t="s">
        <v>203</v>
      </c>
      <c r="B63" s="62" t="s">
        <v>204</v>
      </c>
      <c r="C63" s="62" t="s">
        <v>205</v>
      </c>
      <c r="D63" s="62" t="s">
        <v>301</v>
      </c>
      <c r="E63" s="63" t="s">
        <v>302</v>
      </c>
      <c r="F63" s="62" t="s">
        <v>212</v>
      </c>
      <c r="G63" s="62" t="s">
        <v>145</v>
      </c>
      <c r="H63" s="62" t="s">
        <v>14</v>
      </c>
      <c r="I63" s="62" t="s">
        <v>143</v>
      </c>
      <c r="J63" s="63" t="s">
        <v>146</v>
      </c>
      <c r="K63" s="62" t="s">
        <v>213</v>
      </c>
      <c r="L63" s="64">
        <v>38</v>
      </c>
      <c r="M63" s="64">
        <f>L63*VLOOKUP(H63,dagsoorttabel1,2,FALSE)</f>
        <v>16.34</v>
      </c>
      <c r="N63" s="65">
        <f>prodnorm4</f>
        <v>0</v>
      </c>
      <c r="O63" s="66">
        <f>dagwerk4</f>
        <v>0</v>
      </c>
      <c r="P63" s="62" t="s">
        <v>40</v>
      </c>
      <c r="Q63" s="67">
        <f>uurtarief4</f>
        <v>0</v>
      </c>
      <c r="R63" s="64" t="e">
        <f>IF(ISBLANK(N63),0,M63/ROUND(N63,4))</f>
        <v>#DIV/0!</v>
      </c>
      <c r="S63" s="64" t="e">
        <f>IF(ISBLANK(N63),0,R63*ROUND(O63,2))</f>
        <v>#DIV/0!</v>
      </c>
      <c r="T63" s="67" t="e">
        <f>ROUND(Q63,2)*R63</f>
        <v>#DIV/0!</v>
      </c>
      <c r="U63" s="64" t="e">
        <f>R63*dagenperjaar1</f>
        <v>#DIV/0!</v>
      </c>
      <c r="V63" s="68" t="e">
        <f>U63*ROUND(Q63,2)</f>
        <v>#DIV/0!</v>
      </c>
    </row>
    <row r="64" spans="1:22" x14ac:dyDescent="0.4">
      <c r="A64" s="61" t="s">
        <v>203</v>
      </c>
      <c r="B64" s="62" t="s">
        <v>204</v>
      </c>
      <c r="C64" s="62" t="s">
        <v>205</v>
      </c>
      <c r="D64" s="62" t="s">
        <v>303</v>
      </c>
      <c r="E64" s="63" t="s">
        <v>304</v>
      </c>
      <c r="F64" s="62" t="s">
        <v>256</v>
      </c>
      <c r="G64" s="62" t="s">
        <v>187</v>
      </c>
      <c r="H64" s="62" t="s">
        <v>9</v>
      </c>
      <c r="I64" s="62" t="s">
        <v>143</v>
      </c>
      <c r="J64" s="63" t="s">
        <v>188</v>
      </c>
      <c r="K64" s="62" t="s">
        <v>244</v>
      </c>
      <c r="L64" s="64">
        <v>40</v>
      </c>
      <c r="M64" s="64">
        <f>L64*VLOOKUP(H64,dagsoorttabel1,2,FALSE)</f>
        <v>43</v>
      </c>
      <c r="N64" s="65">
        <f>prodnorm30</f>
        <v>0</v>
      </c>
      <c r="O64" s="66">
        <f>dagwerk30</f>
        <v>0</v>
      </c>
      <c r="P64" s="62" t="s">
        <v>40</v>
      </c>
      <c r="Q64" s="67">
        <f>uurtarief30</f>
        <v>0</v>
      </c>
      <c r="R64" s="64" t="e">
        <f>IF(ISBLANK(N64),0,M64/ROUND(N64,4))</f>
        <v>#DIV/0!</v>
      </c>
      <c r="S64" s="64" t="e">
        <f>IF(ISBLANK(N64),0,R64*ROUND(O64,2))</f>
        <v>#DIV/0!</v>
      </c>
      <c r="T64" s="67" t="e">
        <f>ROUND(Q64,2)*R64</f>
        <v>#DIV/0!</v>
      </c>
      <c r="U64" s="64" t="e">
        <f>R64*dagenperjaar1</f>
        <v>#DIV/0!</v>
      </c>
      <c r="V64" s="68" t="e">
        <f>U64*ROUND(Q64,2)</f>
        <v>#DIV/0!</v>
      </c>
    </row>
    <row r="65" spans="1:22" x14ac:dyDescent="0.4">
      <c r="A65" s="61" t="s">
        <v>203</v>
      </c>
      <c r="B65" s="62" t="s">
        <v>204</v>
      </c>
      <c r="C65" s="62" t="s">
        <v>205</v>
      </c>
      <c r="D65" s="62" t="s">
        <v>305</v>
      </c>
      <c r="E65" s="63" t="s">
        <v>304</v>
      </c>
      <c r="F65" s="62" t="s">
        <v>256</v>
      </c>
      <c r="G65" s="62" t="s">
        <v>187</v>
      </c>
      <c r="H65" s="62" t="s">
        <v>9</v>
      </c>
      <c r="I65" s="62" t="s">
        <v>143</v>
      </c>
      <c r="J65" s="63" t="s">
        <v>188</v>
      </c>
      <c r="K65" s="62" t="s">
        <v>244</v>
      </c>
      <c r="L65" s="64">
        <v>36</v>
      </c>
      <c r="M65" s="64">
        <f>L65*VLOOKUP(H65,dagsoorttabel1,2,FALSE)</f>
        <v>38.699999999999996</v>
      </c>
      <c r="N65" s="65">
        <f>prodnorm30</f>
        <v>0</v>
      </c>
      <c r="O65" s="66">
        <f>dagwerk30</f>
        <v>0</v>
      </c>
      <c r="P65" s="62" t="s">
        <v>40</v>
      </c>
      <c r="Q65" s="67">
        <f>uurtarief30</f>
        <v>0</v>
      </c>
      <c r="R65" s="64" t="e">
        <f>IF(ISBLANK(N65),0,M65/ROUND(N65,4))</f>
        <v>#DIV/0!</v>
      </c>
      <c r="S65" s="64" t="e">
        <f>IF(ISBLANK(N65),0,R65*ROUND(O65,2))</f>
        <v>#DIV/0!</v>
      </c>
      <c r="T65" s="67" t="e">
        <f>ROUND(Q65,2)*R65</f>
        <v>#DIV/0!</v>
      </c>
      <c r="U65" s="64" t="e">
        <f>R65*dagenperjaar1</f>
        <v>#DIV/0!</v>
      </c>
      <c r="V65" s="68" t="e">
        <f>U65*ROUND(Q65,2)</f>
        <v>#DIV/0!</v>
      </c>
    </row>
    <row r="66" spans="1:22" x14ac:dyDescent="0.4">
      <c r="A66" s="61" t="s">
        <v>203</v>
      </c>
      <c r="B66" s="62" t="s">
        <v>204</v>
      </c>
      <c r="C66" s="62" t="s">
        <v>205</v>
      </c>
      <c r="D66" s="62" t="s">
        <v>306</v>
      </c>
      <c r="E66" s="63" t="s">
        <v>304</v>
      </c>
      <c r="F66" s="62" t="s">
        <v>256</v>
      </c>
      <c r="G66" s="62" t="s">
        <v>187</v>
      </c>
      <c r="H66" s="62" t="s">
        <v>9</v>
      </c>
      <c r="I66" s="62" t="s">
        <v>143</v>
      </c>
      <c r="J66" s="63" t="s">
        <v>188</v>
      </c>
      <c r="K66" s="62" t="s">
        <v>244</v>
      </c>
      <c r="L66" s="64">
        <v>40</v>
      </c>
      <c r="M66" s="64">
        <f>L66*VLOOKUP(H66,dagsoorttabel1,2,FALSE)</f>
        <v>43</v>
      </c>
      <c r="N66" s="65">
        <f>prodnorm30</f>
        <v>0</v>
      </c>
      <c r="O66" s="66">
        <f>dagwerk30</f>
        <v>0</v>
      </c>
      <c r="P66" s="62" t="s">
        <v>40</v>
      </c>
      <c r="Q66" s="67">
        <f>uurtarief30</f>
        <v>0</v>
      </c>
      <c r="R66" s="64" t="e">
        <f>IF(ISBLANK(N66),0,M66/ROUND(N66,4))</f>
        <v>#DIV/0!</v>
      </c>
      <c r="S66" s="64" t="e">
        <f>IF(ISBLANK(N66),0,R66*ROUND(O66,2))</f>
        <v>#DIV/0!</v>
      </c>
      <c r="T66" s="67" t="e">
        <f>ROUND(Q66,2)*R66</f>
        <v>#DIV/0!</v>
      </c>
      <c r="U66" s="64" t="e">
        <f>R66*dagenperjaar1</f>
        <v>#DIV/0!</v>
      </c>
      <c r="V66" s="68" t="e">
        <f>U66*ROUND(Q66,2)</f>
        <v>#DIV/0!</v>
      </c>
    </row>
    <row r="67" spans="1:22" x14ac:dyDescent="0.4">
      <c r="A67" s="61" t="s">
        <v>203</v>
      </c>
      <c r="B67" s="62" t="s">
        <v>204</v>
      </c>
      <c r="C67" s="62" t="s">
        <v>205</v>
      </c>
      <c r="D67" s="62" t="s">
        <v>307</v>
      </c>
      <c r="E67" s="63" t="s">
        <v>304</v>
      </c>
      <c r="F67" s="62" t="s">
        <v>256</v>
      </c>
      <c r="G67" s="62" t="s">
        <v>187</v>
      </c>
      <c r="H67" s="62" t="s">
        <v>9</v>
      </c>
      <c r="I67" s="62" t="s">
        <v>143</v>
      </c>
      <c r="J67" s="63" t="s">
        <v>188</v>
      </c>
      <c r="K67" s="62" t="s">
        <v>244</v>
      </c>
      <c r="L67" s="64">
        <v>40</v>
      </c>
      <c r="M67" s="64">
        <f>L67*VLOOKUP(H67,dagsoorttabel1,2,FALSE)</f>
        <v>43</v>
      </c>
      <c r="N67" s="65">
        <f>prodnorm30</f>
        <v>0</v>
      </c>
      <c r="O67" s="66">
        <f>dagwerk30</f>
        <v>0</v>
      </c>
      <c r="P67" s="62" t="s">
        <v>40</v>
      </c>
      <c r="Q67" s="67">
        <f>uurtarief30</f>
        <v>0</v>
      </c>
      <c r="R67" s="64" t="e">
        <f>IF(ISBLANK(N67),0,M67/ROUND(N67,4))</f>
        <v>#DIV/0!</v>
      </c>
      <c r="S67" s="64" t="e">
        <f>IF(ISBLANK(N67),0,R67*ROUND(O67,2))</f>
        <v>#DIV/0!</v>
      </c>
      <c r="T67" s="67" t="e">
        <f>ROUND(Q67,2)*R67</f>
        <v>#DIV/0!</v>
      </c>
      <c r="U67" s="64" t="e">
        <f>R67*dagenperjaar1</f>
        <v>#DIV/0!</v>
      </c>
      <c r="V67" s="68" t="e">
        <f>U67*ROUND(Q67,2)</f>
        <v>#DIV/0!</v>
      </c>
    </row>
    <row r="68" spans="1:22" x14ac:dyDescent="0.4">
      <c r="A68" s="61" t="s">
        <v>203</v>
      </c>
      <c r="B68" s="62" t="s">
        <v>204</v>
      </c>
      <c r="C68" s="62" t="s">
        <v>205</v>
      </c>
      <c r="D68" s="62" t="s">
        <v>308</v>
      </c>
      <c r="E68" s="63" t="s">
        <v>207</v>
      </c>
      <c r="F68" s="62" t="s">
        <v>280</v>
      </c>
      <c r="G68" s="62" t="s">
        <v>177</v>
      </c>
      <c r="H68" s="62" t="s">
        <v>9</v>
      </c>
      <c r="I68" s="62" t="s">
        <v>143</v>
      </c>
      <c r="J68" s="63" t="s">
        <v>178</v>
      </c>
      <c r="K68" s="62" t="s">
        <v>209</v>
      </c>
      <c r="L68" s="64">
        <v>16</v>
      </c>
      <c r="M68" s="64">
        <f>L68*VLOOKUP(H68,dagsoorttabel1,2,FALSE)</f>
        <v>17.2</v>
      </c>
      <c r="N68" s="65">
        <f>prodnorm23</f>
        <v>0</v>
      </c>
      <c r="O68" s="66">
        <f>dagwerk23</f>
        <v>0</v>
      </c>
      <c r="P68" s="62" t="s">
        <v>40</v>
      </c>
      <c r="Q68" s="67">
        <f>uurtarief23</f>
        <v>0</v>
      </c>
      <c r="R68" s="64" t="e">
        <f>IF(ISBLANK(N68),0,M68/ROUND(N68,4))</f>
        <v>#DIV/0!</v>
      </c>
      <c r="S68" s="64" t="e">
        <f>IF(ISBLANK(N68),0,R68*ROUND(O68,2))</f>
        <v>#DIV/0!</v>
      </c>
      <c r="T68" s="67" t="e">
        <f>ROUND(Q68,2)*R68</f>
        <v>#DIV/0!</v>
      </c>
      <c r="U68" s="64" t="e">
        <f>R68*dagenperjaar1</f>
        <v>#DIV/0!</v>
      </c>
      <c r="V68" s="68" t="e">
        <f>U68*ROUND(Q68,2)</f>
        <v>#DIV/0!</v>
      </c>
    </row>
    <row r="69" spans="1:22" x14ac:dyDescent="0.4">
      <c r="A69" s="61" t="s">
        <v>203</v>
      </c>
      <c r="B69" s="62" t="s">
        <v>204</v>
      </c>
      <c r="C69" s="62" t="s">
        <v>205</v>
      </c>
      <c r="D69" s="62" t="s">
        <v>308</v>
      </c>
      <c r="E69" s="63" t="s">
        <v>207</v>
      </c>
      <c r="F69" s="62" t="s">
        <v>280</v>
      </c>
      <c r="G69" s="62" t="s">
        <v>177</v>
      </c>
      <c r="H69" s="62" t="s">
        <v>9</v>
      </c>
      <c r="I69" s="62" t="s">
        <v>143</v>
      </c>
      <c r="J69" s="63" t="s">
        <v>178</v>
      </c>
      <c r="K69" s="62" t="s">
        <v>209</v>
      </c>
      <c r="L69" s="64">
        <v>16</v>
      </c>
      <c r="M69" s="64">
        <f>L69*VLOOKUP(H69,dagsoorttabel1,2,FALSE)</f>
        <v>17.2</v>
      </c>
      <c r="N69" s="65">
        <f>prodnorm23</f>
        <v>0</v>
      </c>
      <c r="O69" s="66">
        <f>dagwerk23</f>
        <v>0</v>
      </c>
      <c r="P69" s="62" t="s">
        <v>40</v>
      </c>
      <c r="Q69" s="67">
        <f>uurtarief23</f>
        <v>0</v>
      </c>
      <c r="R69" s="64" t="e">
        <f>IF(ISBLANK(N69),0,M69/ROUND(N69,4))</f>
        <v>#DIV/0!</v>
      </c>
      <c r="S69" s="64" t="e">
        <f>IF(ISBLANK(N69),0,R69*ROUND(O69,2))</f>
        <v>#DIV/0!</v>
      </c>
      <c r="T69" s="67" t="e">
        <f>ROUND(Q69,2)*R69</f>
        <v>#DIV/0!</v>
      </c>
      <c r="U69" s="64" t="e">
        <f>R69*dagenperjaar1</f>
        <v>#DIV/0!</v>
      </c>
      <c r="V69" s="68" t="e">
        <f>U69*ROUND(Q69,2)</f>
        <v>#DIV/0!</v>
      </c>
    </row>
    <row r="70" spans="1:22" x14ac:dyDescent="0.4">
      <c r="A70" s="61" t="s">
        <v>203</v>
      </c>
      <c r="B70" s="62" t="s">
        <v>204</v>
      </c>
      <c r="C70" s="62" t="s">
        <v>205</v>
      </c>
      <c r="D70" s="62" t="s">
        <v>309</v>
      </c>
      <c r="E70" s="63" t="s">
        <v>222</v>
      </c>
      <c r="F70" s="62" t="s">
        <v>223</v>
      </c>
      <c r="G70" s="62" t="s">
        <v>159</v>
      </c>
      <c r="H70" s="62" t="s">
        <v>9</v>
      </c>
      <c r="I70" s="62" t="s">
        <v>143</v>
      </c>
      <c r="J70" s="63" t="s">
        <v>160</v>
      </c>
      <c r="K70" s="62" t="s">
        <v>217</v>
      </c>
      <c r="L70" s="64">
        <v>52</v>
      </c>
      <c r="M70" s="64">
        <f>L70*VLOOKUP(H70,dagsoorttabel1,2,FALSE)</f>
        <v>55.9</v>
      </c>
      <c r="N70" s="65">
        <f>prodnorm11</f>
        <v>0</v>
      </c>
      <c r="O70" s="66">
        <f>dagwerk11</f>
        <v>0</v>
      </c>
      <c r="P70" s="62" t="s">
        <v>40</v>
      </c>
      <c r="Q70" s="67">
        <f>uurtarief11</f>
        <v>0</v>
      </c>
      <c r="R70" s="64" t="e">
        <f>IF(ISBLANK(N70),0,M70/ROUND(N70,4))</f>
        <v>#DIV/0!</v>
      </c>
      <c r="S70" s="64" t="e">
        <f>IF(ISBLANK(N70),0,R70*ROUND(O70,2))</f>
        <v>#DIV/0!</v>
      </c>
      <c r="T70" s="67" t="e">
        <f>ROUND(Q70,2)*R70</f>
        <v>#DIV/0!</v>
      </c>
      <c r="U70" s="64" t="e">
        <f>R70*dagenperjaar1</f>
        <v>#DIV/0!</v>
      </c>
      <c r="V70" s="68" t="e">
        <f>U70*ROUND(Q70,2)</f>
        <v>#DIV/0!</v>
      </c>
    </row>
    <row r="71" spans="1:22" x14ac:dyDescent="0.4">
      <c r="A71" s="61" t="s">
        <v>203</v>
      </c>
      <c r="B71" s="62" t="s">
        <v>204</v>
      </c>
      <c r="C71" s="62" t="s">
        <v>205</v>
      </c>
      <c r="D71" s="62" t="s">
        <v>310</v>
      </c>
      <c r="E71" s="63" t="s">
        <v>222</v>
      </c>
      <c r="F71" s="62" t="s">
        <v>223</v>
      </c>
      <c r="G71" s="62" t="s">
        <v>159</v>
      </c>
      <c r="H71" s="62" t="s">
        <v>9</v>
      </c>
      <c r="I71" s="62" t="s">
        <v>143</v>
      </c>
      <c r="J71" s="63" t="s">
        <v>160</v>
      </c>
      <c r="K71" s="62" t="s">
        <v>217</v>
      </c>
      <c r="L71" s="64">
        <v>72</v>
      </c>
      <c r="M71" s="64">
        <f>L71*VLOOKUP(H71,dagsoorttabel1,2,FALSE)</f>
        <v>77.399999999999991</v>
      </c>
      <c r="N71" s="65">
        <f>prodnorm11</f>
        <v>0</v>
      </c>
      <c r="O71" s="66">
        <f>dagwerk11</f>
        <v>0</v>
      </c>
      <c r="P71" s="62" t="s">
        <v>40</v>
      </c>
      <c r="Q71" s="67">
        <f>uurtarief11</f>
        <v>0</v>
      </c>
      <c r="R71" s="64" t="e">
        <f>IF(ISBLANK(N71),0,M71/ROUND(N71,4))</f>
        <v>#DIV/0!</v>
      </c>
      <c r="S71" s="64" t="e">
        <f>IF(ISBLANK(N71),0,R71*ROUND(O71,2))</f>
        <v>#DIV/0!</v>
      </c>
      <c r="T71" s="67" t="e">
        <f>ROUND(Q71,2)*R71</f>
        <v>#DIV/0!</v>
      </c>
      <c r="U71" s="64" t="e">
        <f>R71*dagenperjaar1</f>
        <v>#DIV/0!</v>
      </c>
      <c r="V71" s="68" t="e">
        <f>U71*ROUND(Q71,2)</f>
        <v>#DIV/0!</v>
      </c>
    </row>
    <row r="72" spans="1:22" x14ac:dyDescent="0.4">
      <c r="A72" s="61" t="s">
        <v>203</v>
      </c>
      <c r="B72" s="62" t="s">
        <v>204</v>
      </c>
      <c r="C72" s="62" t="s">
        <v>205</v>
      </c>
      <c r="D72" s="62" t="s">
        <v>311</v>
      </c>
      <c r="E72" s="63" t="s">
        <v>312</v>
      </c>
      <c r="F72" s="62" t="s">
        <v>313</v>
      </c>
      <c r="G72" s="62" t="s">
        <v>169</v>
      </c>
      <c r="H72" s="62" t="s">
        <v>16</v>
      </c>
      <c r="I72" s="62" t="s">
        <v>143</v>
      </c>
      <c r="J72" s="63" t="s">
        <v>170</v>
      </c>
      <c r="K72" s="62" t="s">
        <v>217</v>
      </c>
      <c r="L72" s="64">
        <v>22</v>
      </c>
      <c r="M72" s="64">
        <f>L72*VLOOKUP(H72,dagsoorttabel1,2,FALSE)</f>
        <v>4.7299999999999995</v>
      </c>
      <c r="N72" s="65">
        <f>prodnorm17</f>
        <v>0</v>
      </c>
      <c r="O72" s="66">
        <f>dagwerk17</f>
        <v>0</v>
      </c>
      <c r="P72" s="62" t="s">
        <v>40</v>
      </c>
      <c r="Q72" s="67">
        <f>uurtarief17</f>
        <v>0</v>
      </c>
      <c r="R72" s="64" t="e">
        <f>IF(ISBLANK(N72),0,M72/ROUND(N72,4))</f>
        <v>#DIV/0!</v>
      </c>
      <c r="S72" s="64" t="e">
        <f>IF(ISBLANK(N72),0,R72*ROUND(O72,2))</f>
        <v>#DIV/0!</v>
      </c>
      <c r="T72" s="67" t="e">
        <f>ROUND(Q72,2)*R72</f>
        <v>#DIV/0!</v>
      </c>
      <c r="U72" s="64" t="e">
        <f>R72*dagenperjaar1</f>
        <v>#DIV/0!</v>
      </c>
      <c r="V72" s="68" t="e">
        <f>U72*ROUND(Q72,2)</f>
        <v>#DIV/0!</v>
      </c>
    </row>
    <row r="73" spans="1:22" x14ac:dyDescent="0.4">
      <c r="A73" s="61" t="s">
        <v>203</v>
      </c>
      <c r="B73" s="62" t="s">
        <v>204</v>
      </c>
      <c r="C73" s="62" t="s">
        <v>205</v>
      </c>
      <c r="D73" s="62" t="s">
        <v>314</v>
      </c>
      <c r="E73" s="63" t="s">
        <v>222</v>
      </c>
      <c r="F73" s="62" t="s">
        <v>223</v>
      </c>
      <c r="G73" s="62" t="s">
        <v>159</v>
      </c>
      <c r="H73" s="62" t="s">
        <v>9</v>
      </c>
      <c r="I73" s="62" t="s">
        <v>143</v>
      </c>
      <c r="J73" s="63" t="s">
        <v>160</v>
      </c>
      <c r="K73" s="62" t="s">
        <v>217</v>
      </c>
      <c r="L73" s="64">
        <v>62</v>
      </c>
      <c r="M73" s="64">
        <f>L73*VLOOKUP(H73,dagsoorttabel1,2,FALSE)</f>
        <v>66.649999999999991</v>
      </c>
      <c r="N73" s="65">
        <f>prodnorm11</f>
        <v>0</v>
      </c>
      <c r="O73" s="66">
        <f>dagwerk11</f>
        <v>0</v>
      </c>
      <c r="P73" s="62" t="s">
        <v>40</v>
      </c>
      <c r="Q73" s="67">
        <f>uurtarief11</f>
        <v>0</v>
      </c>
      <c r="R73" s="64" t="e">
        <f>IF(ISBLANK(N73),0,M73/ROUND(N73,4))</f>
        <v>#DIV/0!</v>
      </c>
      <c r="S73" s="64" t="e">
        <f>IF(ISBLANK(N73),0,R73*ROUND(O73,2))</f>
        <v>#DIV/0!</v>
      </c>
      <c r="T73" s="67" t="e">
        <f>ROUND(Q73,2)*R73</f>
        <v>#DIV/0!</v>
      </c>
      <c r="U73" s="64" t="e">
        <f>R73*dagenperjaar1</f>
        <v>#DIV/0!</v>
      </c>
      <c r="V73" s="68" t="e">
        <f>U73*ROUND(Q73,2)</f>
        <v>#DIV/0!</v>
      </c>
    </row>
    <row r="74" spans="1:22" x14ac:dyDescent="0.4">
      <c r="A74" s="61" t="s">
        <v>203</v>
      </c>
      <c r="B74" s="62" t="s">
        <v>204</v>
      </c>
      <c r="C74" s="62" t="s">
        <v>205</v>
      </c>
      <c r="D74" s="62" t="s">
        <v>315</v>
      </c>
      <c r="E74" s="63" t="s">
        <v>222</v>
      </c>
      <c r="F74" s="62" t="s">
        <v>212</v>
      </c>
      <c r="G74" s="62" t="s">
        <v>161</v>
      </c>
      <c r="H74" s="62" t="s">
        <v>9</v>
      </c>
      <c r="I74" s="62" t="s">
        <v>143</v>
      </c>
      <c r="J74" s="63" t="s">
        <v>162</v>
      </c>
      <c r="K74" s="62" t="s">
        <v>217</v>
      </c>
      <c r="L74" s="64">
        <v>64</v>
      </c>
      <c r="M74" s="64">
        <f>L74*VLOOKUP(H74,dagsoorttabel1,2,FALSE)</f>
        <v>68.8</v>
      </c>
      <c r="N74" s="65">
        <f>prodnorm12</f>
        <v>0</v>
      </c>
      <c r="O74" s="66">
        <f>dagwerk12</f>
        <v>0</v>
      </c>
      <c r="P74" s="62" t="s">
        <v>40</v>
      </c>
      <c r="Q74" s="67">
        <f>uurtarief12</f>
        <v>0</v>
      </c>
      <c r="R74" s="64" t="e">
        <f>IF(ISBLANK(N74),0,M74/ROUND(N74,4))</f>
        <v>#DIV/0!</v>
      </c>
      <c r="S74" s="64" t="e">
        <f>IF(ISBLANK(N74),0,R74*ROUND(O74,2))</f>
        <v>#DIV/0!</v>
      </c>
      <c r="T74" s="67" t="e">
        <f>ROUND(Q74,2)*R74</f>
        <v>#DIV/0!</v>
      </c>
      <c r="U74" s="64" t="e">
        <f>R74*dagenperjaar1</f>
        <v>#DIV/0!</v>
      </c>
      <c r="V74" s="68" t="e">
        <f>U74*ROUND(Q74,2)</f>
        <v>#DIV/0!</v>
      </c>
    </row>
    <row r="75" spans="1:22" x14ac:dyDescent="0.4">
      <c r="A75" s="61" t="s">
        <v>203</v>
      </c>
      <c r="B75" s="62" t="s">
        <v>204</v>
      </c>
      <c r="C75" s="62" t="s">
        <v>205</v>
      </c>
      <c r="D75" s="62" t="s">
        <v>316</v>
      </c>
      <c r="E75" s="63" t="s">
        <v>222</v>
      </c>
      <c r="F75" s="62" t="s">
        <v>223</v>
      </c>
      <c r="G75" s="62" t="s">
        <v>159</v>
      </c>
      <c r="H75" s="62" t="s">
        <v>9</v>
      </c>
      <c r="I75" s="62" t="s">
        <v>143</v>
      </c>
      <c r="J75" s="63" t="s">
        <v>160</v>
      </c>
      <c r="K75" s="62" t="s">
        <v>217</v>
      </c>
      <c r="L75" s="64">
        <v>64</v>
      </c>
      <c r="M75" s="64">
        <f>L75*VLOOKUP(H75,dagsoorttabel1,2,FALSE)</f>
        <v>68.8</v>
      </c>
      <c r="N75" s="65">
        <f>prodnorm11</f>
        <v>0</v>
      </c>
      <c r="O75" s="66">
        <f>dagwerk11</f>
        <v>0</v>
      </c>
      <c r="P75" s="62" t="s">
        <v>40</v>
      </c>
      <c r="Q75" s="67">
        <f>uurtarief11</f>
        <v>0</v>
      </c>
      <c r="R75" s="64" t="e">
        <f>IF(ISBLANK(N75),0,M75/ROUND(N75,4))</f>
        <v>#DIV/0!</v>
      </c>
      <c r="S75" s="64" t="e">
        <f>IF(ISBLANK(N75),0,R75*ROUND(O75,2))</f>
        <v>#DIV/0!</v>
      </c>
      <c r="T75" s="67" t="e">
        <f>ROUND(Q75,2)*R75</f>
        <v>#DIV/0!</v>
      </c>
      <c r="U75" s="64" t="e">
        <f>R75*dagenperjaar1</f>
        <v>#DIV/0!</v>
      </c>
      <c r="V75" s="68" t="e">
        <f>U75*ROUND(Q75,2)</f>
        <v>#DIV/0!</v>
      </c>
    </row>
    <row r="76" spans="1:22" x14ac:dyDescent="0.4">
      <c r="A76" s="61" t="s">
        <v>203</v>
      </c>
      <c r="B76" s="62" t="s">
        <v>204</v>
      </c>
      <c r="C76" s="62" t="s">
        <v>205</v>
      </c>
      <c r="D76" s="62" t="s">
        <v>317</v>
      </c>
      <c r="E76" s="63" t="s">
        <v>222</v>
      </c>
      <c r="F76" s="62" t="s">
        <v>223</v>
      </c>
      <c r="G76" s="62" t="s">
        <v>159</v>
      </c>
      <c r="H76" s="62" t="s">
        <v>9</v>
      </c>
      <c r="I76" s="62" t="s">
        <v>143</v>
      </c>
      <c r="J76" s="63" t="s">
        <v>160</v>
      </c>
      <c r="K76" s="62" t="s">
        <v>217</v>
      </c>
      <c r="L76" s="64">
        <v>52</v>
      </c>
      <c r="M76" s="64">
        <f>L76*VLOOKUP(H76,dagsoorttabel1,2,FALSE)</f>
        <v>55.9</v>
      </c>
      <c r="N76" s="65">
        <f>prodnorm11</f>
        <v>0</v>
      </c>
      <c r="O76" s="66">
        <f>dagwerk11</f>
        <v>0</v>
      </c>
      <c r="P76" s="62" t="s">
        <v>40</v>
      </c>
      <c r="Q76" s="67">
        <f>uurtarief11</f>
        <v>0</v>
      </c>
      <c r="R76" s="64" t="e">
        <f>IF(ISBLANK(N76),0,M76/ROUND(N76,4))</f>
        <v>#DIV/0!</v>
      </c>
      <c r="S76" s="64" t="e">
        <f>IF(ISBLANK(N76),0,R76*ROUND(O76,2))</f>
        <v>#DIV/0!</v>
      </c>
      <c r="T76" s="67" t="e">
        <f>ROUND(Q76,2)*R76</f>
        <v>#DIV/0!</v>
      </c>
      <c r="U76" s="64" t="e">
        <f>R76*dagenperjaar1</f>
        <v>#DIV/0!</v>
      </c>
      <c r="V76" s="68" t="e">
        <f>U76*ROUND(Q76,2)</f>
        <v>#DIV/0!</v>
      </c>
    </row>
    <row r="77" spans="1:22" x14ac:dyDescent="0.4">
      <c r="A77" s="61" t="s">
        <v>203</v>
      </c>
      <c r="B77" s="62" t="s">
        <v>204</v>
      </c>
      <c r="C77" s="62" t="s">
        <v>205</v>
      </c>
      <c r="D77" s="62" t="s">
        <v>318</v>
      </c>
      <c r="E77" s="63" t="s">
        <v>222</v>
      </c>
      <c r="F77" s="62" t="s">
        <v>223</v>
      </c>
      <c r="G77" s="62" t="s">
        <v>159</v>
      </c>
      <c r="H77" s="62" t="s">
        <v>9</v>
      </c>
      <c r="I77" s="62" t="s">
        <v>143</v>
      </c>
      <c r="J77" s="63" t="s">
        <v>160</v>
      </c>
      <c r="K77" s="62" t="s">
        <v>217</v>
      </c>
      <c r="L77" s="64">
        <v>52</v>
      </c>
      <c r="M77" s="64">
        <f>L77*VLOOKUP(H77,dagsoorttabel1,2,FALSE)</f>
        <v>55.9</v>
      </c>
      <c r="N77" s="65">
        <f>prodnorm11</f>
        <v>0</v>
      </c>
      <c r="O77" s="66">
        <f>dagwerk11</f>
        <v>0</v>
      </c>
      <c r="P77" s="62" t="s">
        <v>40</v>
      </c>
      <c r="Q77" s="67">
        <f>uurtarief11</f>
        <v>0</v>
      </c>
      <c r="R77" s="64" t="e">
        <f>IF(ISBLANK(N77),0,M77/ROUND(N77,4))</f>
        <v>#DIV/0!</v>
      </c>
      <c r="S77" s="64" t="e">
        <f>IF(ISBLANK(N77),0,R77*ROUND(O77,2))</f>
        <v>#DIV/0!</v>
      </c>
      <c r="T77" s="67" t="e">
        <f>ROUND(Q77,2)*R77</f>
        <v>#DIV/0!</v>
      </c>
      <c r="U77" s="64" t="e">
        <f>R77*dagenperjaar1</f>
        <v>#DIV/0!</v>
      </c>
      <c r="V77" s="68" t="e">
        <f>U77*ROUND(Q77,2)</f>
        <v>#DIV/0!</v>
      </c>
    </row>
    <row r="78" spans="1:22" x14ac:dyDescent="0.4">
      <c r="A78" s="61" t="s">
        <v>203</v>
      </c>
      <c r="B78" s="62" t="s">
        <v>204</v>
      </c>
      <c r="C78" s="62" t="s">
        <v>319</v>
      </c>
      <c r="D78" s="62" t="s">
        <v>279</v>
      </c>
      <c r="E78" s="63" t="s">
        <v>320</v>
      </c>
      <c r="F78" s="62" t="s">
        <v>208</v>
      </c>
      <c r="G78" s="62" t="s">
        <v>177</v>
      </c>
      <c r="H78" s="62" t="s">
        <v>9</v>
      </c>
      <c r="I78" s="62" t="s">
        <v>143</v>
      </c>
      <c r="J78" s="63" t="s">
        <v>178</v>
      </c>
      <c r="K78" s="62" t="s">
        <v>209</v>
      </c>
      <c r="L78" s="64">
        <v>4</v>
      </c>
      <c r="M78" s="64">
        <f>L78*VLOOKUP(H78,dagsoorttabel1,2,FALSE)</f>
        <v>4.3</v>
      </c>
      <c r="N78" s="65">
        <f>prodnorm23</f>
        <v>0</v>
      </c>
      <c r="O78" s="66">
        <f>dagwerk23</f>
        <v>0</v>
      </c>
      <c r="P78" s="62" t="s">
        <v>40</v>
      </c>
      <c r="Q78" s="67">
        <f>uurtarief23</f>
        <v>0</v>
      </c>
      <c r="R78" s="64" t="e">
        <f>IF(ISBLANK(N78),0,M78/ROUND(N78,4))</f>
        <v>#DIV/0!</v>
      </c>
      <c r="S78" s="64" t="e">
        <f>IF(ISBLANK(N78),0,R78*ROUND(O78,2))</f>
        <v>#DIV/0!</v>
      </c>
      <c r="T78" s="67" t="e">
        <f>ROUND(Q78,2)*R78</f>
        <v>#DIV/0!</v>
      </c>
      <c r="U78" s="64" t="e">
        <f>R78*dagenperjaar1</f>
        <v>#DIV/0!</v>
      </c>
      <c r="V78" s="68" t="e">
        <f>U78*ROUND(Q78,2)</f>
        <v>#DIV/0!</v>
      </c>
    </row>
    <row r="79" spans="1:22" x14ac:dyDescent="0.4">
      <c r="A79" s="61" t="s">
        <v>203</v>
      </c>
      <c r="B79" s="62" t="s">
        <v>204</v>
      </c>
      <c r="C79" s="62" t="s">
        <v>319</v>
      </c>
      <c r="D79" s="62" t="s">
        <v>321</v>
      </c>
      <c r="E79" s="63" t="s">
        <v>222</v>
      </c>
      <c r="F79" s="62" t="s">
        <v>223</v>
      </c>
      <c r="G79" s="62" t="s">
        <v>159</v>
      </c>
      <c r="H79" s="62" t="s">
        <v>9</v>
      </c>
      <c r="I79" s="62" t="s">
        <v>143</v>
      </c>
      <c r="J79" s="63" t="s">
        <v>160</v>
      </c>
      <c r="K79" s="62" t="s">
        <v>217</v>
      </c>
      <c r="L79" s="64">
        <v>62</v>
      </c>
      <c r="M79" s="64">
        <f>L79*VLOOKUP(H79,dagsoorttabel1,2,FALSE)</f>
        <v>66.649999999999991</v>
      </c>
      <c r="N79" s="65">
        <f>prodnorm11</f>
        <v>0</v>
      </c>
      <c r="O79" s="66">
        <f>dagwerk11</f>
        <v>0</v>
      </c>
      <c r="P79" s="62" t="s">
        <v>40</v>
      </c>
      <c r="Q79" s="67">
        <f>uurtarief11</f>
        <v>0</v>
      </c>
      <c r="R79" s="64" t="e">
        <f>IF(ISBLANK(N79),0,M79/ROUND(N79,4))</f>
        <v>#DIV/0!</v>
      </c>
      <c r="S79" s="64" t="e">
        <f>IF(ISBLANK(N79),0,R79*ROUND(O79,2))</f>
        <v>#DIV/0!</v>
      </c>
      <c r="T79" s="67" t="e">
        <f>ROUND(Q79,2)*R79</f>
        <v>#DIV/0!</v>
      </c>
      <c r="U79" s="64" t="e">
        <f>R79*dagenperjaar1</f>
        <v>#DIV/0!</v>
      </c>
      <c r="V79" s="68" t="e">
        <f>U79*ROUND(Q79,2)</f>
        <v>#DIV/0!</v>
      </c>
    </row>
    <row r="80" spans="1:22" x14ac:dyDescent="0.4">
      <c r="A80" s="61" t="s">
        <v>203</v>
      </c>
      <c r="B80" s="62" t="s">
        <v>204</v>
      </c>
      <c r="C80" s="62" t="s">
        <v>319</v>
      </c>
      <c r="D80" s="62" t="s">
        <v>322</v>
      </c>
      <c r="E80" s="63" t="s">
        <v>222</v>
      </c>
      <c r="F80" s="62" t="s">
        <v>223</v>
      </c>
      <c r="G80" s="62" t="s">
        <v>159</v>
      </c>
      <c r="H80" s="62" t="s">
        <v>9</v>
      </c>
      <c r="I80" s="62" t="s">
        <v>143</v>
      </c>
      <c r="J80" s="63" t="s">
        <v>160</v>
      </c>
      <c r="K80" s="62" t="s">
        <v>217</v>
      </c>
      <c r="L80" s="64">
        <v>52</v>
      </c>
      <c r="M80" s="64">
        <f>L80*VLOOKUP(H80,dagsoorttabel1,2,FALSE)</f>
        <v>55.9</v>
      </c>
      <c r="N80" s="65">
        <f>prodnorm11</f>
        <v>0</v>
      </c>
      <c r="O80" s="66">
        <f>dagwerk11</f>
        <v>0</v>
      </c>
      <c r="P80" s="62" t="s">
        <v>40</v>
      </c>
      <c r="Q80" s="67">
        <f>uurtarief11</f>
        <v>0</v>
      </c>
      <c r="R80" s="64" t="e">
        <f>IF(ISBLANK(N80),0,M80/ROUND(N80,4))</f>
        <v>#DIV/0!</v>
      </c>
      <c r="S80" s="64" t="e">
        <f>IF(ISBLANK(N80),0,R80*ROUND(O80,2))</f>
        <v>#DIV/0!</v>
      </c>
      <c r="T80" s="67" t="e">
        <f>ROUND(Q80,2)*R80</f>
        <v>#DIV/0!</v>
      </c>
      <c r="U80" s="64" t="e">
        <f>R80*dagenperjaar1</f>
        <v>#DIV/0!</v>
      </c>
      <c r="V80" s="68" t="e">
        <f>U80*ROUND(Q80,2)</f>
        <v>#DIV/0!</v>
      </c>
    </row>
    <row r="81" spans="1:22" x14ac:dyDescent="0.4">
      <c r="A81" s="61" t="s">
        <v>203</v>
      </c>
      <c r="B81" s="62" t="s">
        <v>204</v>
      </c>
      <c r="C81" s="62" t="s">
        <v>319</v>
      </c>
      <c r="D81" s="62" t="s">
        <v>323</v>
      </c>
      <c r="E81" s="63" t="s">
        <v>222</v>
      </c>
      <c r="F81" s="62" t="s">
        <v>223</v>
      </c>
      <c r="G81" s="62" t="s">
        <v>159</v>
      </c>
      <c r="H81" s="62" t="s">
        <v>9</v>
      </c>
      <c r="I81" s="62" t="s">
        <v>143</v>
      </c>
      <c r="J81" s="63" t="s">
        <v>160</v>
      </c>
      <c r="K81" s="62" t="s">
        <v>217</v>
      </c>
      <c r="L81" s="64">
        <v>62</v>
      </c>
      <c r="M81" s="64">
        <f>L81*VLOOKUP(H81,dagsoorttabel1,2,FALSE)</f>
        <v>66.649999999999991</v>
      </c>
      <c r="N81" s="65">
        <f>prodnorm11</f>
        <v>0</v>
      </c>
      <c r="O81" s="66">
        <f>dagwerk11</f>
        <v>0</v>
      </c>
      <c r="P81" s="62" t="s">
        <v>40</v>
      </c>
      <c r="Q81" s="67">
        <f>uurtarief11</f>
        <v>0</v>
      </c>
      <c r="R81" s="64" t="e">
        <f>IF(ISBLANK(N81),0,M81/ROUND(N81,4))</f>
        <v>#DIV/0!</v>
      </c>
      <c r="S81" s="64" t="e">
        <f>IF(ISBLANK(N81),0,R81*ROUND(O81,2))</f>
        <v>#DIV/0!</v>
      </c>
      <c r="T81" s="67" t="e">
        <f>ROUND(Q81,2)*R81</f>
        <v>#DIV/0!</v>
      </c>
      <c r="U81" s="64" t="e">
        <f>R81*dagenperjaar1</f>
        <v>#DIV/0!</v>
      </c>
      <c r="V81" s="68" t="e">
        <f>U81*ROUND(Q81,2)</f>
        <v>#DIV/0!</v>
      </c>
    </row>
    <row r="82" spans="1:22" x14ac:dyDescent="0.4">
      <c r="A82" s="61" t="s">
        <v>203</v>
      </c>
      <c r="B82" s="62" t="s">
        <v>204</v>
      </c>
      <c r="C82" s="62" t="s">
        <v>319</v>
      </c>
      <c r="D82" s="62" t="s">
        <v>324</v>
      </c>
      <c r="E82" s="63" t="s">
        <v>222</v>
      </c>
      <c r="F82" s="62" t="s">
        <v>223</v>
      </c>
      <c r="G82" s="62" t="s">
        <v>159</v>
      </c>
      <c r="H82" s="62" t="s">
        <v>9</v>
      </c>
      <c r="I82" s="62" t="s">
        <v>143</v>
      </c>
      <c r="J82" s="63" t="s">
        <v>160</v>
      </c>
      <c r="K82" s="62" t="s">
        <v>217</v>
      </c>
      <c r="L82" s="64">
        <v>62</v>
      </c>
      <c r="M82" s="64">
        <f>L82*VLOOKUP(H82,dagsoorttabel1,2,FALSE)</f>
        <v>66.649999999999991</v>
      </c>
      <c r="N82" s="65">
        <f>prodnorm11</f>
        <v>0</v>
      </c>
      <c r="O82" s="66">
        <f>dagwerk11</f>
        <v>0</v>
      </c>
      <c r="P82" s="62" t="s">
        <v>40</v>
      </c>
      <c r="Q82" s="67">
        <f>uurtarief11</f>
        <v>0</v>
      </c>
      <c r="R82" s="64" t="e">
        <f>IF(ISBLANK(N82),0,M82/ROUND(N82,4))</f>
        <v>#DIV/0!</v>
      </c>
      <c r="S82" s="64" t="e">
        <f>IF(ISBLANK(N82),0,R82*ROUND(O82,2))</f>
        <v>#DIV/0!</v>
      </c>
      <c r="T82" s="67" t="e">
        <f>ROUND(Q82,2)*R82</f>
        <v>#DIV/0!</v>
      </c>
      <c r="U82" s="64" t="e">
        <f>R82*dagenperjaar1</f>
        <v>#DIV/0!</v>
      </c>
      <c r="V82" s="68" t="e">
        <f>U82*ROUND(Q82,2)</f>
        <v>#DIV/0!</v>
      </c>
    </row>
    <row r="83" spans="1:22" x14ac:dyDescent="0.4">
      <c r="A83" s="61" t="s">
        <v>203</v>
      </c>
      <c r="B83" s="62" t="s">
        <v>204</v>
      </c>
      <c r="C83" s="62" t="s">
        <v>319</v>
      </c>
      <c r="D83" s="62" t="s">
        <v>325</v>
      </c>
      <c r="E83" s="63" t="s">
        <v>222</v>
      </c>
      <c r="F83" s="62" t="s">
        <v>223</v>
      </c>
      <c r="G83" s="62" t="s">
        <v>159</v>
      </c>
      <c r="H83" s="62" t="s">
        <v>9</v>
      </c>
      <c r="I83" s="62" t="s">
        <v>143</v>
      </c>
      <c r="J83" s="63" t="s">
        <v>160</v>
      </c>
      <c r="K83" s="62" t="s">
        <v>217</v>
      </c>
      <c r="L83" s="64">
        <v>25</v>
      </c>
      <c r="M83" s="64">
        <f>L83*VLOOKUP(H83,dagsoorttabel1,2,FALSE)</f>
        <v>26.875</v>
      </c>
      <c r="N83" s="65">
        <f>prodnorm11</f>
        <v>0</v>
      </c>
      <c r="O83" s="66">
        <f>dagwerk11</f>
        <v>0</v>
      </c>
      <c r="P83" s="62" t="s">
        <v>40</v>
      </c>
      <c r="Q83" s="67">
        <f>uurtarief11</f>
        <v>0</v>
      </c>
      <c r="R83" s="64" t="e">
        <f>IF(ISBLANK(N83),0,M83/ROUND(N83,4))</f>
        <v>#DIV/0!</v>
      </c>
      <c r="S83" s="64" t="e">
        <f>IF(ISBLANK(N83),0,R83*ROUND(O83,2))</f>
        <v>#DIV/0!</v>
      </c>
      <c r="T83" s="67" t="e">
        <f>ROUND(Q83,2)*R83</f>
        <v>#DIV/0!</v>
      </c>
      <c r="U83" s="64" t="e">
        <f>R83*dagenperjaar1</f>
        <v>#DIV/0!</v>
      </c>
      <c r="V83" s="68" t="e">
        <f>U83*ROUND(Q83,2)</f>
        <v>#DIV/0!</v>
      </c>
    </row>
    <row r="84" spans="1:22" x14ac:dyDescent="0.4">
      <c r="A84" s="61" t="s">
        <v>203</v>
      </c>
      <c r="B84" s="62" t="s">
        <v>204</v>
      </c>
      <c r="C84" s="62" t="s">
        <v>319</v>
      </c>
      <c r="D84" s="62" t="s">
        <v>326</v>
      </c>
      <c r="E84" s="63" t="s">
        <v>222</v>
      </c>
      <c r="F84" s="62" t="s">
        <v>223</v>
      </c>
      <c r="G84" s="62" t="s">
        <v>159</v>
      </c>
      <c r="H84" s="62" t="s">
        <v>9</v>
      </c>
      <c r="I84" s="62" t="s">
        <v>143</v>
      </c>
      <c r="J84" s="63" t="s">
        <v>160</v>
      </c>
      <c r="K84" s="62" t="s">
        <v>217</v>
      </c>
      <c r="L84" s="64">
        <v>25</v>
      </c>
      <c r="M84" s="64">
        <f>L84*VLOOKUP(H84,dagsoorttabel1,2,FALSE)</f>
        <v>26.875</v>
      </c>
      <c r="N84" s="65">
        <f>prodnorm11</f>
        <v>0</v>
      </c>
      <c r="O84" s="66">
        <f>dagwerk11</f>
        <v>0</v>
      </c>
      <c r="P84" s="62" t="s">
        <v>40</v>
      </c>
      <c r="Q84" s="67">
        <f>uurtarief11</f>
        <v>0</v>
      </c>
      <c r="R84" s="64" t="e">
        <f>IF(ISBLANK(N84),0,M84/ROUND(N84,4))</f>
        <v>#DIV/0!</v>
      </c>
      <c r="S84" s="64" t="e">
        <f>IF(ISBLANK(N84),0,R84*ROUND(O84,2))</f>
        <v>#DIV/0!</v>
      </c>
      <c r="T84" s="67" t="e">
        <f>ROUND(Q84,2)*R84</f>
        <v>#DIV/0!</v>
      </c>
      <c r="U84" s="64" t="e">
        <f>R84*dagenperjaar1</f>
        <v>#DIV/0!</v>
      </c>
      <c r="V84" s="68" t="e">
        <f>U84*ROUND(Q84,2)</f>
        <v>#DIV/0!</v>
      </c>
    </row>
    <row r="85" spans="1:22" x14ac:dyDescent="0.4">
      <c r="A85" s="61" t="s">
        <v>203</v>
      </c>
      <c r="B85" s="62" t="s">
        <v>204</v>
      </c>
      <c r="C85" s="62" t="s">
        <v>319</v>
      </c>
      <c r="D85" s="62" t="s">
        <v>327</v>
      </c>
      <c r="E85" s="63" t="s">
        <v>211</v>
      </c>
      <c r="F85" s="62" t="s">
        <v>212</v>
      </c>
      <c r="G85" s="62" t="s">
        <v>145</v>
      </c>
      <c r="H85" s="62" t="s">
        <v>14</v>
      </c>
      <c r="I85" s="62" t="s">
        <v>143</v>
      </c>
      <c r="J85" s="63" t="s">
        <v>146</v>
      </c>
      <c r="K85" s="62" t="s">
        <v>213</v>
      </c>
      <c r="L85" s="64">
        <v>24</v>
      </c>
      <c r="M85" s="64">
        <f>L85*VLOOKUP(H85,dagsoorttabel1,2,FALSE)</f>
        <v>10.32</v>
      </c>
      <c r="N85" s="65">
        <f>prodnorm4</f>
        <v>0</v>
      </c>
      <c r="O85" s="66">
        <f>dagwerk4</f>
        <v>0</v>
      </c>
      <c r="P85" s="62" t="s">
        <v>40</v>
      </c>
      <c r="Q85" s="67">
        <f>uurtarief4</f>
        <v>0</v>
      </c>
      <c r="R85" s="64" t="e">
        <f>IF(ISBLANK(N85),0,M85/ROUND(N85,4))</f>
        <v>#DIV/0!</v>
      </c>
      <c r="S85" s="64" t="e">
        <f>IF(ISBLANK(N85),0,R85*ROUND(O85,2))</f>
        <v>#DIV/0!</v>
      </c>
      <c r="T85" s="67" t="e">
        <f>ROUND(Q85,2)*R85</f>
        <v>#DIV/0!</v>
      </c>
      <c r="U85" s="64" t="e">
        <f>R85*dagenperjaar1</f>
        <v>#DIV/0!</v>
      </c>
      <c r="V85" s="68" t="e">
        <f>U85*ROUND(Q85,2)</f>
        <v>#DIV/0!</v>
      </c>
    </row>
    <row r="86" spans="1:22" x14ac:dyDescent="0.4">
      <c r="A86" s="61" t="s">
        <v>203</v>
      </c>
      <c r="B86" s="62" t="s">
        <v>204</v>
      </c>
      <c r="C86" s="62" t="s">
        <v>319</v>
      </c>
      <c r="D86" s="62" t="s">
        <v>328</v>
      </c>
      <c r="E86" s="63" t="s">
        <v>211</v>
      </c>
      <c r="F86" s="62" t="s">
        <v>212</v>
      </c>
      <c r="G86" s="62" t="s">
        <v>145</v>
      </c>
      <c r="H86" s="62" t="s">
        <v>14</v>
      </c>
      <c r="I86" s="62" t="s">
        <v>143</v>
      </c>
      <c r="J86" s="63" t="s">
        <v>146</v>
      </c>
      <c r="K86" s="62" t="s">
        <v>213</v>
      </c>
      <c r="L86" s="64">
        <v>18</v>
      </c>
      <c r="M86" s="64">
        <f>L86*VLOOKUP(H86,dagsoorttabel1,2,FALSE)</f>
        <v>7.74</v>
      </c>
      <c r="N86" s="65">
        <f>prodnorm4</f>
        <v>0</v>
      </c>
      <c r="O86" s="66">
        <f>dagwerk4</f>
        <v>0</v>
      </c>
      <c r="P86" s="62" t="s">
        <v>40</v>
      </c>
      <c r="Q86" s="67">
        <f>uurtarief4</f>
        <v>0</v>
      </c>
      <c r="R86" s="64" t="e">
        <f>IF(ISBLANK(N86),0,M86/ROUND(N86,4))</f>
        <v>#DIV/0!</v>
      </c>
      <c r="S86" s="64" t="e">
        <f>IF(ISBLANK(N86),0,R86*ROUND(O86,2))</f>
        <v>#DIV/0!</v>
      </c>
      <c r="T86" s="67" t="e">
        <f>ROUND(Q86,2)*R86</f>
        <v>#DIV/0!</v>
      </c>
      <c r="U86" s="64" t="e">
        <f>R86*dagenperjaar1</f>
        <v>#DIV/0!</v>
      </c>
      <c r="V86" s="68" t="e">
        <f>U86*ROUND(Q86,2)</f>
        <v>#DIV/0!</v>
      </c>
    </row>
    <row r="87" spans="1:22" x14ac:dyDescent="0.4">
      <c r="A87" s="61" t="s">
        <v>203</v>
      </c>
      <c r="B87" s="62" t="s">
        <v>204</v>
      </c>
      <c r="C87" s="62" t="s">
        <v>319</v>
      </c>
      <c r="D87" s="62" t="s">
        <v>329</v>
      </c>
      <c r="E87" s="63" t="s">
        <v>222</v>
      </c>
      <c r="F87" s="62" t="s">
        <v>223</v>
      </c>
      <c r="G87" s="62" t="s">
        <v>159</v>
      </c>
      <c r="H87" s="62" t="s">
        <v>9</v>
      </c>
      <c r="I87" s="62" t="s">
        <v>143</v>
      </c>
      <c r="J87" s="63" t="s">
        <v>160</v>
      </c>
      <c r="K87" s="62" t="s">
        <v>217</v>
      </c>
      <c r="L87" s="64">
        <v>52</v>
      </c>
      <c r="M87" s="64">
        <f>L87*VLOOKUP(H87,dagsoorttabel1,2,FALSE)</f>
        <v>55.9</v>
      </c>
      <c r="N87" s="65">
        <f>prodnorm11</f>
        <v>0</v>
      </c>
      <c r="O87" s="66">
        <f>dagwerk11</f>
        <v>0</v>
      </c>
      <c r="P87" s="62" t="s">
        <v>40</v>
      </c>
      <c r="Q87" s="67">
        <f>uurtarief11</f>
        <v>0</v>
      </c>
      <c r="R87" s="64" t="e">
        <f>IF(ISBLANK(N87),0,M87/ROUND(N87,4))</f>
        <v>#DIV/0!</v>
      </c>
      <c r="S87" s="64" t="e">
        <f>IF(ISBLANK(N87),0,R87*ROUND(O87,2))</f>
        <v>#DIV/0!</v>
      </c>
      <c r="T87" s="67" t="e">
        <f>ROUND(Q87,2)*R87</f>
        <v>#DIV/0!</v>
      </c>
      <c r="U87" s="64" t="e">
        <f>R87*dagenperjaar1</f>
        <v>#DIV/0!</v>
      </c>
      <c r="V87" s="68" t="e">
        <f>U87*ROUND(Q87,2)</f>
        <v>#DIV/0!</v>
      </c>
    </row>
    <row r="88" spans="1:22" x14ac:dyDescent="0.4">
      <c r="A88" s="61" t="s">
        <v>203</v>
      </c>
      <c r="B88" s="62" t="s">
        <v>204</v>
      </c>
      <c r="C88" s="62" t="s">
        <v>319</v>
      </c>
      <c r="D88" s="62" t="s">
        <v>330</v>
      </c>
      <c r="E88" s="63" t="s">
        <v>211</v>
      </c>
      <c r="F88" s="62" t="s">
        <v>256</v>
      </c>
      <c r="G88" s="62" t="s">
        <v>142</v>
      </c>
      <c r="H88" s="62" t="s">
        <v>14</v>
      </c>
      <c r="I88" s="62" t="s">
        <v>143</v>
      </c>
      <c r="J88" s="63" t="s">
        <v>144</v>
      </c>
      <c r="K88" s="62" t="s">
        <v>213</v>
      </c>
      <c r="L88" s="64">
        <v>24</v>
      </c>
      <c r="M88" s="64">
        <f>L88*VLOOKUP(H88,dagsoorttabel1,2,FALSE)</f>
        <v>10.32</v>
      </c>
      <c r="N88" s="65">
        <f>prodnorm2</f>
        <v>0</v>
      </c>
      <c r="O88" s="66">
        <f>dagwerk2</f>
        <v>0</v>
      </c>
      <c r="P88" s="62" t="s">
        <v>40</v>
      </c>
      <c r="Q88" s="67">
        <f>uurtarief2</f>
        <v>0</v>
      </c>
      <c r="R88" s="64" t="e">
        <f>IF(ISBLANK(N88),0,M88/ROUND(N88,4))</f>
        <v>#DIV/0!</v>
      </c>
      <c r="S88" s="64" t="e">
        <f>IF(ISBLANK(N88),0,R88*ROUND(O88,2))</f>
        <v>#DIV/0!</v>
      </c>
      <c r="T88" s="67" t="e">
        <f>ROUND(Q88,2)*R88</f>
        <v>#DIV/0!</v>
      </c>
      <c r="U88" s="64" t="e">
        <f>R88*dagenperjaar1</f>
        <v>#DIV/0!</v>
      </c>
      <c r="V88" s="68" t="e">
        <f>U88*ROUND(Q88,2)</f>
        <v>#DIV/0!</v>
      </c>
    </row>
    <row r="89" spans="1:22" x14ac:dyDescent="0.4">
      <c r="A89" s="61" t="s">
        <v>203</v>
      </c>
      <c r="B89" s="62" t="s">
        <v>204</v>
      </c>
      <c r="C89" s="62" t="s">
        <v>319</v>
      </c>
      <c r="D89" s="62" t="s">
        <v>308</v>
      </c>
      <c r="E89" s="63" t="s">
        <v>320</v>
      </c>
      <c r="F89" s="62" t="s">
        <v>208</v>
      </c>
      <c r="G89" s="62" t="s">
        <v>177</v>
      </c>
      <c r="H89" s="62" t="s">
        <v>9</v>
      </c>
      <c r="I89" s="62" t="s">
        <v>143</v>
      </c>
      <c r="J89" s="63" t="s">
        <v>178</v>
      </c>
      <c r="K89" s="62" t="s">
        <v>209</v>
      </c>
      <c r="L89" s="64">
        <v>4</v>
      </c>
      <c r="M89" s="64">
        <f>L89*VLOOKUP(H89,dagsoorttabel1,2,FALSE)</f>
        <v>4.3</v>
      </c>
      <c r="N89" s="65">
        <f>prodnorm23</f>
        <v>0</v>
      </c>
      <c r="O89" s="66">
        <f>dagwerk23</f>
        <v>0</v>
      </c>
      <c r="P89" s="62" t="s">
        <v>40</v>
      </c>
      <c r="Q89" s="67">
        <f>uurtarief23</f>
        <v>0</v>
      </c>
      <c r="R89" s="64" t="e">
        <f>IF(ISBLANK(N89),0,M89/ROUND(N89,4))</f>
        <v>#DIV/0!</v>
      </c>
      <c r="S89" s="64" t="e">
        <f>IF(ISBLANK(N89),0,R89*ROUND(O89,2))</f>
        <v>#DIV/0!</v>
      </c>
      <c r="T89" s="67" t="e">
        <f>ROUND(Q89,2)*R89</f>
        <v>#DIV/0!</v>
      </c>
      <c r="U89" s="64" t="e">
        <f>R89*dagenperjaar1</f>
        <v>#DIV/0!</v>
      </c>
      <c r="V89" s="68" t="e">
        <f>U89*ROUND(Q89,2)</f>
        <v>#DIV/0!</v>
      </c>
    </row>
    <row r="90" spans="1:22" x14ac:dyDescent="0.4">
      <c r="A90" s="61" t="s">
        <v>203</v>
      </c>
      <c r="B90" s="62" t="s">
        <v>204</v>
      </c>
      <c r="C90" s="62" t="s">
        <v>319</v>
      </c>
      <c r="D90" s="62" t="s">
        <v>331</v>
      </c>
      <c r="E90" s="63" t="s">
        <v>246</v>
      </c>
      <c r="F90" s="62" t="s">
        <v>223</v>
      </c>
      <c r="G90" s="62" t="s">
        <v>179</v>
      </c>
      <c r="H90" s="62" t="s">
        <v>9</v>
      </c>
      <c r="I90" s="62" t="s">
        <v>143</v>
      </c>
      <c r="J90" s="63" t="s">
        <v>180</v>
      </c>
      <c r="K90" s="62" t="s">
        <v>244</v>
      </c>
      <c r="L90" s="64">
        <v>68</v>
      </c>
      <c r="M90" s="64">
        <f>L90*VLOOKUP(H90,dagsoorttabel1,2,FALSE)</f>
        <v>73.099999999999994</v>
      </c>
      <c r="N90" s="65">
        <f>prodnorm25</f>
        <v>0</v>
      </c>
      <c r="O90" s="66">
        <f>dagwerk25</f>
        <v>0</v>
      </c>
      <c r="P90" s="62" t="s">
        <v>40</v>
      </c>
      <c r="Q90" s="67">
        <f>uurtarief25</f>
        <v>0</v>
      </c>
      <c r="R90" s="64" t="e">
        <f>IF(ISBLANK(N90),0,M90/ROUND(N90,4))</f>
        <v>#DIV/0!</v>
      </c>
      <c r="S90" s="64" t="e">
        <f>IF(ISBLANK(N90),0,R90*ROUND(O90,2))</f>
        <v>#DIV/0!</v>
      </c>
      <c r="T90" s="67" t="e">
        <f>ROUND(Q90,2)*R90</f>
        <v>#DIV/0!</v>
      </c>
      <c r="U90" s="64" t="e">
        <f>R90*dagenperjaar1</f>
        <v>#DIV/0!</v>
      </c>
      <c r="V90" s="68" t="e">
        <f>U90*ROUND(Q90,2)</f>
        <v>#DIV/0!</v>
      </c>
    </row>
    <row r="91" spans="1:22" x14ac:dyDescent="0.4">
      <c r="A91" s="61" t="s">
        <v>203</v>
      </c>
      <c r="B91" s="62" t="s">
        <v>204</v>
      </c>
      <c r="C91" s="62" t="s">
        <v>319</v>
      </c>
      <c r="D91" s="62" t="s">
        <v>332</v>
      </c>
      <c r="E91" s="63" t="s">
        <v>246</v>
      </c>
      <c r="F91" s="62" t="s">
        <v>223</v>
      </c>
      <c r="G91" s="62" t="s">
        <v>179</v>
      </c>
      <c r="H91" s="62" t="s">
        <v>9</v>
      </c>
      <c r="I91" s="62" t="s">
        <v>143</v>
      </c>
      <c r="J91" s="63" t="s">
        <v>180</v>
      </c>
      <c r="K91" s="62" t="s">
        <v>244</v>
      </c>
      <c r="L91" s="64">
        <v>68</v>
      </c>
      <c r="M91" s="64">
        <f>L91*VLOOKUP(H91,dagsoorttabel1,2,FALSE)</f>
        <v>73.099999999999994</v>
      </c>
      <c r="N91" s="65">
        <f>prodnorm25</f>
        <v>0</v>
      </c>
      <c r="O91" s="66">
        <f>dagwerk25</f>
        <v>0</v>
      </c>
      <c r="P91" s="62" t="s">
        <v>40</v>
      </c>
      <c r="Q91" s="67">
        <f>uurtarief25</f>
        <v>0</v>
      </c>
      <c r="R91" s="64" t="e">
        <f>IF(ISBLANK(N91),0,M91/ROUND(N91,4))</f>
        <v>#DIV/0!</v>
      </c>
      <c r="S91" s="64" t="e">
        <f>IF(ISBLANK(N91),0,R91*ROUND(O91,2))</f>
        <v>#DIV/0!</v>
      </c>
      <c r="T91" s="67" t="e">
        <f>ROUND(Q91,2)*R91</f>
        <v>#DIV/0!</v>
      </c>
      <c r="U91" s="64" t="e">
        <f>R91*dagenperjaar1</f>
        <v>#DIV/0!</v>
      </c>
      <c r="V91" s="68" t="e">
        <f>U91*ROUND(Q91,2)</f>
        <v>#DIV/0!</v>
      </c>
    </row>
    <row r="92" spans="1:22" x14ac:dyDescent="0.4">
      <c r="A92" s="61" t="s">
        <v>203</v>
      </c>
      <c r="B92" s="62" t="s">
        <v>204</v>
      </c>
      <c r="C92" s="62" t="s">
        <v>319</v>
      </c>
      <c r="D92" s="62" t="s">
        <v>333</v>
      </c>
      <c r="E92" s="63" t="s">
        <v>222</v>
      </c>
      <c r="F92" s="62" t="s">
        <v>223</v>
      </c>
      <c r="G92" s="62" t="s">
        <v>159</v>
      </c>
      <c r="H92" s="62" t="s">
        <v>9</v>
      </c>
      <c r="I92" s="62" t="s">
        <v>143</v>
      </c>
      <c r="J92" s="63" t="s">
        <v>160</v>
      </c>
      <c r="K92" s="62" t="s">
        <v>217</v>
      </c>
      <c r="L92" s="64">
        <v>62</v>
      </c>
      <c r="M92" s="64">
        <f>L92*VLOOKUP(H92,dagsoorttabel1,2,FALSE)</f>
        <v>66.649999999999991</v>
      </c>
      <c r="N92" s="65">
        <f>prodnorm11</f>
        <v>0</v>
      </c>
      <c r="O92" s="66">
        <f>dagwerk11</f>
        <v>0</v>
      </c>
      <c r="P92" s="62" t="s">
        <v>40</v>
      </c>
      <c r="Q92" s="67">
        <f>uurtarief11</f>
        <v>0</v>
      </c>
      <c r="R92" s="64" t="e">
        <f>IF(ISBLANK(N92),0,M92/ROUND(N92,4))</f>
        <v>#DIV/0!</v>
      </c>
      <c r="S92" s="64" t="e">
        <f>IF(ISBLANK(N92),0,R92*ROUND(O92,2))</f>
        <v>#DIV/0!</v>
      </c>
      <c r="T92" s="67" t="e">
        <f>ROUND(Q92,2)*R92</f>
        <v>#DIV/0!</v>
      </c>
      <c r="U92" s="64" t="e">
        <f>R92*dagenperjaar1</f>
        <v>#DIV/0!</v>
      </c>
      <c r="V92" s="68" t="e">
        <f>U92*ROUND(Q92,2)</f>
        <v>#DIV/0!</v>
      </c>
    </row>
    <row r="93" spans="1:22" x14ac:dyDescent="0.4">
      <c r="A93" s="61" t="s">
        <v>203</v>
      </c>
      <c r="B93" s="62" t="s">
        <v>204</v>
      </c>
      <c r="C93" s="62" t="s">
        <v>319</v>
      </c>
      <c r="D93" s="62" t="s">
        <v>334</v>
      </c>
      <c r="E93" s="63" t="s">
        <v>222</v>
      </c>
      <c r="F93" s="62" t="s">
        <v>223</v>
      </c>
      <c r="G93" s="62" t="s">
        <v>159</v>
      </c>
      <c r="H93" s="62" t="s">
        <v>9</v>
      </c>
      <c r="I93" s="62" t="s">
        <v>143</v>
      </c>
      <c r="J93" s="63" t="s">
        <v>160</v>
      </c>
      <c r="K93" s="62" t="s">
        <v>217</v>
      </c>
      <c r="L93" s="64">
        <v>52</v>
      </c>
      <c r="M93" s="64">
        <f>L93*VLOOKUP(H93,dagsoorttabel1,2,FALSE)</f>
        <v>55.9</v>
      </c>
      <c r="N93" s="65">
        <f>prodnorm11</f>
        <v>0</v>
      </c>
      <c r="O93" s="66">
        <f>dagwerk11</f>
        <v>0</v>
      </c>
      <c r="P93" s="62" t="s">
        <v>40</v>
      </c>
      <c r="Q93" s="67">
        <f>uurtarief11</f>
        <v>0</v>
      </c>
      <c r="R93" s="64" t="e">
        <f>IF(ISBLANK(N93),0,M93/ROUND(N93,4))</f>
        <v>#DIV/0!</v>
      </c>
      <c r="S93" s="64" t="e">
        <f>IF(ISBLANK(N93),0,R93*ROUND(O93,2))</f>
        <v>#DIV/0!</v>
      </c>
      <c r="T93" s="67" t="e">
        <f>ROUND(Q93,2)*R93</f>
        <v>#DIV/0!</v>
      </c>
      <c r="U93" s="64" t="e">
        <f>R93*dagenperjaar1</f>
        <v>#DIV/0!</v>
      </c>
      <c r="V93" s="68" t="e">
        <f>U93*ROUND(Q93,2)</f>
        <v>#DIV/0!</v>
      </c>
    </row>
    <row r="94" spans="1:22" x14ac:dyDescent="0.4">
      <c r="A94" s="61" t="s">
        <v>203</v>
      </c>
      <c r="B94" s="62" t="s">
        <v>204</v>
      </c>
      <c r="C94" s="62" t="s">
        <v>319</v>
      </c>
      <c r="D94" s="62" t="s">
        <v>335</v>
      </c>
      <c r="E94" s="63" t="s">
        <v>211</v>
      </c>
      <c r="F94" s="62" t="s">
        <v>212</v>
      </c>
      <c r="G94" s="62" t="s">
        <v>145</v>
      </c>
      <c r="H94" s="62" t="s">
        <v>14</v>
      </c>
      <c r="I94" s="62" t="s">
        <v>143</v>
      </c>
      <c r="J94" s="63" t="s">
        <v>146</v>
      </c>
      <c r="K94" s="62" t="s">
        <v>213</v>
      </c>
      <c r="L94" s="64">
        <v>25</v>
      </c>
      <c r="M94" s="64">
        <f>L94*VLOOKUP(H94,dagsoorttabel1,2,FALSE)</f>
        <v>10.75</v>
      </c>
      <c r="N94" s="65">
        <f>prodnorm4</f>
        <v>0</v>
      </c>
      <c r="O94" s="66">
        <f>dagwerk4</f>
        <v>0</v>
      </c>
      <c r="P94" s="62" t="s">
        <v>40</v>
      </c>
      <c r="Q94" s="67">
        <f>uurtarief4</f>
        <v>0</v>
      </c>
      <c r="R94" s="64" t="e">
        <f>IF(ISBLANK(N94),0,M94/ROUND(N94,4))</f>
        <v>#DIV/0!</v>
      </c>
      <c r="S94" s="64" t="e">
        <f>IF(ISBLANK(N94),0,R94*ROUND(O94,2))</f>
        <v>#DIV/0!</v>
      </c>
      <c r="T94" s="67" t="e">
        <f>ROUND(Q94,2)*R94</f>
        <v>#DIV/0!</v>
      </c>
      <c r="U94" s="64" t="e">
        <f>R94*dagenperjaar1</f>
        <v>#DIV/0!</v>
      </c>
      <c r="V94" s="68" t="e">
        <f>U94*ROUND(Q94,2)</f>
        <v>#DIV/0!</v>
      </c>
    </row>
    <row r="95" spans="1:22" x14ac:dyDescent="0.4">
      <c r="A95" s="61" t="s">
        <v>203</v>
      </c>
      <c r="B95" s="62" t="s">
        <v>204</v>
      </c>
      <c r="C95" s="62" t="s">
        <v>319</v>
      </c>
      <c r="D95" s="62" t="s">
        <v>336</v>
      </c>
      <c r="E95" s="63" t="s">
        <v>211</v>
      </c>
      <c r="F95" s="62" t="s">
        <v>212</v>
      </c>
      <c r="G95" s="62" t="s">
        <v>145</v>
      </c>
      <c r="H95" s="62" t="s">
        <v>14</v>
      </c>
      <c r="I95" s="62" t="s">
        <v>143</v>
      </c>
      <c r="J95" s="63" t="s">
        <v>146</v>
      </c>
      <c r="K95" s="62" t="s">
        <v>213</v>
      </c>
      <c r="L95" s="64">
        <v>18</v>
      </c>
      <c r="M95" s="64">
        <f>L95*VLOOKUP(H95,dagsoorttabel1,2,FALSE)</f>
        <v>7.74</v>
      </c>
      <c r="N95" s="65">
        <f>prodnorm4</f>
        <v>0</v>
      </c>
      <c r="O95" s="66">
        <f>dagwerk4</f>
        <v>0</v>
      </c>
      <c r="P95" s="62" t="s">
        <v>40</v>
      </c>
      <c r="Q95" s="67">
        <f>uurtarief4</f>
        <v>0</v>
      </c>
      <c r="R95" s="64" t="e">
        <f>IF(ISBLANK(N95),0,M95/ROUND(N95,4))</f>
        <v>#DIV/0!</v>
      </c>
      <c r="S95" s="64" t="e">
        <f>IF(ISBLANK(N95),0,R95*ROUND(O95,2))</f>
        <v>#DIV/0!</v>
      </c>
      <c r="T95" s="67" t="e">
        <f>ROUND(Q95,2)*R95</f>
        <v>#DIV/0!</v>
      </c>
      <c r="U95" s="64" t="e">
        <f>R95*dagenperjaar1</f>
        <v>#DIV/0!</v>
      </c>
      <c r="V95" s="68" t="e">
        <f>U95*ROUND(Q95,2)</f>
        <v>#DIV/0!</v>
      </c>
    </row>
    <row r="96" spans="1:22" x14ac:dyDescent="0.4">
      <c r="A96" s="61" t="s">
        <v>203</v>
      </c>
      <c r="B96" s="62" t="s">
        <v>204</v>
      </c>
      <c r="C96" s="62" t="s">
        <v>319</v>
      </c>
      <c r="D96" s="62" t="s">
        <v>337</v>
      </c>
      <c r="E96" s="63" t="s">
        <v>211</v>
      </c>
      <c r="F96" s="62" t="s">
        <v>212</v>
      </c>
      <c r="G96" s="62" t="s">
        <v>145</v>
      </c>
      <c r="H96" s="62" t="s">
        <v>14</v>
      </c>
      <c r="I96" s="62" t="s">
        <v>143</v>
      </c>
      <c r="J96" s="63" t="s">
        <v>146</v>
      </c>
      <c r="K96" s="62" t="s">
        <v>213</v>
      </c>
      <c r="L96" s="64">
        <v>25</v>
      </c>
      <c r="M96" s="64">
        <f>L96*VLOOKUP(H96,dagsoorttabel1,2,FALSE)</f>
        <v>10.75</v>
      </c>
      <c r="N96" s="65">
        <f>prodnorm4</f>
        <v>0</v>
      </c>
      <c r="O96" s="66">
        <f>dagwerk4</f>
        <v>0</v>
      </c>
      <c r="P96" s="62" t="s">
        <v>40</v>
      </c>
      <c r="Q96" s="67">
        <f>uurtarief4</f>
        <v>0</v>
      </c>
      <c r="R96" s="64" t="e">
        <f>IF(ISBLANK(N96),0,M96/ROUND(N96,4))</f>
        <v>#DIV/0!</v>
      </c>
      <c r="S96" s="64" t="e">
        <f>IF(ISBLANK(N96),0,R96*ROUND(O96,2))</f>
        <v>#DIV/0!</v>
      </c>
      <c r="T96" s="67" t="e">
        <f>ROUND(Q96,2)*R96</f>
        <v>#DIV/0!</v>
      </c>
      <c r="U96" s="64" t="e">
        <f>R96*dagenperjaar1</f>
        <v>#DIV/0!</v>
      </c>
      <c r="V96" s="68" t="e">
        <f>U96*ROUND(Q96,2)</f>
        <v>#DIV/0!</v>
      </c>
    </row>
    <row r="97" spans="1:22" x14ac:dyDescent="0.4">
      <c r="A97" s="61" t="s">
        <v>203</v>
      </c>
      <c r="B97" s="62" t="s">
        <v>204</v>
      </c>
      <c r="C97" s="62" t="s">
        <v>319</v>
      </c>
      <c r="D97" s="62" t="s">
        <v>338</v>
      </c>
      <c r="E97" s="63" t="s">
        <v>222</v>
      </c>
      <c r="F97" s="62" t="s">
        <v>223</v>
      </c>
      <c r="G97" s="62" t="s">
        <v>159</v>
      </c>
      <c r="H97" s="62" t="s">
        <v>9</v>
      </c>
      <c r="I97" s="62" t="s">
        <v>143</v>
      </c>
      <c r="J97" s="63" t="s">
        <v>160</v>
      </c>
      <c r="K97" s="62" t="s">
        <v>217</v>
      </c>
      <c r="L97" s="64">
        <v>62</v>
      </c>
      <c r="M97" s="64">
        <f>L97*VLOOKUP(H97,dagsoorttabel1,2,FALSE)</f>
        <v>66.649999999999991</v>
      </c>
      <c r="N97" s="65">
        <f>prodnorm11</f>
        <v>0</v>
      </c>
      <c r="O97" s="66">
        <f>dagwerk11</f>
        <v>0</v>
      </c>
      <c r="P97" s="62" t="s">
        <v>40</v>
      </c>
      <c r="Q97" s="67">
        <f>uurtarief11</f>
        <v>0</v>
      </c>
      <c r="R97" s="64" t="e">
        <f>IF(ISBLANK(N97),0,M97/ROUND(N97,4))</f>
        <v>#DIV/0!</v>
      </c>
      <c r="S97" s="64" t="e">
        <f>IF(ISBLANK(N97),0,R97*ROUND(O97,2))</f>
        <v>#DIV/0!</v>
      </c>
      <c r="T97" s="67" t="e">
        <f>ROUND(Q97,2)*R97</f>
        <v>#DIV/0!</v>
      </c>
      <c r="U97" s="64" t="e">
        <f>R97*dagenperjaar1</f>
        <v>#DIV/0!</v>
      </c>
      <c r="V97" s="68" t="e">
        <f>U97*ROUND(Q97,2)</f>
        <v>#DIV/0!</v>
      </c>
    </row>
    <row r="98" spans="1:22" x14ac:dyDescent="0.4">
      <c r="A98" s="61" t="s">
        <v>203</v>
      </c>
      <c r="B98" s="62" t="s">
        <v>204</v>
      </c>
      <c r="C98" s="62" t="s">
        <v>319</v>
      </c>
      <c r="D98" s="62" t="s">
        <v>339</v>
      </c>
      <c r="E98" s="63" t="s">
        <v>222</v>
      </c>
      <c r="F98" s="62" t="s">
        <v>223</v>
      </c>
      <c r="G98" s="62" t="s">
        <v>159</v>
      </c>
      <c r="H98" s="62" t="s">
        <v>9</v>
      </c>
      <c r="I98" s="62" t="s">
        <v>143</v>
      </c>
      <c r="J98" s="63" t="s">
        <v>160</v>
      </c>
      <c r="K98" s="62" t="s">
        <v>217</v>
      </c>
      <c r="L98" s="64">
        <v>62</v>
      </c>
      <c r="M98" s="64">
        <f>L98*VLOOKUP(H98,dagsoorttabel1,2,FALSE)</f>
        <v>66.649999999999991</v>
      </c>
      <c r="N98" s="65">
        <f>prodnorm11</f>
        <v>0</v>
      </c>
      <c r="O98" s="66">
        <f>dagwerk11</f>
        <v>0</v>
      </c>
      <c r="P98" s="62" t="s">
        <v>40</v>
      </c>
      <c r="Q98" s="67">
        <f>uurtarief11</f>
        <v>0</v>
      </c>
      <c r="R98" s="64" t="e">
        <f>IF(ISBLANK(N98),0,M98/ROUND(N98,4))</f>
        <v>#DIV/0!</v>
      </c>
      <c r="S98" s="64" t="e">
        <f>IF(ISBLANK(N98),0,R98*ROUND(O98,2))</f>
        <v>#DIV/0!</v>
      </c>
      <c r="T98" s="67" t="e">
        <f>ROUND(Q98,2)*R98</f>
        <v>#DIV/0!</v>
      </c>
      <c r="U98" s="64" t="e">
        <f>R98*dagenperjaar1</f>
        <v>#DIV/0!</v>
      </c>
      <c r="V98" s="68" t="e">
        <f>U98*ROUND(Q98,2)</f>
        <v>#DIV/0!</v>
      </c>
    </row>
    <row r="99" spans="1:22" x14ac:dyDescent="0.4">
      <c r="A99" s="61" t="s">
        <v>203</v>
      </c>
      <c r="B99" s="62" t="s">
        <v>204</v>
      </c>
      <c r="C99" s="62" t="s">
        <v>319</v>
      </c>
      <c r="D99" s="62" t="s">
        <v>340</v>
      </c>
      <c r="E99" s="63" t="s">
        <v>222</v>
      </c>
      <c r="F99" s="62" t="s">
        <v>223</v>
      </c>
      <c r="G99" s="62" t="s">
        <v>159</v>
      </c>
      <c r="H99" s="62" t="s">
        <v>9</v>
      </c>
      <c r="I99" s="62" t="s">
        <v>143</v>
      </c>
      <c r="J99" s="63" t="s">
        <v>160</v>
      </c>
      <c r="K99" s="62" t="s">
        <v>217</v>
      </c>
      <c r="L99" s="64">
        <v>52</v>
      </c>
      <c r="M99" s="64">
        <f>L99*VLOOKUP(H99,dagsoorttabel1,2,FALSE)</f>
        <v>55.9</v>
      </c>
      <c r="N99" s="65">
        <f>prodnorm11</f>
        <v>0</v>
      </c>
      <c r="O99" s="66">
        <f>dagwerk11</f>
        <v>0</v>
      </c>
      <c r="P99" s="62" t="s">
        <v>40</v>
      </c>
      <c r="Q99" s="67">
        <f>uurtarief11</f>
        <v>0</v>
      </c>
      <c r="R99" s="64" t="e">
        <f>IF(ISBLANK(N99),0,M99/ROUND(N99,4))</f>
        <v>#DIV/0!</v>
      </c>
      <c r="S99" s="64" t="e">
        <f>IF(ISBLANK(N99),0,R99*ROUND(O99,2))</f>
        <v>#DIV/0!</v>
      </c>
      <c r="T99" s="67" t="e">
        <f>ROUND(Q99,2)*R99</f>
        <v>#DIV/0!</v>
      </c>
      <c r="U99" s="64" t="e">
        <f>R99*dagenperjaar1</f>
        <v>#DIV/0!</v>
      </c>
      <c r="V99" s="68" t="e">
        <f>U99*ROUND(Q99,2)</f>
        <v>#DIV/0!</v>
      </c>
    </row>
    <row r="100" spans="1:22" x14ac:dyDescent="0.4">
      <c r="A100" s="61" t="s">
        <v>203</v>
      </c>
      <c r="B100" s="62" t="s">
        <v>204</v>
      </c>
      <c r="C100" s="62" t="s">
        <v>319</v>
      </c>
      <c r="D100" s="62" t="s">
        <v>341</v>
      </c>
      <c r="E100" s="63" t="s">
        <v>222</v>
      </c>
      <c r="F100" s="62" t="s">
        <v>223</v>
      </c>
      <c r="G100" s="62" t="s">
        <v>159</v>
      </c>
      <c r="H100" s="62" t="s">
        <v>9</v>
      </c>
      <c r="I100" s="62" t="s">
        <v>143</v>
      </c>
      <c r="J100" s="63" t="s">
        <v>160</v>
      </c>
      <c r="K100" s="62" t="s">
        <v>217</v>
      </c>
      <c r="L100" s="64">
        <v>52</v>
      </c>
      <c r="M100" s="64">
        <f>L100*VLOOKUP(H100,dagsoorttabel1,2,FALSE)</f>
        <v>55.9</v>
      </c>
      <c r="N100" s="65">
        <f>prodnorm11</f>
        <v>0</v>
      </c>
      <c r="O100" s="66">
        <f>dagwerk11</f>
        <v>0</v>
      </c>
      <c r="P100" s="62" t="s">
        <v>40</v>
      </c>
      <c r="Q100" s="67">
        <f>uurtarief11</f>
        <v>0</v>
      </c>
      <c r="R100" s="64" t="e">
        <f>IF(ISBLANK(N100),0,M100/ROUND(N100,4))</f>
        <v>#DIV/0!</v>
      </c>
      <c r="S100" s="64" t="e">
        <f>IF(ISBLANK(N100),0,R100*ROUND(O100,2))</f>
        <v>#DIV/0!</v>
      </c>
      <c r="T100" s="67" t="e">
        <f>ROUND(Q100,2)*R100</f>
        <v>#DIV/0!</v>
      </c>
      <c r="U100" s="64" t="e">
        <f>R100*dagenperjaar1</f>
        <v>#DIV/0!</v>
      </c>
      <c r="V100" s="68" t="e">
        <f>U100*ROUND(Q100,2)</f>
        <v>#DIV/0!</v>
      </c>
    </row>
    <row r="101" spans="1:22" x14ac:dyDescent="0.4">
      <c r="A101" s="61" t="s">
        <v>203</v>
      </c>
      <c r="B101" s="62" t="s">
        <v>204</v>
      </c>
      <c r="C101" s="62" t="s">
        <v>319</v>
      </c>
      <c r="D101" s="62" t="s">
        <v>342</v>
      </c>
      <c r="E101" s="63" t="s">
        <v>222</v>
      </c>
      <c r="F101" s="62" t="s">
        <v>223</v>
      </c>
      <c r="G101" s="62" t="s">
        <v>159</v>
      </c>
      <c r="H101" s="62" t="s">
        <v>9</v>
      </c>
      <c r="I101" s="62" t="s">
        <v>143</v>
      </c>
      <c r="J101" s="63" t="s">
        <v>160</v>
      </c>
      <c r="K101" s="62" t="s">
        <v>217</v>
      </c>
      <c r="L101" s="64">
        <v>62</v>
      </c>
      <c r="M101" s="64">
        <f>L101*VLOOKUP(H101,dagsoorttabel1,2,FALSE)</f>
        <v>66.649999999999991</v>
      </c>
      <c r="N101" s="65">
        <f>prodnorm11</f>
        <v>0</v>
      </c>
      <c r="O101" s="66">
        <f>dagwerk11</f>
        <v>0</v>
      </c>
      <c r="P101" s="62" t="s">
        <v>40</v>
      </c>
      <c r="Q101" s="67">
        <f>uurtarief11</f>
        <v>0</v>
      </c>
      <c r="R101" s="64" t="e">
        <f>IF(ISBLANK(N101),0,M101/ROUND(N101,4))</f>
        <v>#DIV/0!</v>
      </c>
      <c r="S101" s="64" t="e">
        <f>IF(ISBLANK(N101),0,R101*ROUND(O101,2))</f>
        <v>#DIV/0!</v>
      </c>
      <c r="T101" s="67" t="e">
        <f>ROUND(Q101,2)*R101</f>
        <v>#DIV/0!</v>
      </c>
      <c r="U101" s="64" t="e">
        <f>R101*dagenperjaar1</f>
        <v>#DIV/0!</v>
      </c>
      <c r="V101" s="68" t="e">
        <f>U101*ROUND(Q101,2)</f>
        <v>#DIV/0!</v>
      </c>
    </row>
    <row r="102" spans="1:22" x14ac:dyDescent="0.4">
      <c r="A102" s="61" t="s">
        <v>203</v>
      </c>
      <c r="B102" s="62" t="s">
        <v>343</v>
      </c>
      <c r="C102" s="62" t="s">
        <v>205</v>
      </c>
      <c r="D102" s="62" t="s">
        <v>344</v>
      </c>
      <c r="E102" s="63" t="s">
        <v>270</v>
      </c>
      <c r="F102" s="62" t="s">
        <v>220</v>
      </c>
      <c r="G102" s="62" t="s">
        <v>181</v>
      </c>
      <c r="H102" s="62" t="s">
        <v>9</v>
      </c>
      <c r="I102" s="62" t="s">
        <v>143</v>
      </c>
      <c r="J102" s="63" t="s">
        <v>182</v>
      </c>
      <c r="K102" s="62" t="s">
        <v>244</v>
      </c>
      <c r="L102" s="64">
        <v>73</v>
      </c>
      <c r="M102" s="64">
        <f>L102*VLOOKUP(H102,dagsoorttabel1,2,FALSE)</f>
        <v>78.474999999999994</v>
      </c>
      <c r="N102" s="65">
        <f>prodnorm26</f>
        <v>0</v>
      </c>
      <c r="O102" s="66">
        <f>dagwerk26</f>
        <v>0</v>
      </c>
      <c r="P102" s="62" t="s">
        <v>40</v>
      </c>
      <c r="Q102" s="67">
        <f>uurtarief26</f>
        <v>0</v>
      </c>
      <c r="R102" s="64" t="e">
        <f>IF(ISBLANK(N102),0,M102/ROUND(N102,4))</f>
        <v>#DIV/0!</v>
      </c>
      <c r="S102" s="64" t="e">
        <f>IF(ISBLANK(N102),0,R102*ROUND(O102,2))</f>
        <v>#DIV/0!</v>
      </c>
      <c r="T102" s="67" t="e">
        <f>ROUND(Q102,2)*R102</f>
        <v>#DIV/0!</v>
      </c>
      <c r="U102" s="64" t="e">
        <f>R102*dagenperjaar1</f>
        <v>#DIV/0!</v>
      </c>
      <c r="V102" s="68" t="e">
        <f>U102*ROUND(Q102,2)</f>
        <v>#DIV/0!</v>
      </c>
    </row>
    <row r="103" spans="1:22" x14ac:dyDescent="0.4">
      <c r="A103" s="61" t="s">
        <v>203</v>
      </c>
      <c r="B103" s="62" t="s">
        <v>343</v>
      </c>
      <c r="C103" s="62" t="s">
        <v>205</v>
      </c>
      <c r="D103" s="62" t="s">
        <v>345</v>
      </c>
      <c r="E103" s="63" t="s">
        <v>304</v>
      </c>
      <c r="F103" s="62" t="s">
        <v>346</v>
      </c>
      <c r="G103" s="62" t="s">
        <v>187</v>
      </c>
      <c r="H103" s="62" t="s">
        <v>9</v>
      </c>
      <c r="I103" s="62" t="s">
        <v>143</v>
      </c>
      <c r="J103" s="63" t="s">
        <v>188</v>
      </c>
      <c r="K103" s="62" t="s">
        <v>244</v>
      </c>
      <c r="L103" s="64">
        <v>5</v>
      </c>
      <c r="M103" s="64">
        <f>L103*VLOOKUP(H103,dagsoorttabel1,2,FALSE)</f>
        <v>5.375</v>
      </c>
      <c r="N103" s="65">
        <f>prodnorm30</f>
        <v>0</v>
      </c>
      <c r="O103" s="66">
        <f>dagwerk30</f>
        <v>0</v>
      </c>
      <c r="P103" s="62" t="s">
        <v>40</v>
      </c>
      <c r="Q103" s="67">
        <f>uurtarief30</f>
        <v>0</v>
      </c>
      <c r="R103" s="64" t="e">
        <f>IF(ISBLANK(N103),0,M103/ROUND(N103,4))</f>
        <v>#DIV/0!</v>
      </c>
      <c r="S103" s="64" t="e">
        <f>IF(ISBLANK(N103),0,R103*ROUND(O103,2))</f>
        <v>#DIV/0!</v>
      </c>
      <c r="T103" s="67" t="e">
        <f>ROUND(Q103,2)*R103</f>
        <v>#DIV/0!</v>
      </c>
      <c r="U103" s="64" t="e">
        <f>R103*dagenperjaar1</f>
        <v>#DIV/0!</v>
      </c>
      <c r="V103" s="68" t="e">
        <f>U103*ROUND(Q103,2)</f>
        <v>#DIV/0!</v>
      </c>
    </row>
    <row r="104" spans="1:22" x14ac:dyDescent="0.4">
      <c r="A104" s="61" t="s">
        <v>203</v>
      </c>
      <c r="B104" s="62" t="s">
        <v>343</v>
      </c>
      <c r="C104" s="62" t="s">
        <v>205</v>
      </c>
      <c r="D104" s="62" t="s">
        <v>347</v>
      </c>
      <c r="E104" s="63" t="s">
        <v>348</v>
      </c>
      <c r="F104" s="62" t="s">
        <v>256</v>
      </c>
      <c r="G104" s="62" t="s">
        <v>151</v>
      </c>
      <c r="H104" s="62" t="s">
        <v>9</v>
      </c>
      <c r="I104" s="62" t="s">
        <v>143</v>
      </c>
      <c r="J104" s="63" t="s">
        <v>152</v>
      </c>
      <c r="K104" s="62" t="s">
        <v>244</v>
      </c>
      <c r="L104" s="64">
        <v>387</v>
      </c>
      <c r="M104" s="64">
        <f>L104*VLOOKUP(H104,dagsoorttabel1,2,FALSE)</f>
        <v>416.02499999999998</v>
      </c>
      <c r="N104" s="65">
        <f>prodnorm7</f>
        <v>0</v>
      </c>
      <c r="O104" s="66">
        <f>dagwerk7</f>
        <v>0</v>
      </c>
      <c r="P104" s="62" t="s">
        <v>40</v>
      </c>
      <c r="Q104" s="67">
        <f>uurtarief7</f>
        <v>0</v>
      </c>
      <c r="R104" s="64" t="e">
        <f>IF(ISBLANK(N104),0,M104/ROUND(N104,4))</f>
        <v>#DIV/0!</v>
      </c>
      <c r="S104" s="64" t="e">
        <f>IF(ISBLANK(N104),0,R104*ROUND(O104,2))</f>
        <v>#DIV/0!</v>
      </c>
      <c r="T104" s="67" t="e">
        <f>ROUND(Q104,2)*R104</f>
        <v>#DIV/0!</v>
      </c>
      <c r="U104" s="64" t="e">
        <f>R104*dagenperjaar1</f>
        <v>#DIV/0!</v>
      </c>
      <c r="V104" s="68" t="e">
        <f>U104*ROUND(Q104,2)</f>
        <v>#DIV/0!</v>
      </c>
    </row>
    <row r="105" spans="1:22" x14ac:dyDescent="0.4">
      <c r="A105" s="61" t="s">
        <v>203</v>
      </c>
      <c r="B105" s="62" t="s">
        <v>343</v>
      </c>
      <c r="C105" s="62" t="s">
        <v>205</v>
      </c>
      <c r="D105" s="62" t="s">
        <v>349</v>
      </c>
      <c r="E105" s="63" t="s">
        <v>350</v>
      </c>
      <c r="F105" s="62" t="s">
        <v>220</v>
      </c>
      <c r="G105" s="62" t="s">
        <v>179</v>
      </c>
      <c r="H105" s="62" t="s">
        <v>19</v>
      </c>
      <c r="I105" s="62" t="s">
        <v>143</v>
      </c>
      <c r="J105" s="63" t="s">
        <v>180</v>
      </c>
      <c r="K105" s="62" t="s">
        <v>244</v>
      </c>
      <c r="L105" s="64">
        <v>73</v>
      </c>
      <c r="M105" s="64">
        <f>L105*VLOOKUP(H105,dagsoorttabel1,2,FALSE)</f>
        <v>4.38</v>
      </c>
      <c r="N105" s="65">
        <f>prodnorm24</f>
        <v>0</v>
      </c>
      <c r="O105" s="66">
        <f>dagwerk24</f>
        <v>0</v>
      </c>
      <c r="P105" s="62" t="s">
        <v>40</v>
      </c>
      <c r="Q105" s="67">
        <f>uurtarief24</f>
        <v>0</v>
      </c>
      <c r="R105" s="64" t="e">
        <f>IF(ISBLANK(N105),0,M105/ROUND(N105,4))</f>
        <v>#DIV/0!</v>
      </c>
      <c r="S105" s="64" t="e">
        <f>IF(ISBLANK(N105),0,R105*ROUND(O105,2))</f>
        <v>#DIV/0!</v>
      </c>
      <c r="T105" s="67" t="e">
        <f>ROUND(Q105,2)*R105</f>
        <v>#DIV/0!</v>
      </c>
      <c r="U105" s="64" t="e">
        <f>R105*dagenperjaar1</f>
        <v>#DIV/0!</v>
      </c>
      <c r="V105" s="68" t="e">
        <f>U105*ROUND(Q105,2)</f>
        <v>#DIV/0!</v>
      </c>
    </row>
    <row r="106" spans="1:22" x14ac:dyDescent="0.4">
      <c r="A106" s="61" t="s">
        <v>203</v>
      </c>
      <c r="B106" s="62" t="s">
        <v>343</v>
      </c>
      <c r="C106" s="62" t="s">
        <v>205</v>
      </c>
      <c r="D106" s="62" t="s">
        <v>351</v>
      </c>
      <c r="E106" s="63" t="s">
        <v>352</v>
      </c>
      <c r="F106" s="62" t="s">
        <v>208</v>
      </c>
      <c r="G106" s="62" t="s">
        <v>177</v>
      </c>
      <c r="H106" s="62" t="s">
        <v>9</v>
      </c>
      <c r="I106" s="62" t="s">
        <v>143</v>
      </c>
      <c r="J106" s="63" t="s">
        <v>178</v>
      </c>
      <c r="K106" s="62" t="s">
        <v>209</v>
      </c>
      <c r="L106" s="64">
        <v>19</v>
      </c>
      <c r="M106" s="64">
        <f>L106*VLOOKUP(H106,dagsoorttabel1,2,FALSE)</f>
        <v>20.425000000000001</v>
      </c>
      <c r="N106" s="65">
        <f>prodnorm23</f>
        <v>0</v>
      </c>
      <c r="O106" s="66">
        <f>dagwerk23</f>
        <v>0</v>
      </c>
      <c r="P106" s="62" t="s">
        <v>40</v>
      </c>
      <c r="Q106" s="67">
        <f>uurtarief23</f>
        <v>0</v>
      </c>
      <c r="R106" s="64" t="e">
        <f>IF(ISBLANK(N106),0,M106/ROUND(N106,4))</f>
        <v>#DIV/0!</v>
      </c>
      <c r="S106" s="64" t="e">
        <f>IF(ISBLANK(N106),0,R106*ROUND(O106,2))</f>
        <v>#DIV/0!</v>
      </c>
      <c r="T106" s="67" t="e">
        <f>ROUND(Q106,2)*R106</f>
        <v>#DIV/0!</v>
      </c>
      <c r="U106" s="64" t="e">
        <f>R106*dagenperjaar1</f>
        <v>#DIV/0!</v>
      </c>
      <c r="V106" s="68" t="e">
        <f>U106*ROUND(Q106,2)</f>
        <v>#DIV/0!</v>
      </c>
    </row>
    <row r="107" spans="1:22" x14ac:dyDescent="0.4">
      <c r="A107" s="61" t="s">
        <v>203</v>
      </c>
      <c r="B107" s="62" t="s">
        <v>343</v>
      </c>
      <c r="C107" s="62" t="s">
        <v>205</v>
      </c>
      <c r="D107" s="62" t="s">
        <v>353</v>
      </c>
      <c r="E107" s="63" t="s">
        <v>354</v>
      </c>
      <c r="F107" s="62" t="s">
        <v>208</v>
      </c>
      <c r="G107" s="62" t="s">
        <v>177</v>
      </c>
      <c r="H107" s="62" t="s">
        <v>9</v>
      </c>
      <c r="I107" s="62" t="s">
        <v>143</v>
      </c>
      <c r="J107" s="63" t="s">
        <v>178</v>
      </c>
      <c r="K107" s="62" t="s">
        <v>209</v>
      </c>
      <c r="L107" s="64">
        <v>13</v>
      </c>
      <c r="M107" s="64">
        <f>L107*VLOOKUP(H107,dagsoorttabel1,2,FALSE)</f>
        <v>13.975</v>
      </c>
      <c r="N107" s="65">
        <f>prodnorm23</f>
        <v>0</v>
      </c>
      <c r="O107" s="66">
        <f>dagwerk23</f>
        <v>0</v>
      </c>
      <c r="P107" s="62" t="s">
        <v>40</v>
      </c>
      <c r="Q107" s="67">
        <f>uurtarief23</f>
        <v>0</v>
      </c>
      <c r="R107" s="64" t="e">
        <f>IF(ISBLANK(N107),0,M107/ROUND(N107,4))</f>
        <v>#DIV/0!</v>
      </c>
      <c r="S107" s="64" t="e">
        <f>IF(ISBLANK(N107),0,R107*ROUND(O107,2))</f>
        <v>#DIV/0!</v>
      </c>
      <c r="T107" s="67" t="e">
        <f>ROUND(Q107,2)*R107</f>
        <v>#DIV/0!</v>
      </c>
      <c r="U107" s="64" t="e">
        <f>R107*dagenperjaar1</f>
        <v>#DIV/0!</v>
      </c>
      <c r="V107" s="68" t="e">
        <f>U107*ROUND(Q107,2)</f>
        <v>#DIV/0!</v>
      </c>
    </row>
    <row r="108" spans="1:22" x14ac:dyDescent="0.4">
      <c r="A108" s="61" t="s">
        <v>203</v>
      </c>
      <c r="B108" s="62" t="s">
        <v>343</v>
      </c>
      <c r="C108" s="62" t="s">
        <v>205</v>
      </c>
      <c r="D108" s="62" t="s">
        <v>355</v>
      </c>
      <c r="E108" s="63" t="s">
        <v>356</v>
      </c>
      <c r="F108" s="62" t="s">
        <v>357</v>
      </c>
      <c r="G108" s="62" t="s">
        <v>183</v>
      </c>
      <c r="H108" s="62" t="s">
        <v>9</v>
      </c>
      <c r="I108" s="62" t="s">
        <v>143</v>
      </c>
      <c r="J108" s="63" t="s">
        <v>184</v>
      </c>
      <c r="K108" s="62" t="s">
        <v>244</v>
      </c>
      <c r="L108" s="64">
        <v>6</v>
      </c>
      <c r="M108" s="64">
        <f>L108*VLOOKUP(H108,dagsoorttabel1,2,FALSE)</f>
        <v>6.4499999999999993</v>
      </c>
      <c r="N108" s="65">
        <f>prodnorm27</f>
        <v>0</v>
      </c>
      <c r="O108" s="66">
        <f>dagwerk27</f>
        <v>0</v>
      </c>
      <c r="P108" s="62" t="s">
        <v>40</v>
      </c>
      <c r="Q108" s="67">
        <f>uurtarief27</f>
        <v>0</v>
      </c>
      <c r="R108" s="64" t="e">
        <f>IF(ISBLANK(N108),0,M108/ROUND(N108,4))</f>
        <v>#DIV/0!</v>
      </c>
      <c r="S108" s="64" t="e">
        <f>IF(ISBLANK(N108),0,R108*ROUND(O108,2))</f>
        <v>#DIV/0!</v>
      </c>
      <c r="T108" s="67" t="e">
        <f>ROUND(Q108,2)*R108</f>
        <v>#DIV/0!</v>
      </c>
      <c r="U108" s="64" t="e">
        <f>R108*dagenperjaar1</f>
        <v>#DIV/0!</v>
      </c>
      <c r="V108" s="68" t="e">
        <f>U108*ROUND(Q108,2)</f>
        <v>#DIV/0!</v>
      </c>
    </row>
    <row r="109" spans="1:22" x14ac:dyDescent="0.4">
      <c r="A109" s="61" t="s">
        <v>203</v>
      </c>
      <c r="B109" s="62" t="s">
        <v>358</v>
      </c>
      <c r="C109" s="62" t="s">
        <v>205</v>
      </c>
      <c r="D109" s="62" t="s">
        <v>359</v>
      </c>
      <c r="E109" s="63" t="s">
        <v>222</v>
      </c>
      <c r="F109" s="62" t="s">
        <v>223</v>
      </c>
      <c r="G109" s="62" t="s">
        <v>159</v>
      </c>
      <c r="H109" s="62" t="s">
        <v>9</v>
      </c>
      <c r="I109" s="62" t="s">
        <v>143</v>
      </c>
      <c r="J109" s="63" t="s">
        <v>160</v>
      </c>
      <c r="K109" s="62" t="s">
        <v>217</v>
      </c>
      <c r="L109" s="64">
        <v>46</v>
      </c>
      <c r="M109" s="64">
        <f>L109*VLOOKUP(H109,dagsoorttabel1,2,FALSE)</f>
        <v>49.449999999999996</v>
      </c>
      <c r="N109" s="65">
        <f>prodnorm11</f>
        <v>0</v>
      </c>
      <c r="O109" s="66">
        <f>dagwerk11</f>
        <v>0</v>
      </c>
      <c r="P109" s="62" t="s">
        <v>40</v>
      </c>
      <c r="Q109" s="67">
        <f>uurtarief11</f>
        <v>0</v>
      </c>
      <c r="R109" s="64" t="e">
        <f>IF(ISBLANK(N109),0,M109/ROUND(N109,4))</f>
        <v>#DIV/0!</v>
      </c>
      <c r="S109" s="64" t="e">
        <f>IF(ISBLANK(N109),0,R109*ROUND(O109,2))</f>
        <v>#DIV/0!</v>
      </c>
      <c r="T109" s="67" t="e">
        <f>ROUND(Q109,2)*R109</f>
        <v>#DIV/0!</v>
      </c>
      <c r="U109" s="64" t="e">
        <f>R109*dagenperjaar1</f>
        <v>#DIV/0!</v>
      </c>
      <c r="V109" s="68" t="e">
        <f>U109*ROUND(Q109,2)</f>
        <v>#DIV/0!</v>
      </c>
    </row>
    <row r="110" spans="1:22" x14ac:dyDescent="0.4">
      <c r="A110" s="61" t="s">
        <v>203</v>
      </c>
      <c r="B110" s="62" t="s">
        <v>358</v>
      </c>
      <c r="C110" s="62" t="s">
        <v>205</v>
      </c>
      <c r="D110" s="62" t="s">
        <v>360</v>
      </c>
      <c r="E110" s="63" t="s">
        <v>222</v>
      </c>
      <c r="F110" s="62" t="s">
        <v>223</v>
      </c>
      <c r="G110" s="62" t="s">
        <v>159</v>
      </c>
      <c r="H110" s="62" t="s">
        <v>9</v>
      </c>
      <c r="I110" s="62" t="s">
        <v>143</v>
      </c>
      <c r="J110" s="63" t="s">
        <v>160</v>
      </c>
      <c r="K110" s="62" t="s">
        <v>217</v>
      </c>
      <c r="L110" s="64">
        <v>56</v>
      </c>
      <c r="M110" s="64">
        <f>L110*VLOOKUP(H110,dagsoorttabel1,2,FALSE)</f>
        <v>60.199999999999996</v>
      </c>
      <c r="N110" s="65">
        <f>prodnorm11</f>
        <v>0</v>
      </c>
      <c r="O110" s="66">
        <f>dagwerk11</f>
        <v>0</v>
      </c>
      <c r="P110" s="62" t="s">
        <v>40</v>
      </c>
      <c r="Q110" s="67">
        <f>uurtarief11</f>
        <v>0</v>
      </c>
      <c r="R110" s="64" t="e">
        <f>IF(ISBLANK(N110),0,M110/ROUND(N110,4))</f>
        <v>#DIV/0!</v>
      </c>
      <c r="S110" s="64" t="e">
        <f>IF(ISBLANK(N110),0,R110*ROUND(O110,2))</f>
        <v>#DIV/0!</v>
      </c>
      <c r="T110" s="67" t="e">
        <f>ROUND(Q110,2)*R110</f>
        <v>#DIV/0!</v>
      </c>
      <c r="U110" s="64" t="e">
        <f>R110*dagenperjaar1</f>
        <v>#DIV/0!</v>
      </c>
      <c r="V110" s="68" t="e">
        <f>U110*ROUND(Q110,2)</f>
        <v>#DIV/0!</v>
      </c>
    </row>
    <row r="111" spans="1:22" x14ac:dyDescent="0.4">
      <c r="A111" s="61" t="s">
        <v>203</v>
      </c>
      <c r="B111" s="62" t="s">
        <v>358</v>
      </c>
      <c r="C111" s="62" t="s">
        <v>205</v>
      </c>
      <c r="D111" s="62" t="s">
        <v>361</v>
      </c>
      <c r="E111" s="63" t="s">
        <v>222</v>
      </c>
      <c r="F111" s="62" t="s">
        <v>223</v>
      </c>
      <c r="G111" s="62" t="s">
        <v>159</v>
      </c>
      <c r="H111" s="62" t="s">
        <v>9</v>
      </c>
      <c r="I111" s="62" t="s">
        <v>143</v>
      </c>
      <c r="J111" s="63" t="s">
        <v>160</v>
      </c>
      <c r="K111" s="62" t="s">
        <v>217</v>
      </c>
      <c r="L111" s="64">
        <v>56</v>
      </c>
      <c r="M111" s="64">
        <f>L111*VLOOKUP(H111,dagsoorttabel1,2,FALSE)</f>
        <v>60.199999999999996</v>
      </c>
      <c r="N111" s="65">
        <f>prodnorm11</f>
        <v>0</v>
      </c>
      <c r="O111" s="66">
        <f>dagwerk11</f>
        <v>0</v>
      </c>
      <c r="P111" s="62" t="s">
        <v>40</v>
      </c>
      <c r="Q111" s="67">
        <f>uurtarief11</f>
        <v>0</v>
      </c>
      <c r="R111" s="64" t="e">
        <f>IF(ISBLANK(N111),0,M111/ROUND(N111,4))</f>
        <v>#DIV/0!</v>
      </c>
      <c r="S111" s="64" t="e">
        <f>IF(ISBLANK(N111),0,R111*ROUND(O111,2))</f>
        <v>#DIV/0!</v>
      </c>
      <c r="T111" s="67" t="e">
        <f>ROUND(Q111,2)*R111</f>
        <v>#DIV/0!</v>
      </c>
      <c r="U111" s="64" t="e">
        <f>R111*dagenperjaar1</f>
        <v>#DIV/0!</v>
      </c>
      <c r="V111" s="68" t="e">
        <f>U111*ROUND(Q111,2)</f>
        <v>#DIV/0!</v>
      </c>
    </row>
    <row r="112" spans="1:22" x14ac:dyDescent="0.4">
      <c r="A112" s="61" t="s">
        <v>203</v>
      </c>
      <c r="B112" s="62" t="s">
        <v>358</v>
      </c>
      <c r="C112" s="62" t="s">
        <v>205</v>
      </c>
      <c r="D112" s="62" t="s">
        <v>362</v>
      </c>
      <c r="E112" s="63" t="s">
        <v>222</v>
      </c>
      <c r="F112" s="62" t="s">
        <v>223</v>
      </c>
      <c r="G112" s="62" t="s">
        <v>159</v>
      </c>
      <c r="H112" s="62" t="s">
        <v>9</v>
      </c>
      <c r="I112" s="62" t="s">
        <v>143</v>
      </c>
      <c r="J112" s="63" t="s">
        <v>160</v>
      </c>
      <c r="K112" s="62" t="s">
        <v>217</v>
      </c>
      <c r="L112" s="64">
        <v>56</v>
      </c>
      <c r="M112" s="64">
        <f>L112*VLOOKUP(H112,dagsoorttabel1,2,FALSE)</f>
        <v>60.199999999999996</v>
      </c>
      <c r="N112" s="65">
        <f>prodnorm11</f>
        <v>0</v>
      </c>
      <c r="O112" s="66">
        <f>dagwerk11</f>
        <v>0</v>
      </c>
      <c r="P112" s="62" t="s">
        <v>40</v>
      </c>
      <c r="Q112" s="67">
        <f>uurtarief11</f>
        <v>0</v>
      </c>
      <c r="R112" s="64" t="e">
        <f>IF(ISBLANK(N112),0,M112/ROUND(N112,4))</f>
        <v>#DIV/0!</v>
      </c>
      <c r="S112" s="64" t="e">
        <f>IF(ISBLANK(N112),0,R112*ROUND(O112,2))</f>
        <v>#DIV/0!</v>
      </c>
      <c r="T112" s="67" t="e">
        <f>ROUND(Q112,2)*R112</f>
        <v>#DIV/0!</v>
      </c>
      <c r="U112" s="64" t="e">
        <f>R112*dagenperjaar1</f>
        <v>#DIV/0!</v>
      </c>
      <c r="V112" s="68" t="e">
        <f>U112*ROUND(Q112,2)</f>
        <v>#DIV/0!</v>
      </c>
    </row>
    <row r="113" spans="1:22" x14ac:dyDescent="0.4">
      <c r="A113" s="61" t="s">
        <v>203</v>
      </c>
      <c r="B113" s="62" t="s">
        <v>358</v>
      </c>
      <c r="C113" s="62" t="s">
        <v>205</v>
      </c>
      <c r="D113" s="62" t="s">
        <v>363</v>
      </c>
      <c r="E113" s="63" t="s">
        <v>211</v>
      </c>
      <c r="F113" s="62" t="s">
        <v>223</v>
      </c>
      <c r="G113" s="62" t="s">
        <v>142</v>
      </c>
      <c r="H113" s="62" t="s">
        <v>14</v>
      </c>
      <c r="I113" s="62" t="s">
        <v>143</v>
      </c>
      <c r="J113" s="63" t="s">
        <v>144</v>
      </c>
      <c r="K113" s="62" t="s">
        <v>213</v>
      </c>
      <c r="L113" s="64">
        <v>22</v>
      </c>
      <c r="M113" s="64">
        <f>L113*VLOOKUP(H113,dagsoorttabel1,2,FALSE)</f>
        <v>9.4599999999999991</v>
      </c>
      <c r="N113" s="65">
        <f>prodnorm2</f>
        <v>0</v>
      </c>
      <c r="O113" s="66">
        <f>dagwerk2</f>
        <v>0</v>
      </c>
      <c r="P113" s="62" t="s">
        <v>40</v>
      </c>
      <c r="Q113" s="67">
        <f>uurtarief2</f>
        <v>0</v>
      </c>
      <c r="R113" s="64" t="e">
        <f>IF(ISBLANK(N113),0,M113/ROUND(N113,4))</f>
        <v>#DIV/0!</v>
      </c>
      <c r="S113" s="64" t="e">
        <f>IF(ISBLANK(N113),0,R113*ROUND(O113,2))</f>
        <v>#DIV/0!</v>
      </c>
      <c r="T113" s="67" t="e">
        <f>ROUND(Q113,2)*R113</f>
        <v>#DIV/0!</v>
      </c>
      <c r="U113" s="64" t="e">
        <f>R113*dagenperjaar1</f>
        <v>#DIV/0!</v>
      </c>
      <c r="V113" s="68" t="e">
        <f>U113*ROUND(Q113,2)</f>
        <v>#DIV/0!</v>
      </c>
    </row>
    <row r="114" spans="1:22" x14ac:dyDescent="0.4">
      <c r="A114" s="61" t="s">
        <v>203</v>
      </c>
      <c r="B114" s="62" t="s">
        <v>358</v>
      </c>
      <c r="C114" s="62" t="s">
        <v>205</v>
      </c>
      <c r="D114" s="62" t="s">
        <v>364</v>
      </c>
      <c r="E114" s="63" t="s">
        <v>211</v>
      </c>
      <c r="F114" s="62" t="s">
        <v>256</v>
      </c>
      <c r="G114" s="62" t="s">
        <v>142</v>
      </c>
      <c r="H114" s="62" t="s">
        <v>14</v>
      </c>
      <c r="I114" s="62" t="s">
        <v>143</v>
      </c>
      <c r="J114" s="63" t="s">
        <v>144</v>
      </c>
      <c r="K114" s="62" t="s">
        <v>213</v>
      </c>
      <c r="L114" s="64">
        <v>27</v>
      </c>
      <c r="M114" s="64">
        <f>L114*VLOOKUP(H114,dagsoorttabel1,2,FALSE)</f>
        <v>11.61</v>
      </c>
      <c r="N114" s="65">
        <f>prodnorm2</f>
        <v>0</v>
      </c>
      <c r="O114" s="66">
        <f>dagwerk2</f>
        <v>0</v>
      </c>
      <c r="P114" s="62" t="s">
        <v>40</v>
      </c>
      <c r="Q114" s="67">
        <f>uurtarief2</f>
        <v>0</v>
      </c>
      <c r="R114" s="64" t="e">
        <f>IF(ISBLANK(N114),0,M114/ROUND(N114,4))</f>
        <v>#DIV/0!</v>
      </c>
      <c r="S114" s="64" t="e">
        <f>IF(ISBLANK(N114),0,R114*ROUND(O114,2))</f>
        <v>#DIV/0!</v>
      </c>
      <c r="T114" s="67" t="e">
        <f>ROUND(Q114,2)*R114</f>
        <v>#DIV/0!</v>
      </c>
      <c r="U114" s="64" t="e">
        <f>R114*dagenperjaar1</f>
        <v>#DIV/0!</v>
      </c>
      <c r="V114" s="68" t="e">
        <f>U114*ROUND(Q114,2)</f>
        <v>#DIV/0!</v>
      </c>
    </row>
    <row r="115" spans="1:22" x14ac:dyDescent="0.4">
      <c r="A115" s="61" t="s">
        <v>203</v>
      </c>
      <c r="B115" s="62" t="s">
        <v>358</v>
      </c>
      <c r="C115" s="62" t="s">
        <v>205</v>
      </c>
      <c r="D115" s="62" t="s">
        <v>365</v>
      </c>
      <c r="E115" s="63" t="s">
        <v>222</v>
      </c>
      <c r="F115" s="62" t="s">
        <v>223</v>
      </c>
      <c r="G115" s="62" t="s">
        <v>159</v>
      </c>
      <c r="H115" s="62" t="s">
        <v>9</v>
      </c>
      <c r="I115" s="62" t="s">
        <v>143</v>
      </c>
      <c r="J115" s="63" t="s">
        <v>160</v>
      </c>
      <c r="K115" s="62" t="s">
        <v>217</v>
      </c>
      <c r="L115" s="64">
        <v>56</v>
      </c>
      <c r="M115" s="64">
        <f>L115*VLOOKUP(H115,dagsoorttabel1,2,FALSE)</f>
        <v>60.199999999999996</v>
      </c>
      <c r="N115" s="65">
        <f>prodnorm11</f>
        <v>0</v>
      </c>
      <c r="O115" s="66">
        <f>dagwerk11</f>
        <v>0</v>
      </c>
      <c r="P115" s="62" t="s">
        <v>40</v>
      </c>
      <c r="Q115" s="67">
        <f>uurtarief11</f>
        <v>0</v>
      </c>
      <c r="R115" s="64" t="e">
        <f>IF(ISBLANK(N115),0,M115/ROUND(N115,4))</f>
        <v>#DIV/0!</v>
      </c>
      <c r="S115" s="64" t="e">
        <f>IF(ISBLANK(N115),0,R115*ROUND(O115,2))</f>
        <v>#DIV/0!</v>
      </c>
      <c r="T115" s="67" t="e">
        <f>ROUND(Q115,2)*R115</f>
        <v>#DIV/0!</v>
      </c>
      <c r="U115" s="64" t="e">
        <f>R115*dagenperjaar1</f>
        <v>#DIV/0!</v>
      </c>
      <c r="V115" s="68" t="e">
        <f>U115*ROUND(Q115,2)</f>
        <v>#DIV/0!</v>
      </c>
    </row>
    <row r="116" spans="1:22" x14ac:dyDescent="0.4">
      <c r="A116" s="61" t="s">
        <v>203</v>
      </c>
      <c r="B116" s="62" t="s">
        <v>358</v>
      </c>
      <c r="C116" s="62" t="s">
        <v>205</v>
      </c>
      <c r="D116" s="62" t="s">
        <v>366</v>
      </c>
      <c r="E116" s="63" t="s">
        <v>222</v>
      </c>
      <c r="F116" s="62" t="s">
        <v>223</v>
      </c>
      <c r="G116" s="62" t="s">
        <v>159</v>
      </c>
      <c r="H116" s="62" t="s">
        <v>9</v>
      </c>
      <c r="I116" s="62" t="s">
        <v>143</v>
      </c>
      <c r="J116" s="63" t="s">
        <v>160</v>
      </c>
      <c r="K116" s="62" t="s">
        <v>217</v>
      </c>
      <c r="L116" s="64">
        <v>84</v>
      </c>
      <c r="M116" s="64">
        <f>L116*VLOOKUP(H116,dagsoorttabel1,2,FALSE)</f>
        <v>90.3</v>
      </c>
      <c r="N116" s="65">
        <f>prodnorm11</f>
        <v>0</v>
      </c>
      <c r="O116" s="66">
        <f>dagwerk11</f>
        <v>0</v>
      </c>
      <c r="P116" s="62" t="s">
        <v>40</v>
      </c>
      <c r="Q116" s="67">
        <f>uurtarief11</f>
        <v>0</v>
      </c>
      <c r="R116" s="64" t="e">
        <f>IF(ISBLANK(N116),0,M116/ROUND(N116,4))</f>
        <v>#DIV/0!</v>
      </c>
      <c r="S116" s="64" t="e">
        <f>IF(ISBLANK(N116),0,R116*ROUND(O116,2))</f>
        <v>#DIV/0!</v>
      </c>
      <c r="T116" s="67" t="e">
        <f>ROUND(Q116,2)*R116</f>
        <v>#DIV/0!</v>
      </c>
      <c r="U116" s="64" t="e">
        <f>R116*dagenperjaar1</f>
        <v>#DIV/0!</v>
      </c>
      <c r="V116" s="68" t="e">
        <f>U116*ROUND(Q116,2)</f>
        <v>#DIV/0!</v>
      </c>
    </row>
    <row r="117" spans="1:22" x14ac:dyDescent="0.4">
      <c r="A117" s="61" t="s">
        <v>203</v>
      </c>
      <c r="B117" s="62" t="s">
        <v>358</v>
      </c>
      <c r="C117" s="62" t="s">
        <v>205</v>
      </c>
      <c r="D117" s="62" t="s">
        <v>367</v>
      </c>
      <c r="E117" s="63" t="s">
        <v>368</v>
      </c>
      <c r="F117" s="62" t="s">
        <v>223</v>
      </c>
      <c r="G117" s="62" t="s">
        <v>169</v>
      </c>
      <c r="H117" s="62" t="s">
        <v>14</v>
      </c>
      <c r="I117" s="62" t="s">
        <v>143</v>
      </c>
      <c r="J117" s="63" t="s">
        <v>170</v>
      </c>
      <c r="K117" s="62" t="s">
        <v>217</v>
      </c>
      <c r="L117" s="64">
        <v>19</v>
      </c>
      <c r="M117" s="64">
        <f>L117*VLOOKUP(H117,dagsoorttabel1,2,FALSE)</f>
        <v>8.17</v>
      </c>
      <c r="N117" s="65">
        <f>prodnorm18</f>
        <v>0</v>
      </c>
      <c r="O117" s="66">
        <f>dagwerk18</f>
        <v>0</v>
      </c>
      <c r="P117" s="62" t="s">
        <v>40</v>
      </c>
      <c r="Q117" s="67">
        <f>uurtarief18</f>
        <v>0</v>
      </c>
      <c r="R117" s="64" t="e">
        <f>IF(ISBLANK(N117),0,M117/ROUND(N117,4))</f>
        <v>#DIV/0!</v>
      </c>
      <c r="S117" s="64" t="e">
        <f>IF(ISBLANK(N117),0,R117*ROUND(O117,2))</f>
        <v>#DIV/0!</v>
      </c>
      <c r="T117" s="67" t="e">
        <f>ROUND(Q117,2)*R117</f>
        <v>#DIV/0!</v>
      </c>
      <c r="U117" s="64" t="e">
        <f>R117*dagenperjaar1</f>
        <v>#DIV/0!</v>
      </c>
      <c r="V117" s="68" t="e">
        <f>U117*ROUND(Q117,2)</f>
        <v>#DIV/0!</v>
      </c>
    </row>
    <row r="118" spans="1:22" x14ac:dyDescent="0.4">
      <c r="A118" s="61" t="s">
        <v>203</v>
      </c>
      <c r="B118" s="62" t="s">
        <v>358</v>
      </c>
      <c r="C118" s="62" t="s">
        <v>205</v>
      </c>
      <c r="D118" s="62" t="s">
        <v>369</v>
      </c>
      <c r="E118" s="63" t="s">
        <v>370</v>
      </c>
      <c r="F118" s="62" t="s">
        <v>223</v>
      </c>
      <c r="G118" s="62" t="s">
        <v>167</v>
      </c>
      <c r="H118" s="62" t="s">
        <v>9</v>
      </c>
      <c r="I118" s="62" t="s">
        <v>143</v>
      </c>
      <c r="J118" s="63" t="s">
        <v>168</v>
      </c>
      <c r="K118" s="62" t="s">
        <v>217</v>
      </c>
      <c r="L118" s="64">
        <v>93</v>
      </c>
      <c r="M118" s="64">
        <f>L118*VLOOKUP(H118,dagsoorttabel1,2,FALSE)</f>
        <v>99.974999999999994</v>
      </c>
      <c r="N118" s="65">
        <f>prodnorm16</f>
        <v>0</v>
      </c>
      <c r="O118" s="66">
        <f>dagwerk16</f>
        <v>0</v>
      </c>
      <c r="P118" s="62" t="s">
        <v>40</v>
      </c>
      <c r="Q118" s="67">
        <f>uurtarief16</f>
        <v>0</v>
      </c>
      <c r="R118" s="64" t="e">
        <f>IF(ISBLANK(N118),0,M118/ROUND(N118,4))</f>
        <v>#DIV/0!</v>
      </c>
      <c r="S118" s="64" t="e">
        <f>IF(ISBLANK(N118),0,R118*ROUND(O118,2))</f>
        <v>#DIV/0!</v>
      </c>
      <c r="T118" s="67" t="e">
        <f>ROUND(Q118,2)*R118</f>
        <v>#DIV/0!</v>
      </c>
      <c r="U118" s="64" t="e">
        <f>R118*dagenperjaar1</f>
        <v>#DIV/0!</v>
      </c>
      <c r="V118" s="68" t="e">
        <f>U118*ROUND(Q118,2)</f>
        <v>#DIV/0!</v>
      </c>
    </row>
    <row r="119" spans="1:22" x14ac:dyDescent="0.4">
      <c r="A119" s="61" t="s">
        <v>203</v>
      </c>
      <c r="B119" s="62" t="s">
        <v>358</v>
      </c>
      <c r="C119" s="62" t="s">
        <v>205</v>
      </c>
      <c r="D119" s="62" t="s">
        <v>371</v>
      </c>
      <c r="E119" s="63" t="s">
        <v>222</v>
      </c>
      <c r="F119" s="62" t="s">
        <v>223</v>
      </c>
      <c r="G119" s="62" t="s">
        <v>159</v>
      </c>
      <c r="H119" s="62" t="s">
        <v>9</v>
      </c>
      <c r="I119" s="62" t="s">
        <v>143</v>
      </c>
      <c r="J119" s="63" t="s">
        <v>160</v>
      </c>
      <c r="K119" s="62" t="s">
        <v>217</v>
      </c>
      <c r="L119" s="64">
        <v>52</v>
      </c>
      <c r="M119" s="64">
        <f>L119*VLOOKUP(H119,dagsoorttabel1,2,FALSE)</f>
        <v>55.9</v>
      </c>
      <c r="N119" s="65">
        <f>prodnorm11</f>
        <v>0</v>
      </c>
      <c r="O119" s="66">
        <f>dagwerk11</f>
        <v>0</v>
      </c>
      <c r="P119" s="62" t="s">
        <v>40</v>
      </c>
      <c r="Q119" s="67">
        <f>uurtarief11</f>
        <v>0</v>
      </c>
      <c r="R119" s="64" t="e">
        <f>IF(ISBLANK(N119),0,M119/ROUND(N119,4))</f>
        <v>#DIV/0!</v>
      </c>
      <c r="S119" s="64" t="e">
        <f>IF(ISBLANK(N119),0,R119*ROUND(O119,2))</f>
        <v>#DIV/0!</v>
      </c>
      <c r="T119" s="67" t="e">
        <f>ROUND(Q119,2)*R119</f>
        <v>#DIV/0!</v>
      </c>
      <c r="U119" s="64" t="e">
        <f>R119*dagenperjaar1</f>
        <v>#DIV/0!</v>
      </c>
      <c r="V119" s="68" t="e">
        <f>U119*ROUND(Q119,2)</f>
        <v>#DIV/0!</v>
      </c>
    </row>
    <row r="120" spans="1:22" x14ac:dyDescent="0.4">
      <c r="A120" s="61" t="s">
        <v>203</v>
      </c>
      <c r="B120" s="62" t="s">
        <v>358</v>
      </c>
      <c r="C120" s="62" t="s">
        <v>205</v>
      </c>
      <c r="D120" s="62" t="s">
        <v>372</v>
      </c>
      <c r="E120" s="63" t="s">
        <v>278</v>
      </c>
      <c r="F120" s="62" t="s">
        <v>208</v>
      </c>
      <c r="G120" s="62" t="s">
        <v>155</v>
      </c>
      <c r="H120" s="62" t="s">
        <v>14</v>
      </c>
      <c r="I120" s="62" t="s">
        <v>143</v>
      </c>
      <c r="J120" s="63" t="s">
        <v>156</v>
      </c>
      <c r="K120" s="62" t="s">
        <v>244</v>
      </c>
      <c r="L120" s="64">
        <v>20</v>
      </c>
      <c r="M120" s="64">
        <f>L120*VLOOKUP(H120,dagsoorttabel1,2,FALSE)</f>
        <v>8.6</v>
      </c>
      <c r="N120" s="65">
        <f>prodnorm9</f>
        <v>0</v>
      </c>
      <c r="O120" s="66">
        <f>dagwerk9</f>
        <v>0</v>
      </c>
      <c r="P120" s="62" t="s">
        <v>40</v>
      </c>
      <c r="Q120" s="67">
        <f>uurtarief9</f>
        <v>0</v>
      </c>
      <c r="R120" s="64" t="e">
        <f>IF(ISBLANK(N120),0,M120/ROUND(N120,4))</f>
        <v>#DIV/0!</v>
      </c>
      <c r="S120" s="64" t="e">
        <f>IF(ISBLANK(N120),0,R120*ROUND(O120,2))</f>
        <v>#DIV/0!</v>
      </c>
      <c r="T120" s="67" t="e">
        <f>ROUND(Q120,2)*R120</f>
        <v>#DIV/0!</v>
      </c>
      <c r="U120" s="64" t="e">
        <f>R120*dagenperjaar1</f>
        <v>#DIV/0!</v>
      </c>
      <c r="V120" s="68" t="e">
        <f>U120*ROUND(Q120,2)</f>
        <v>#DIV/0!</v>
      </c>
    </row>
    <row r="121" spans="1:22" x14ac:dyDescent="0.4">
      <c r="A121" s="61" t="s">
        <v>203</v>
      </c>
      <c r="B121" s="62" t="s">
        <v>358</v>
      </c>
      <c r="C121" s="62" t="s">
        <v>205</v>
      </c>
      <c r="D121" s="62" t="s">
        <v>372</v>
      </c>
      <c r="E121" s="63" t="s">
        <v>283</v>
      </c>
      <c r="F121" s="62" t="s">
        <v>223</v>
      </c>
      <c r="G121" s="62" t="s">
        <v>142</v>
      </c>
      <c r="H121" s="62" t="s">
        <v>14</v>
      </c>
      <c r="I121" s="62" t="s">
        <v>143</v>
      </c>
      <c r="J121" s="63" t="s">
        <v>144</v>
      </c>
      <c r="K121" s="62" t="s">
        <v>213</v>
      </c>
      <c r="L121" s="64">
        <v>13</v>
      </c>
      <c r="M121" s="64">
        <f>L121*VLOOKUP(H121,dagsoorttabel1,2,FALSE)</f>
        <v>5.59</v>
      </c>
      <c r="N121" s="65">
        <f>prodnorm2</f>
        <v>0</v>
      </c>
      <c r="O121" s="66">
        <f>dagwerk2</f>
        <v>0</v>
      </c>
      <c r="P121" s="62" t="s">
        <v>40</v>
      </c>
      <c r="Q121" s="67">
        <f>uurtarief2</f>
        <v>0</v>
      </c>
      <c r="R121" s="64" t="e">
        <f>IF(ISBLANK(N121),0,M121/ROUND(N121,4))</f>
        <v>#DIV/0!</v>
      </c>
      <c r="S121" s="64" t="e">
        <f>IF(ISBLANK(N121),0,R121*ROUND(O121,2))</f>
        <v>#DIV/0!</v>
      </c>
      <c r="T121" s="67" t="e">
        <f>ROUND(Q121,2)*R121</f>
        <v>#DIV/0!</v>
      </c>
      <c r="U121" s="64" t="e">
        <f>R121*dagenperjaar1</f>
        <v>#DIV/0!</v>
      </c>
      <c r="V121" s="68" t="e">
        <f>U121*ROUND(Q121,2)</f>
        <v>#DIV/0!</v>
      </c>
    </row>
    <row r="122" spans="1:22" x14ac:dyDescent="0.4">
      <c r="A122" s="61" t="s">
        <v>203</v>
      </c>
      <c r="B122" s="62" t="s">
        <v>358</v>
      </c>
      <c r="C122" s="62" t="s">
        <v>205</v>
      </c>
      <c r="D122" s="62" t="s">
        <v>373</v>
      </c>
      <c r="E122" s="63" t="s">
        <v>211</v>
      </c>
      <c r="F122" s="62" t="s">
        <v>212</v>
      </c>
      <c r="G122" s="62" t="s">
        <v>145</v>
      </c>
      <c r="H122" s="62" t="s">
        <v>14</v>
      </c>
      <c r="I122" s="62" t="s">
        <v>143</v>
      </c>
      <c r="J122" s="63" t="s">
        <v>146</v>
      </c>
      <c r="K122" s="62" t="s">
        <v>213</v>
      </c>
      <c r="L122" s="64">
        <v>25</v>
      </c>
      <c r="M122" s="64">
        <f>L122*VLOOKUP(H122,dagsoorttabel1,2,FALSE)</f>
        <v>10.75</v>
      </c>
      <c r="N122" s="65">
        <f>prodnorm4</f>
        <v>0</v>
      </c>
      <c r="O122" s="66">
        <f>dagwerk4</f>
        <v>0</v>
      </c>
      <c r="P122" s="62" t="s">
        <v>40</v>
      </c>
      <c r="Q122" s="67">
        <f>uurtarief4</f>
        <v>0</v>
      </c>
      <c r="R122" s="64" t="e">
        <f>IF(ISBLANK(N122),0,M122/ROUND(N122,4))</f>
        <v>#DIV/0!</v>
      </c>
      <c r="S122" s="64" t="e">
        <f>IF(ISBLANK(N122),0,R122*ROUND(O122,2))</f>
        <v>#DIV/0!</v>
      </c>
      <c r="T122" s="67" t="e">
        <f>ROUND(Q122,2)*R122</f>
        <v>#DIV/0!</v>
      </c>
      <c r="U122" s="64" t="e">
        <f>R122*dagenperjaar1</f>
        <v>#DIV/0!</v>
      </c>
      <c r="V122" s="68" t="e">
        <f>U122*ROUND(Q122,2)</f>
        <v>#DIV/0!</v>
      </c>
    </row>
    <row r="123" spans="1:22" x14ac:dyDescent="0.4">
      <c r="A123" s="61" t="s">
        <v>203</v>
      </c>
      <c r="B123" s="62" t="s">
        <v>358</v>
      </c>
      <c r="C123" s="62" t="s">
        <v>205</v>
      </c>
      <c r="D123" s="62" t="s">
        <v>374</v>
      </c>
      <c r="E123" s="63" t="s">
        <v>222</v>
      </c>
      <c r="F123" s="62" t="s">
        <v>223</v>
      </c>
      <c r="G123" s="62" t="s">
        <v>159</v>
      </c>
      <c r="H123" s="62" t="s">
        <v>9</v>
      </c>
      <c r="I123" s="62" t="s">
        <v>143</v>
      </c>
      <c r="J123" s="63" t="s">
        <v>160</v>
      </c>
      <c r="K123" s="62" t="s">
        <v>217</v>
      </c>
      <c r="L123" s="64">
        <v>56</v>
      </c>
      <c r="M123" s="64">
        <f>L123*VLOOKUP(H123,dagsoorttabel1,2,FALSE)</f>
        <v>60.199999999999996</v>
      </c>
      <c r="N123" s="65">
        <f>prodnorm11</f>
        <v>0</v>
      </c>
      <c r="O123" s="66">
        <f>dagwerk11</f>
        <v>0</v>
      </c>
      <c r="P123" s="62" t="s">
        <v>40</v>
      </c>
      <c r="Q123" s="67">
        <f>uurtarief11</f>
        <v>0</v>
      </c>
      <c r="R123" s="64" t="e">
        <f>IF(ISBLANK(N123),0,M123/ROUND(N123,4))</f>
        <v>#DIV/0!</v>
      </c>
      <c r="S123" s="64" t="e">
        <f>IF(ISBLANK(N123),0,R123*ROUND(O123,2))</f>
        <v>#DIV/0!</v>
      </c>
      <c r="T123" s="67" t="e">
        <f>ROUND(Q123,2)*R123</f>
        <v>#DIV/0!</v>
      </c>
      <c r="U123" s="64" t="e">
        <f>R123*dagenperjaar1</f>
        <v>#DIV/0!</v>
      </c>
      <c r="V123" s="68" t="e">
        <f>U123*ROUND(Q123,2)</f>
        <v>#DIV/0!</v>
      </c>
    </row>
    <row r="124" spans="1:22" x14ac:dyDescent="0.4">
      <c r="A124" s="61" t="s">
        <v>203</v>
      </c>
      <c r="B124" s="62" t="s">
        <v>358</v>
      </c>
      <c r="C124" s="62" t="s">
        <v>205</v>
      </c>
      <c r="D124" s="62" t="s">
        <v>375</v>
      </c>
      <c r="E124" s="63" t="s">
        <v>222</v>
      </c>
      <c r="F124" s="62" t="s">
        <v>223</v>
      </c>
      <c r="G124" s="62" t="s">
        <v>159</v>
      </c>
      <c r="H124" s="62" t="s">
        <v>9</v>
      </c>
      <c r="I124" s="62" t="s">
        <v>143</v>
      </c>
      <c r="J124" s="63" t="s">
        <v>160</v>
      </c>
      <c r="K124" s="62" t="s">
        <v>217</v>
      </c>
      <c r="L124" s="64">
        <v>56</v>
      </c>
      <c r="M124" s="64">
        <f>L124*VLOOKUP(H124,dagsoorttabel1,2,FALSE)</f>
        <v>60.199999999999996</v>
      </c>
      <c r="N124" s="65">
        <f>prodnorm11</f>
        <v>0</v>
      </c>
      <c r="O124" s="66">
        <f>dagwerk11</f>
        <v>0</v>
      </c>
      <c r="P124" s="62" t="s">
        <v>40</v>
      </c>
      <c r="Q124" s="67">
        <f>uurtarief11</f>
        <v>0</v>
      </c>
      <c r="R124" s="64" t="e">
        <f>IF(ISBLANK(N124),0,M124/ROUND(N124,4))</f>
        <v>#DIV/0!</v>
      </c>
      <c r="S124" s="64" t="e">
        <f>IF(ISBLANK(N124),0,R124*ROUND(O124,2))</f>
        <v>#DIV/0!</v>
      </c>
      <c r="T124" s="67" t="e">
        <f>ROUND(Q124,2)*R124</f>
        <v>#DIV/0!</v>
      </c>
      <c r="U124" s="64" t="e">
        <f>R124*dagenperjaar1</f>
        <v>#DIV/0!</v>
      </c>
      <c r="V124" s="68" t="e">
        <f>U124*ROUND(Q124,2)</f>
        <v>#DIV/0!</v>
      </c>
    </row>
    <row r="125" spans="1:22" x14ac:dyDescent="0.4">
      <c r="A125" s="61" t="s">
        <v>203</v>
      </c>
      <c r="B125" s="62" t="s">
        <v>358</v>
      </c>
      <c r="C125" s="62" t="s">
        <v>205</v>
      </c>
      <c r="D125" s="62" t="s">
        <v>376</v>
      </c>
      <c r="E125" s="63" t="s">
        <v>377</v>
      </c>
      <c r="F125" s="62" t="s">
        <v>223</v>
      </c>
      <c r="G125" s="62" t="s">
        <v>167</v>
      </c>
      <c r="H125" s="62" t="s">
        <v>9</v>
      </c>
      <c r="I125" s="62" t="s">
        <v>143</v>
      </c>
      <c r="J125" s="63" t="s">
        <v>168</v>
      </c>
      <c r="K125" s="62" t="s">
        <v>217</v>
      </c>
      <c r="L125" s="64">
        <v>130</v>
      </c>
      <c r="M125" s="64">
        <f>L125*VLOOKUP(H125,dagsoorttabel1,2,FALSE)</f>
        <v>139.75</v>
      </c>
      <c r="N125" s="65">
        <f>prodnorm16</f>
        <v>0</v>
      </c>
      <c r="O125" s="66">
        <f>dagwerk16</f>
        <v>0</v>
      </c>
      <c r="P125" s="62" t="s">
        <v>40</v>
      </c>
      <c r="Q125" s="67">
        <f>uurtarief16</f>
        <v>0</v>
      </c>
      <c r="R125" s="64" t="e">
        <f>IF(ISBLANK(N125),0,M125/ROUND(N125,4))</f>
        <v>#DIV/0!</v>
      </c>
      <c r="S125" s="64" t="e">
        <f>IF(ISBLANK(N125),0,R125*ROUND(O125,2))</f>
        <v>#DIV/0!</v>
      </c>
      <c r="T125" s="67" t="e">
        <f>ROUND(Q125,2)*R125</f>
        <v>#DIV/0!</v>
      </c>
      <c r="U125" s="64" t="e">
        <f>R125*dagenperjaar1</f>
        <v>#DIV/0!</v>
      </c>
      <c r="V125" s="68" t="e">
        <f>U125*ROUND(Q125,2)</f>
        <v>#DIV/0!</v>
      </c>
    </row>
    <row r="126" spans="1:22" x14ac:dyDescent="0.4">
      <c r="A126" s="61" t="s">
        <v>203</v>
      </c>
      <c r="B126" s="62" t="s">
        <v>358</v>
      </c>
      <c r="C126" s="62" t="s">
        <v>205</v>
      </c>
      <c r="D126" s="62" t="s">
        <v>378</v>
      </c>
      <c r="E126" s="63" t="s">
        <v>377</v>
      </c>
      <c r="F126" s="62" t="s">
        <v>223</v>
      </c>
      <c r="G126" s="62" t="s">
        <v>167</v>
      </c>
      <c r="H126" s="62" t="s">
        <v>9</v>
      </c>
      <c r="I126" s="62" t="s">
        <v>143</v>
      </c>
      <c r="J126" s="63" t="s">
        <v>168</v>
      </c>
      <c r="K126" s="62" t="s">
        <v>217</v>
      </c>
      <c r="L126" s="64">
        <v>76</v>
      </c>
      <c r="M126" s="64">
        <f>L126*VLOOKUP(H126,dagsoorttabel1,2,FALSE)</f>
        <v>81.7</v>
      </c>
      <c r="N126" s="65">
        <f>prodnorm16</f>
        <v>0</v>
      </c>
      <c r="O126" s="66">
        <f>dagwerk16</f>
        <v>0</v>
      </c>
      <c r="P126" s="62" t="s">
        <v>40</v>
      </c>
      <c r="Q126" s="67">
        <f>uurtarief16</f>
        <v>0</v>
      </c>
      <c r="R126" s="64" t="e">
        <f>IF(ISBLANK(N126),0,M126/ROUND(N126,4))</f>
        <v>#DIV/0!</v>
      </c>
      <c r="S126" s="64" t="e">
        <f>IF(ISBLANK(N126),0,R126*ROUND(O126,2))</f>
        <v>#DIV/0!</v>
      </c>
      <c r="T126" s="67" t="e">
        <f>ROUND(Q126,2)*R126</f>
        <v>#DIV/0!</v>
      </c>
      <c r="U126" s="64" t="e">
        <f>R126*dagenperjaar1</f>
        <v>#DIV/0!</v>
      </c>
      <c r="V126" s="68" t="e">
        <f>U126*ROUND(Q126,2)</f>
        <v>#DIV/0!</v>
      </c>
    </row>
    <row r="127" spans="1:22" x14ac:dyDescent="0.4">
      <c r="A127" s="61" t="s">
        <v>203</v>
      </c>
      <c r="B127" s="62" t="s">
        <v>358</v>
      </c>
      <c r="C127" s="62" t="s">
        <v>205</v>
      </c>
      <c r="D127" s="62" t="s">
        <v>379</v>
      </c>
      <c r="E127" s="63" t="s">
        <v>380</v>
      </c>
      <c r="F127" s="62" t="s">
        <v>223</v>
      </c>
      <c r="G127" s="62" t="s">
        <v>142</v>
      </c>
      <c r="H127" s="62" t="s">
        <v>14</v>
      </c>
      <c r="I127" s="62" t="s">
        <v>143</v>
      </c>
      <c r="J127" s="63" t="s">
        <v>144</v>
      </c>
      <c r="K127" s="62" t="s">
        <v>213</v>
      </c>
      <c r="L127" s="64">
        <v>25</v>
      </c>
      <c r="M127" s="64">
        <f>L127*VLOOKUP(H127,dagsoorttabel1,2,FALSE)</f>
        <v>10.75</v>
      </c>
      <c r="N127" s="65">
        <f>prodnorm2</f>
        <v>0</v>
      </c>
      <c r="O127" s="66">
        <f>dagwerk2</f>
        <v>0</v>
      </c>
      <c r="P127" s="62" t="s">
        <v>40</v>
      </c>
      <c r="Q127" s="67">
        <f>uurtarief2</f>
        <v>0</v>
      </c>
      <c r="R127" s="64" t="e">
        <f>IF(ISBLANK(N127),0,M127/ROUND(N127,4))</f>
        <v>#DIV/0!</v>
      </c>
      <c r="S127" s="64" t="e">
        <f>IF(ISBLANK(N127),0,R127*ROUND(O127,2))</f>
        <v>#DIV/0!</v>
      </c>
      <c r="T127" s="67" t="e">
        <f>ROUND(Q127,2)*R127</f>
        <v>#DIV/0!</v>
      </c>
      <c r="U127" s="64" t="e">
        <f>R127*dagenperjaar1</f>
        <v>#DIV/0!</v>
      </c>
      <c r="V127" s="68" t="e">
        <f>U127*ROUND(Q127,2)</f>
        <v>#DIV/0!</v>
      </c>
    </row>
    <row r="128" spans="1:22" x14ac:dyDescent="0.4">
      <c r="A128" s="61" t="s">
        <v>203</v>
      </c>
      <c r="B128" s="62" t="s">
        <v>358</v>
      </c>
      <c r="C128" s="62" t="s">
        <v>205</v>
      </c>
      <c r="D128" s="62" t="s">
        <v>381</v>
      </c>
      <c r="E128" s="63" t="s">
        <v>222</v>
      </c>
      <c r="F128" s="62" t="s">
        <v>223</v>
      </c>
      <c r="G128" s="62" t="s">
        <v>159</v>
      </c>
      <c r="H128" s="62" t="s">
        <v>9</v>
      </c>
      <c r="I128" s="62" t="s">
        <v>143</v>
      </c>
      <c r="J128" s="63" t="s">
        <v>160</v>
      </c>
      <c r="K128" s="62" t="s">
        <v>217</v>
      </c>
      <c r="L128" s="64">
        <v>68</v>
      </c>
      <c r="M128" s="64">
        <f>L128*VLOOKUP(H128,dagsoorttabel1,2,FALSE)</f>
        <v>73.099999999999994</v>
      </c>
      <c r="N128" s="65">
        <f>prodnorm11</f>
        <v>0</v>
      </c>
      <c r="O128" s="66">
        <f>dagwerk11</f>
        <v>0</v>
      </c>
      <c r="P128" s="62" t="s">
        <v>40</v>
      </c>
      <c r="Q128" s="67">
        <f>uurtarief11</f>
        <v>0</v>
      </c>
      <c r="R128" s="64" t="e">
        <f>IF(ISBLANK(N128),0,M128/ROUND(N128,4))</f>
        <v>#DIV/0!</v>
      </c>
      <c r="S128" s="64" t="e">
        <f>IF(ISBLANK(N128),0,R128*ROUND(O128,2))</f>
        <v>#DIV/0!</v>
      </c>
      <c r="T128" s="67" t="e">
        <f>ROUND(Q128,2)*R128</f>
        <v>#DIV/0!</v>
      </c>
      <c r="U128" s="64" t="e">
        <f>R128*dagenperjaar1</f>
        <v>#DIV/0!</v>
      </c>
      <c r="V128" s="68" t="e">
        <f>U128*ROUND(Q128,2)</f>
        <v>#DIV/0!</v>
      </c>
    </row>
    <row r="129" spans="1:22" x14ac:dyDescent="0.4">
      <c r="A129" s="61" t="s">
        <v>203</v>
      </c>
      <c r="B129" s="62" t="s">
        <v>358</v>
      </c>
      <c r="C129" s="62" t="s">
        <v>205</v>
      </c>
      <c r="D129" s="62" t="s">
        <v>382</v>
      </c>
      <c r="E129" s="63" t="s">
        <v>222</v>
      </c>
      <c r="F129" s="62" t="s">
        <v>223</v>
      </c>
      <c r="G129" s="62" t="s">
        <v>159</v>
      </c>
      <c r="H129" s="62" t="s">
        <v>9</v>
      </c>
      <c r="I129" s="62" t="s">
        <v>143</v>
      </c>
      <c r="J129" s="63" t="s">
        <v>160</v>
      </c>
      <c r="K129" s="62" t="s">
        <v>217</v>
      </c>
      <c r="L129" s="64">
        <v>56</v>
      </c>
      <c r="M129" s="64">
        <f>L129*VLOOKUP(H129,dagsoorttabel1,2,FALSE)</f>
        <v>60.199999999999996</v>
      </c>
      <c r="N129" s="65">
        <f>prodnorm11</f>
        <v>0</v>
      </c>
      <c r="O129" s="66">
        <f>dagwerk11</f>
        <v>0</v>
      </c>
      <c r="P129" s="62" t="s">
        <v>40</v>
      </c>
      <c r="Q129" s="67">
        <f>uurtarief11</f>
        <v>0</v>
      </c>
      <c r="R129" s="64" t="e">
        <f>IF(ISBLANK(N129),0,M129/ROUND(N129,4))</f>
        <v>#DIV/0!</v>
      </c>
      <c r="S129" s="64" t="e">
        <f>IF(ISBLANK(N129),0,R129*ROUND(O129,2))</f>
        <v>#DIV/0!</v>
      </c>
      <c r="T129" s="67" t="e">
        <f>ROUND(Q129,2)*R129</f>
        <v>#DIV/0!</v>
      </c>
      <c r="U129" s="64" t="e">
        <f>R129*dagenperjaar1</f>
        <v>#DIV/0!</v>
      </c>
      <c r="V129" s="68" t="e">
        <f>U129*ROUND(Q129,2)</f>
        <v>#DIV/0!</v>
      </c>
    </row>
    <row r="130" spans="1:22" x14ac:dyDescent="0.4">
      <c r="A130" s="61" t="s">
        <v>203</v>
      </c>
      <c r="B130" s="62" t="s">
        <v>358</v>
      </c>
      <c r="C130" s="62" t="s">
        <v>205</v>
      </c>
      <c r="D130" s="62" t="s">
        <v>383</v>
      </c>
      <c r="E130" s="63" t="s">
        <v>267</v>
      </c>
      <c r="F130" s="62" t="s">
        <v>268</v>
      </c>
      <c r="G130" s="62" t="s">
        <v>181</v>
      </c>
      <c r="H130" s="62" t="s">
        <v>9</v>
      </c>
      <c r="I130" s="62" t="s">
        <v>143</v>
      </c>
      <c r="J130" s="63" t="s">
        <v>182</v>
      </c>
      <c r="K130" s="62" t="s">
        <v>244</v>
      </c>
      <c r="L130" s="64">
        <v>16</v>
      </c>
      <c r="M130" s="64">
        <f>L130*VLOOKUP(H130,dagsoorttabel1,2,FALSE)</f>
        <v>17.2</v>
      </c>
      <c r="N130" s="65">
        <f>prodnorm26</f>
        <v>0</v>
      </c>
      <c r="O130" s="66">
        <f>dagwerk26</f>
        <v>0</v>
      </c>
      <c r="P130" s="62" t="s">
        <v>40</v>
      </c>
      <c r="Q130" s="67">
        <f>uurtarief26</f>
        <v>0</v>
      </c>
      <c r="R130" s="64" t="e">
        <f>IF(ISBLANK(N130),0,M130/ROUND(N130,4))</f>
        <v>#DIV/0!</v>
      </c>
      <c r="S130" s="64" t="e">
        <f>IF(ISBLANK(N130),0,R130*ROUND(O130,2))</f>
        <v>#DIV/0!</v>
      </c>
      <c r="T130" s="67" t="e">
        <f>ROUND(Q130,2)*R130</f>
        <v>#DIV/0!</v>
      </c>
      <c r="U130" s="64" t="e">
        <f>R130*dagenperjaar1</f>
        <v>#DIV/0!</v>
      </c>
      <c r="V130" s="68" t="e">
        <f>U130*ROUND(Q130,2)</f>
        <v>#DIV/0!</v>
      </c>
    </row>
    <row r="131" spans="1:22" x14ac:dyDescent="0.4">
      <c r="A131" s="61" t="s">
        <v>203</v>
      </c>
      <c r="B131" s="62" t="s">
        <v>358</v>
      </c>
      <c r="C131" s="62" t="s">
        <v>205</v>
      </c>
      <c r="D131" s="62" t="s">
        <v>384</v>
      </c>
      <c r="E131" s="63" t="s">
        <v>270</v>
      </c>
      <c r="F131" s="62" t="s">
        <v>223</v>
      </c>
      <c r="G131" s="62" t="s">
        <v>181</v>
      </c>
      <c r="H131" s="62" t="s">
        <v>9</v>
      </c>
      <c r="I131" s="62" t="s">
        <v>143</v>
      </c>
      <c r="J131" s="63" t="s">
        <v>182</v>
      </c>
      <c r="K131" s="62" t="s">
        <v>244</v>
      </c>
      <c r="L131" s="64">
        <v>264</v>
      </c>
      <c r="M131" s="64">
        <f>L131*VLOOKUP(H131,dagsoorttabel1,2,FALSE)</f>
        <v>283.8</v>
      </c>
      <c r="N131" s="65">
        <f>prodnorm26</f>
        <v>0</v>
      </c>
      <c r="O131" s="66">
        <f>dagwerk26</f>
        <v>0</v>
      </c>
      <c r="P131" s="62" t="s">
        <v>40</v>
      </c>
      <c r="Q131" s="67">
        <f>uurtarief26</f>
        <v>0</v>
      </c>
      <c r="R131" s="64" t="e">
        <f>IF(ISBLANK(N131),0,M131/ROUND(N131,4))</f>
        <v>#DIV/0!</v>
      </c>
      <c r="S131" s="64" t="e">
        <f>IF(ISBLANK(N131),0,R131*ROUND(O131,2))</f>
        <v>#DIV/0!</v>
      </c>
      <c r="T131" s="67" t="e">
        <f>ROUND(Q131,2)*R131</f>
        <v>#DIV/0!</v>
      </c>
      <c r="U131" s="64" t="e">
        <f>R131*dagenperjaar1</f>
        <v>#DIV/0!</v>
      </c>
      <c r="V131" s="68" t="e">
        <f>U131*ROUND(Q131,2)</f>
        <v>#DIV/0!</v>
      </c>
    </row>
    <row r="132" spans="1:22" x14ac:dyDescent="0.4">
      <c r="A132" s="61" t="s">
        <v>203</v>
      </c>
      <c r="B132" s="62" t="s">
        <v>358</v>
      </c>
      <c r="C132" s="62" t="s">
        <v>205</v>
      </c>
      <c r="D132" s="62" t="s">
        <v>385</v>
      </c>
      <c r="E132" s="63" t="s">
        <v>207</v>
      </c>
      <c r="F132" s="62" t="s">
        <v>280</v>
      </c>
      <c r="G132" s="62" t="s">
        <v>177</v>
      </c>
      <c r="H132" s="62" t="s">
        <v>9</v>
      </c>
      <c r="I132" s="62" t="s">
        <v>143</v>
      </c>
      <c r="J132" s="63" t="s">
        <v>178</v>
      </c>
      <c r="K132" s="62" t="s">
        <v>209</v>
      </c>
      <c r="L132" s="64">
        <v>10</v>
      </c>
      <c r="M132" s="64">
        <f>L132*VLOOKUP(H132,dagsoorttabel1,2,FALSE)</f>
        <v>10.75</v>
      </c>
      <c r="N132" s="65">
        <f>prodnorm23</f>
        <v>0</v>
      </c>
      <c r="O132" s="66">
        <f>dagwerk23</f>
        <v>0</v>
      </c>
      <c r="P132" s="62" t="s">
        <v>40</v>
      </c>
      <c r="Q132" s="67">
        <f>uurtarief23</f>
        <v>0</v>
      </c>
      <c r="R132" s="64" t="e">
        <f>IF(ISBLANK(N132),0,M132/ROUND(N132,4))</f>
        <v>#DIV/0!</v>
      </c>
      <c r="S132" s="64" t="e">
        <f>IF(ISBLANK(N132),0,R132*ROUND(O132,2))</f>
        <v>#DIV/0!</v>
      </c>
      <c r="T132" s="67" t="e">
        <f>ROUND(Q132,2)*R132</f>
        <v>#DIV/0!</v>
      </c>
      <c r="U132" s="64" t="e">
        <f>R132*dagenperjaar1</f>
        <v>#DIV/0!</v>
      </c>
      <c r="V132" s="68" t="e">
        <f>U132*ROUND(Q132,2)</f>
        <v>#DIV/0!</v>
      </c>
    </row>
    <row r="133" spans="1:22" x14ac:dyDescent="0.4">
      <c r="A133" s="61" t="s">
        <v>203</v>
      </c>
      <c r="B133" s="62" t="s">
        <v>358</v>
      </c>
      <c r="C133" s="62" t="s">
        <v>205</v>
      </c>
      <c r="D133" s="62" t="s">
        <v>386</v>
      </c>
      <c r="E133" s="63" t="s">
        <v>207</v>
      </c>
      <c r="F133" s="62" t="s">
        <v>280</v>
      </c>
      <c r="G133" s="62" t="s">
        <v>177</v>
      </c>
      <c r="H133" s="62" t="s">
        <v>9</v>
      </c>
      <c r="I133" s="62" t="s">
        <v>143</v>
      </c>
      <c r="J133" s="63" t="s">
        <v>178</v>
      </c>
      <c r="K133" s="62" t="s">
        <v>209</v>
      </c>
      <c r="L133" s="64">
        <v>10</v>
      </c>
      <c r="M133" s="64">
        <f>L133*VLOOKUP(H133,dagsoorttabel1,2,FALSE)</f>
        <v>10.75</v>
      </c>
      <c r="N133" s="65">
        <f>prodnorm23</f>
        <v>0</v>
      </c>
      <c r="O133" s="66">
        <f>dagwerk23</f>
        <v>0</v>
      </c>
      <c r="P133" s="62" t="s">
        <v>40</v>
      </c>
      <c r="Q133" s="67">
        <f>uurtarief23</f>
        <v>0</v>
      </c>
      <c r="R133" s="64" t="e">
        <f>IF(ISBLANK(N133),0,M133/ROUND(N133,4))</f>
        <v>#DIV/0!</v>
      </c>
      <c r="S133" s="64" t="e">
        <f>IF(ISBLANK(N133),0,R133*ROUND(O133,2))</f>
        <v>#DIV/0!</v>
      </c>
      <c r="T133" s="67" t="e">
        <f>ROUND(Q133,2)*R133</f>
        <v>#DIV/0!</v>
      </c>
      <c r="U133" s="64" t="e">
        <f>R133*dagenperjaar1</f>
        <v>#DIV/0!</v>
      </c>
      <c r="V133" s="68" t="e">
        <f>U133*ROUND(Q133,2)</f>
        <v>#DIV/0!</v>
      </c>
    </row>
    <row r="134" spans="1:22" x14ac:dyDescent="0.4">
      <c r="A134" s="61" t="s">
        <v>203</v>
      </c>
      <c r="B134" s="62" t="s">
        <v>358</v>
      </c>
      <c r="C134" s="62" t="s">
        <v>205</v>
      </c>
      <c r="D134" s="62" t="s">
        <v>387</v>
      </c>
      <c r="E134" s="63" t="s">
        <v>320</v>
      </c>
      <c r="F134" s="62" t="s">
        <v>208</v>
      </c>
      <c r="G134" s="62" t="s">
        <v>177</v>
      </c>
      <c r="H134" s="62" t="s">
        <v>9</v>
      </c>
      <c r="I134" s="62" t="s">
        <v>143</v>
      </c>
      <c r="J134" s="63" t="s">
        <v>178</v>
      </c>
      <c r="K134" s="62" t="s">
        <v>209</v>
      </c>
      <c r="L134" s="64">
        <v>1</v>
      </c>
      <c r="M134" s="64">
        <f>L134*VLOOKUP(H134,dagsoorttabel1,2,FALSE)</f>
        <v>1.075</v>
      </c>
      <c r="N134" s="65">
        <f>prodnorm23</f>
        <v>0</v>
      </c>
      <c r="O134" s="66">
        <f>dagwerk23</f>
        <v>0</v>
      </c>
      <c r="P134" s="62" t="s">
        <v>40</v>
      </c>
      <c r="Q134" s="67">
        <f>uurtarief23</f>
        <v>0</v>
      </c>
      <c r="R134" s="64" t="e">
        <f>IF(ISBLANK(N134),0,M134/ROUND(N134,4))</f>
        <v>#DIV/0!</v>
      </c>
      <c r="S134" s="64" t="e">
        <f>IF(ISBLANK(N134),0,R134*ROUND(O134,2))</f>
        <v>#DIV/0!</v>
      </c>
      <c r="T134" s="67" t="e">
        <f>ROUND(Q134,2)*R134</f>
        <v>#DIV/0!</v>
      </c>
      <c r="U134" s="64" t="e">
        <f>R134*dagenperjaar1</f>
        <v>#DIV/0!</v>
      </c>
      <c r="V134" s="68" t="e">
        <f>U134*ROUND(Q134,2)</f>
        <v>#DIV/0!</v>
      </c>
    </row>
    <row r="135" spans="1:22" x14ac:dyDescent="0.4">
      <c r="A135" s="61" t="s">
        <v>203</v>
      </c>
      <c r="B135" s="62" t="s">
        <v>358</v>
      </c>
      <c r="C135" s="62" t="s">
        <v>205</v>
      </c>
      <c r="D135" s="62" t="s">
        <v>388</v>
      </c>
      <c r="E135" s="63" t="s">
        <v>246</v>
      </c>
      <c r="F135" s="62" t="s">
        <v>223</v>
      </c>
      <c r="G135" s="62" t="s">
        <v>179</v>
      </c>
      <c r="H135" s="62" t="s">
        <v>9</v>
      </c>
      <c r="I135" s="62" t="s">
        <v>143</v>
      </c>
      <c r="J135" s="63" t="s">
        <v>180</v>
      </c>
      <c r="K135" s="62" t="s">
        <v>244</v>
      </c>
      <c r="L135" s="64">
        <v>219</v>
      </c>
      <c r="M135" s="64">
        <f>L135*VLOOKUP(H135,dagsoorttabel1,2,FALSE)</f>
        <v>235.42499999999998</v>
      </c>
      <c r="N135" s="65">
        <f>prodnorm25</f>
        <v>0</v>
      </c>
      <c r="O135" s="66">
        <f>dagwerk25</f>
        <v>0</v>
      </c>
      <c r="P135" s="62" t="s">
        <v>40</v>
      </c>
      <c r="Q135" s="67">
        <f>uurtarief25</f>
        <v>0</v>
      </c>
      <c r="R135" s="64" t="e">
        <f>IF(ISBLANK(N135),0,M135/ROUND(N135,4))</f>
        <v>#DIV/0!</v>
      </c>
      <c r="S135" s="64" t="e">
        <f>IF(ISBLANK(N135),0,R135*ROUND(O135,2))</f>
        <v>#DIV/0!</v>
      </c>
      <c r="T135" s="67" t="e">
        <f>ROUND(Q135,2)*R135</f>
        <v>#DIV/0!</v>
      </c>
      <c r="U135" s="64" t="e">
        <f>R135*dagenperjaar1</f>
        <v>#DIV/0!</v>
      </c>
      <c r="V135" s="68" t="e">
        <f>U135*ROUND(Q135,2)</f>
        <v>#DIV/0!</v>
      </c>
    </row>
    <row r="136" spans="1:22" x14ac:dyDescent="0.4">
      <c r="A136" s="61" t="s">
        <v>203</v>
      </c>
      <c r="B136" s="62" t="s">
        <v>389</v>
      </c>
      <c r="C136" s="62" t="s">
        <v>205</v>
      </c>
      <c r="D136" s="62" t="s">
        <v>390</v>
      </c>
      <c r="E136" s="63" t="s">
        <v>370</v>
      </c>
      <c r="F136" s="62" t="s">
        <v>391</v>
      </c>
      <c r="G136" s="62" t="s">
        <v>167</v>
      </c>
      <c r="H136" s="62" t="s">
        <v>9</v>
      </c>
      <c r="I136" s="62" t="s">
        <v>143</v>
      </c>
      <c r="J136" s="63" t="s">
        <v>168</v>
      </c>
      <c r="K136" s="62" t="s">
        <v>217</v>
      </c>
      <c r="L136" s="64">
        <v>110</v>
      </c>
      <c r="M136" s="64">
        <f>L136*VLOOKUP(H136,dagsoorttabel1,2,FALSE)</f>
        <v>118.25</v>
      </c>
      <c r="N136" s="65">
        <f>prodnorm16</f>
        <v>0</v>
      </c>
      <c r="O136" s="66">
        <f>dagwerk16</f>
        <v>0</v>
      </c>
      <c r="P136" s="62" t="s">
        <v>40</v>
      </c>
      <c r="Q136" s="67">
        <f>uurtarief16</f>
        <v>0</v>
      </c>
      <c r="R136" s="64" t="e">
        <f>IF(ISBLANK(N136),0,M136/ROUND(N136,4))</f>
        <v>#DIV/0!</v>
      </c>
      <c r="S136" s="64" t="e">
        <f>IF(ISBLANK(N136),0,R136*ROUND(O136,2))</f>
        <v>#DIV/0!</v>
      </c>
      <c r="T136" s="67" t="e">
        <f>ROUND(Q136,2)*R136</f>
        <v>#DIV/0!</v>
      </c>
      <c r="U136" s="64" t="e">
        <f>R136*dagenperjaar1</f>
        <v>#DIV/0!</v>
      </c>
      <c r="V136" s="68" t="e">
        <f>U136*ROUND(Q136,2)</f>
        <v>#DIV/0!</v>
      </c>
    </row>
    <row r="137" spans="1:22" x14ac:dyDescent="0.4">
      <c r="A137" s="61" t="s">
        <v>203</v>
      </c>
      <c r="B137" s="62" t="s">
        <v>389</v>
      </c>
      <c r="C137" s="62" t="s">
        <v>205</v>
      </c>
      <c r="D137" s="62" t="s">
        <v>392</v>
      </c>
      <c r="E137" s="63" t="s">
        <v>370</v>
      </c>
      <c r="F137" s="62" t="s">
        <v>391</v>
      </c>
      <c r="G137" s="62" t="s">
        <v>167</v>
      </c>
      <c r="H137" s="62" t="s">
        <v>9</v>
      </c>
      <c r="I137" s="62" t="s">
        <v>143</v>
      </c>
      <c r="J137" s="63" t="s">
        <v>168</v>
      </c>
      <c r="K137" s="62" t="s">
        <v>217</v>
      </c>
      <c r="L137" s="64">
        <v>110</v>
      </c>
      <c r="M137" s="64">
        <f>L137*VLOOKUP(H137,dagsoorttabel1,2,FALSE)</f>
        <v>118.25</v>
      </c>
      <c r="N137" s="65">
        <f>prodnorm16</f>
        <v>0</v>
      </c>
      <c r="O137" s="66">
        <f>dagwerk16</f>
        <v>0</v>
      </c>
      <c r="P137" s="62" t="s">
        <v>40</v>
      </c>
      <c r="Q137" s="67">
        <f>uurtarief16</f>
        <v>0</v>
      </c>
      <c r="R137" s="64" t="e">
        <f>IF(ISBLANK(N137),0,M137/ROUND(N137,4))</f>
        <v>#DIV/0!</v>
      </c>
      <c r="S137" s="64" t="e">
        <f>IF(ISBLANK(N137),0,R137*ROUND(O137,2))</f>
        <v>#DIV/0!</v>
      </c>
      <c r="T137" s="67" t="e">
        <f>ROUND(Q137,2)*R137</f>
        <v>#DIV/0!</v>
      </c>
      <c r="U137" s="64" t="e">
        <f>R137*dagenperjaar1</f>
        <v>#DIV/0!</v>
      </c>
      <c r="V137" s="68" t="e">
        <f>U137*ROUND(Q137,2)</f>
        <v>#DIV/0!</v>
      </c>
    </row>
    <row r="138" spans="1:22" x14ac:dyDescent="0.4">
      <c r="A138" s="61" t="s">
        <v>203</v>
      </c>
      <c r="B138" s="62" t="s">
        <v>389</v>
      </c>
      <c r="C138" s="62" t="s">
        <v>205</v>
      </c>
      <c r="D138" s="62" t="s">
        <v>393</v>
      </c>
      <c r="E138" s="63" t="s">
        <v>270</v>
      </c>
      <c r="F138" s="62" t="s">
        <v>391</v>
      </c>
      <c r="G138" s="62" t="s">
        <v>181</v>
      </c>
      <c r="H138" s="62" t="s">
        <v>9</v>
      </c>
      <c r="I138" s="62" t="s">
        <v>143</v>
      </c>
      <c r="J138" s="63" t="s">
        <v>182</v>
      </c>
      <c r="K138" s="62" t="s">
        <v>244</v>
      </c>
      <c r="L138" s="64">
        <v>9</v>
      </c>
      <c r="M138" s="64">
        <f>L138*VLOOKUP(H138,dagsoorttabel1,2,FALSE)</f>
        <v>9.6749999999999989</v>
      </c>
      <c r="N138" s="65">
        <f>prodnorm26</f>
        <v>0</v>
      </c>
      <c r="O138" s="66">
        <f>dagwerk26</f>
        <v>0</v>
      </c>
      <c r="P138" s="62" t="s">
        <v>40</v>
      </c>
      <c r="Q138" s="67">
        <f>uurtarief26</f>
        <v>0</v>
      </c>
      <c r="R138" s="64" t="e">
        <f>IF(ISBLANK(N138),0,M138/ROUND(N138,4))</f>
        <v>#DIV/0!</v>
      </c>
      <c r="S138" s="64" t="e">
        <f>IF(ISBLANK(N138),0,R138*ROUND(O138,2))</f>
        <v>#DIV/0!</v>
      </c>
      <c r="T138" s="67" t="e">
        <f>ROUND(Q138,2)*R138</f>
        <v>#DIV/0!</v>
      </c>
      <c r="U138" s="64" t="e">
        <f>R138*dagenperjaar1</f>
        <v>#DIV/0!</v>
      </c>
      <c r="V138" s="68" t="e">
        <f>U138*ROUND(Q138,2)</f>
        <v>#DIV/0!</v>
      </c>
    </row>
    <row r="139" spans="1:22" x14ac:dyDescent="0.4">
      <c r="A139" s="61" t="s">
        <v>203</v>
      </c>
      <c r="B139" s="62" t="s">
        <v>389</v>
      </c>
      <c r="C139" s="62" t="s">
        <v>205</v>
      </c>
      <c r="D139" s="62" t="s">
        <v>394</v>
      </c>
      <c r="E139" s="63" t="s">
        <v>395</v>
      </c>
      <c r="F139" s="62" t="s">
        <v>391</v>
      </c>
      <c r="G139" s="62" t="s">
        <v>185</v>
      </c>
      <c r="H139" s="62" t="s">
        <v>9</v>
      </c>
      <c r="I139" s="62" t="s">
        <v>143</v>
      </c>
      <c r="J139" s="63" t="s">
        <v>186</v>
      </c>
      <c r="K139" s="62" t="s">
        <v>244</v>
      </c>
      <c r="L139" s="64">
        <v>5</v>
      </c>
      <c r="M139" s="64">
        <f>L139*VLOOKUP(H139,dagsoorttabel1,2,FALSE)</f>
        <v>5.375</v>
      </c>
      <c r="N139" s="65">
        <f>prodnorm28</f>
        <v>0</v>
      </c>
      <c r="O139" s="66">
        <f>dagwerk28</f>
        <v>0</v>
      </c>
      <c r="P139" s="62" t="s">
        <v>40</v>
      </c>
      <c r="Q139" s="67">
        <f>uurtarief28</f>
        <v>0</v>
      </c>
      <c r="R139" s="64" t="e">
        <f>IF(ISBLANK(N139),0,M139/ROUND(N139,4))</f>
        <v>#DIV/0!</v>
      </c>
      <c r="S139" s="64" t="e">
        <f>IF(ISBLANK(N139),0,R139*ROUND(O139,2))</f>
        <v>#DIV/0!</v>
      </c>
      <c r="T139" s="67" t="e">
        <f>ROUND(Q139,2)*R139</f>
        <v>#DIV/0!</v>
      </c>
      <c r="U139" s="64" t="e">
        <f>R139*dagenperjaar1</f>
        <v>#DIV/0!</v>
      </c>
      <c r="V139" s="68" t="e">
        <f>U139*ROUND(Q139,2)</f>
        <v>#DIV/0!</v>
      </c>
    </row>
    <row r="140" spans="1:22" x14ac:dyDescent="0.4">
      <c r="A140" s="61" t="s">
        <v>203</v>
      </c>
      <c r="B140" s="62" t="s">
        <v>389</v>
      </c>
      <c r="C140" s="62" t="s">
        <v>205</v>
      </c>
      <c r="D140" s="62" t="s">
        <v>396</v>
      </c>
      <c r="E140" s="63" t="s">
        <v>320</v>
      </c>
      <c r="F140" s="62" t="s">
        <v>208</v>
      </c>
      <c r="G140" s="62" t="s">
        <v>177</v>
      </c>
      <c r="H140" s="62" t="s">
        <v>9</v>
      </c>
      <c r="I140" s="62" t="s">
        <v>143</v>
      </c>
      <c r="J140" s="63" t="s">
        <v>178</v>
      </c>
      <c r="K140" s="62" t="s">
        <v>209</v>
      </c>
      <c r="L140" s="64">
        <v>2</v>
      </c>
      <c r="M140" s="64">
        <f>L140*VLOOKUP(H140,dagsoorttabel1,2,FALSE)</f>
        <v>2.15</v>
      </c>
      <c r="N140" s="65">
        <f>prodnorm23</f>
        <v>0</v>
      </c>
      <c r="O140" s="66">
        <f>dagwerk23</f>
        <v>0</v>
      </c>
      <c r="P140" s="62" t="s">
        <v>40</v>
      </c>
      <c r="Q140" s="67">
        <f>uurtarief23</f>
        <v>0</v>
      </c>
      <c r="R140" s="64" t="e">
        <f>IF(ISBLANK(N140),0,M140/ROUND(N140,4))</f>
        <v>#DIV/0!</v>
      </c>
      <c r="S140" s="64" t="e">
        <f>IF(ISBLANK(N140),0,R140*ROUND(O140,2))</f>
        <v>#DIV/0!</v>
      </c>
      <c r="T140" s="67" t="e">
        <f>ROUND(Q140,2)*R140</f>
        <v>#DIV/0!</v>
      </c>
      <c r="U140" s="64" t="e">
        <f>R140*dagenperjaar1</f>
        <v>#DIV/0!</v>
      </c>
      <c r="V140" s="68" t="e">
        <f>U140*ROUND(Q140,2)</f>
        <v>#DIV/0!</v>
      </c>
    </row>
    <row r="141" spans="1:22" x14ac:dyDescent="0.4">
      <c r="A141" s="61" t="s">
        <v>203</v>
      </c>
      <c r="B141" s="62" t="s">
        <v>397</v>
      </c>
      <c r="C141" s="62" t="s">
        <v>205</v>
      </c>
      <c r="D141" s="62" t="s">
        <v>398</v>
      </c>
      <c r="E141" s="63" t="s">
        <v>399</v>
      </c>
      <c r="F141" s="62" t="s">
        <v>268</v>
      </c>
      <c r="G141" s="62" t="s">
        <v>181</v>
      </c>
      <c r="H141" s="62" t="s">
        <v>9</v>
      </c>
      <c r="I141" s="62" t="s">
        <v>143</v>
      </c>
      <c r="J141" s="63" t="s">
        <v>182</v>
      </c>
      <c r="K141" s="62" t="s">
        <v>244</v>
      </c>
      <c r="L141" s="64">
        <v>14</v>
      </c>
      <c r="M141" s="64">
        <f>L141*VLOOKUP(H141,dagsoorttabel1,2,FALSE)</f>
        <v>15.049999999999999</v>
      </c>
      <c r="N141" s="65">
        <f>prodnorm26</f>
        <v>0</v>
      </c>
      <c r="O141" s="66">
        <f>dagwerk26</f>
        <v>0</v>
      </c>
      <c r="P141" s="62" t="s">
        <v>40</v>
      </c>
      <c r="Q141" s="67">
        <f>uurtarief26</f>
        <v>0</v>
      </c>
      <c r="R141" s="64" t="e">
        <f>IF(ISBLANK(N141),0,M141/ROUND(N141,4))</f>
        <v>#DIV/0!</v>
      </c>
      <c r="S141" s="64" t="e">
        <f>IF(ISBLANK(N141),0,R141*ROUND(O141,2))</f>
        <v>#DIV/0!</v>
      </c>
      <c r="T141" s="67" t="e">
        <f>ROUND(Q141,2)*R141</f>
        <v>#DIV/0!</v>
      </c>
      <c r="U141" s="64" t="e">
        <f>R141*dagenperjaar1</f>
        <v>#DIV/0!</v>
      </c>
      <c r="V141" s="68" t="e">
        <f>U141*ROUND(Q141,2)</f>
        <v>#DIV/0!</v>
      </c>
    </row>
    <row r="142" spans="1:22" x14ac:dyDescent="0.4">
      <c r="A142" s="61" t="s">
        <v>203</v>
      </c>
      <c r="B142" s="62" t="s">
        <v>397</v>
      </c>
      <c r="C142" s="62" t="s">
        <v>205</v>
      </c>
      <c r="D142" s="62" t="s">
        <v>400</v>
      </c>
      <c r="E142" s="63" t="s">
        <v>252</v>
      </c>
      <c r="F142" s="62" t="s">
        <v>220</v>
      </c>
      <c r="G142" s="62" t="s">
        <v>179</v>
      </c>
      <c r="H142" s="62" t="s">
        <v>9</v>
      </c>
      <c r="I142" s="62" t="s">
        <v>143</v>
      </c>
      <c r="J142" s="63" t="s">
        <v>180</v>
      </c>
      <c r="K142" s="62" t="s">
        <v>244</v>
      </c>
      <c r="L142" s="64">
        <v>104</v>
      </c>
      <c r="M142" s="64">
        <f>L142*VLOOKUP(H142,dagsoorttabel1,2,FALSE)</f>
        <v>111.8</v>
      </c>
      <c r="N142" s="65">
        <f>prodnorm25</f>
        <v>0</v>
      </c>
      <c r="O142" s="66">
        <f>dagwerk25</f>
        <v>0</v>
      </c>
      <c r="P142" s="62" t="s">
        <v>40</v>
      </c>
      <c r="Q142" s="67">
        <f>uurtarief25</f>
        <v>0</v>
      </c>
      <c r="R142" s="64" t="e">
        <f>IF(ISBLANK(N142),0,M142/ROUND(N142,4))</f>
        <v>#DIV/0!</v>
      </c>
      <c r="S142" s="64" t="e">
        <f>IF(ISBLANK(N142),0,R142*ROUND(O142,2))</f>
        <v>#DIV/0!</v>
      </c>
      <c r="T142" s="67" t="e">
        <f>ROUND(Q142,2)*R142</f>
        <v>#DIV/0!</v>
      </c>
      <c r="U142" s="64" t="e">
        <f>R142*dagenperjaar1</f>
        <v>#DIV/0!</v>
      </c>
      <c r="V142" s="68" t="e">
        <f>U142*ROUND(Q142,2)</f>
        <v>#DIV/0!</v>
      </c>
    </row>
    <row r="143" spans="1:22" x14ac:dyDescent="0.4">
      <c r="A143" s="61" t="s">
        <v>203</v>
      </c>
      <c r="B143" s="62" t="s">
        <v>397</v>
      </c>
      <c r="C143" s="62" t="s">
        <v>205</v>
      </c>
      <c r="D143" s="62" t="s">
        <v>401</v>
      </c>
      <c r="E143" s="63" t="s">
        <v>402</v>
      </c>
      <c r="F143" s="62" t="s">
        <v>220</v>
      </c>
      <c r="G143" s="62" t="s">
        <v>185</v>
      </c>
      <c r="H143" s="62" t="s">
        <v>14</v>
      </c>
      <c r="I143" s="62" t="s">
        <v>143</v>
      </c>
      <c r="J143" s="63" t="s">
        <v>186</v>
      </c>
      <c r="K143" s="62" t="s">
        <v>244</v>
      </c>
      <c r="L143" s="64">
        <v>20</v>
      </c>
      <c r="M143" s="64">
        <f>L143*VLOOKUP(H143,dagsoorttabel1,2,FALSE)</f>
        <v>8.6</v>
      </c>
      <c r="N143" s="65">
        <f>prodnorm29</f>
        <v>0</v>
      </c>
      <c r="O143" s="66">
        <f>dagwerk29</f>
        <v>0</v>
      </c>
      <c r="P143" s="62" t="s">
        <v>40</v>
      </c>
      <c r="Q143" s="67">
        <f>uurtarief29</f>
        <v>0</v>
      </c>
      <c r="R143" s="64" t="e">
        <f>IF(ISBLANK(N143),0,M143/ROUND(N143,4))</f>
        <v>#DIV/0!</v>
      </c>
      <c r="S143" s="64" t="e">
        <f>IF(ISBLANK(N143),0,R143*ROUND(O143,2))</f>
        <v>#DIV/0!</v>
      </c>
      <c r="T143" s="67" t="e">
        <f>ROUND(Q143,2)*R143</f>
        <v>#DIV/0!</v>
      </c>
      <c r="U143" s="64" t="e">
        <f>R143*dagenperjaar1</f>
        <v>#DIV/0!</v>
      </c>
      <c r="V143" s="68" t="e">
        <f>U143*ROUND(Q143,2)</f>
        <v>#DIV/0!</v>
      </c>
    </row>
    <row r="144" spans="1:22" x14ac:dyDescent="0.4">
      <c r="A144" s="61" t="s">
        <v>203</v>
      </c>
      <c r="B144" s="62" t="s">
        <v>397</v>
      </c>
      <c r="C144" s="62" t="s">
        <v>205</v>
      </c>
      <c r="D144" s="62" t="s">
        <v>403</v>
      </c>
      <c r="E144" s="63" t="s">
        <v>304</v>
      </c>
      <c r="F144" s="62" t="s">
        <v>404</v>
      </c>
      <c r="G144" s="62" t="s">
        <v>187</v>
      </c>
      <c r="H144" s="62" t="s">
        <v>9</v>
      </c>
      <c r="I144" s="62" t="s">
        <v>143</v>
      </c>
      <c r="J144" s="63" t="s">
        <v>188</v>
      </c>
      <c r="K144" s="62" t="s">
        <v>244</v>
      </c>
      <c r="L144" s="64">
        <v>17</v>
      </c>
      <c r="M144" s="64">
        <f>L144*VLOOKUP(H144,dagsoorttabel1,2,FALSE)</f>
        <v>18.274999999999999</v>
      </c>
      <c r="N144" s="65">
        <f>prodnorm30</f>
        <v>0</v>
      </c>
      <c r="O144" s="66">
        <f>dagwerk30</f>
        <v>0</v>
      </c>
      <c r="P144" s="62" t="s">
        <v>40</v>
      </c>
      <c r="Q144" s="67">
        <f>uurtarief30</f>
        <v>0</v>
      </c>
      <c r="R144" s="64" t="e">
        <f>IF(ISBLANK(N144),0,M144/ROUND(N144,4))</f>
        <v>#DIV/0!</v>
      </c>
      <c r="S144" s="64" t="e">
        <f>IF(ISBLANK(N144),0,R144*ROUND(O144,2))</f>
        <v>#DIV/0!</v>
      </c>
      <c r="T144" s="67" t="e">
        <f>ROUND(Q144,2)*R144</f>
        <v>#DIV/0!</v>
      </c>
      <c r="U144" s="64" t="e">
        <f>R144*dagenperjaar1</f>
        <v>#DIV/0!</v>
      </c>
      <c r="V144" s="68" t="e">
        <f>U144*ROUND(Q144,2)</f>
        <v>#DIV/0!</v>
      </c>
    </row>
    <row r="145" spans="1:22" x14ac:dyDescent="0.4">
      <c r="A145" s="61" t="s">
        <v>203</v>
      </c>
      <c r="B145" s="62" t="s">
        <v>397</v>
      </c>
      <c r="C145" s="62" t="s">
        <v>205</v>
      </c>
      <c r="D145" s="62" t="s">
        <v>405</v>
      </c>
      <c r="E145" s="63" t="s">
        <v>352</v>
      </c>
      <c r="F145" s="62" t="s">
        <v>208</v>
      </c>
      <c r="G145" s="62" t="s">
        <v>177</v>
      </c>
      <c r="H145" s="62" t="s">
        <v>9</v>
      </c>
      <c r="I145" s="62" t="s">
        <v>143</v>
      </c>
      <c r="J145" s="63" t="s">
        <v>178</v>
      </c>
      <c r="K145" s="62" t="s">
        <v>209</v>
      </c>
      <c r="L145" s="64">
        <v>14</v>
      </c>
      <c r="M145" s="64">
        <f>L145*VLOOKUP(H145,dagsoorttabel1,2,FALSE)</f>
        <v>15.049999999999999</v>
      </c>
      <c r="N145" s="65">
        <f>prodnorm23</f>
        <v>0</v>
      </c>
      <c r="O145" s="66">
        <f>dagwerk23</f>
        <v>0</v>
      </c>
      <c r="P145" s="62" t="s">
        <v>40</v>
      </c>
      <c r="Q145" s="67">
        <f>uurtarief23</f>
        <v>0</v>
      </c>
      <c r="R145" s="64" t="e">
        <f>IF(ISBLANK(N145),0,M145/ROUND(N145,4))</f>
        <v>#DIV/0!</v>
      </c>
      <c r="S145" s="64" t="e">
        <f>IF(ISBLANK(N145),0,R145*ROUND(O145,2))</f>
        <v>#DIV/0!</v>
      </c>
      <c r="T145" s="67" t="e">
        <f>ROUND(Q145,2)*R145</f>
        <v>#DIV/0!</v>
      </c>
      <c r="U145" s="64" t="e">
        <f>R145*dagenperjaar1</f>
        <v>#DIV/0!</v>
      </c>
      <c r="V145" s="68" t="e">
        <f>U145*ROUND(Q145,2)</f>
        <v>#DIV/0!</v>
      </c>
    </row>
    <row r="146" spans="1:22" x14ac:dyDescent="0.4">
      <c r="A146" s="61" t="s">
        <v>203</v>
      </c>
      <c r="B146" s="62" t="s">
        <v>397</v>
      </c>
      <c r="C146" s="62" t="s">
        <v>205</v>
      </c>
      <c r="D146" s="62" t="s">
        <v>406</v>
      </c>
      <c r="E146" s="63" t="s">
        <v>354</v>
      </c>
      <c r="F146" s="62" t="s">
        <v>208</v>
      </c>
      <c r="G146" s="62" t="s">
        <v>177</v>
      </c>
      <c r="H146" s="62" t="s">
        <v>9</v>
      </c>
      <c r="I146" s="62" t="s">
        <v>143</v>
      </c>
      <c r="J146" s="63" t="s">
        <v>178</v>
      </c>
      <c r="K146" s="62" t="s">
        <v>209</v>
      </c>
      <c r="L146" s="64">
        <v>14</v>
      </c>
      <c r="M146" s="64">
        <f>L146*VLOOKUP(H146,dagsoorttabel1,2,FALSE)</f>
        <v>15.049999999999999</v>
      </c>
      <c r="N146" s="65">
        <f>prodnorm23</f>
        <v>0</v>
      </c>
      <c r="O146" s="66">
        <f>dagwerk23</f>
        <v>0</v>
      </c>
      <c r="P146" s="62" t="s">
        <v>40</v>
      </c>
      <c r="Q146" s="67">
        <f>uurtarief23</f>
        <v>0</v>
      </c>
      <c r="R146" s="64" t="e">
        <f>IF(ISBLANK(N146),0,M146/ROUND(N146,4))</f>
        <v>#DIV/0!</v>
      </c>
      <c r="S146" s="64" t="e">
        <f>IF(ISBLANK(N146),0,R146*ROUND(O146,2))</f>
        <v>#DIV/0!</v>
      </c>
      <c r="T146" s="67" t="e">
        <f>ROUND(Q146,2)*R146</f>
        <v>#DIV/0!</v>
      </c>
      <c r="U146" s="64" t="e">
        <f>R146*dagenperjaar1</f>
        <v>#DIV/0!</v>
      </c>
      <c r="V146" s="68" t="e">
        <f>U146*ROUND(Q146,2)</f>
        <v>#DIV/0!</v>
      </c>
    </row>
    <row r="147" spans="1:22" x14ac:dyDescent="0.4">
      <c r="A147" s="61" t="s">
        <v>203</v>
      </c>
      <c r="B147" s="62" t="s">
        <v>397</v>
      </c>
      <c r="C147" s="62" t="s">
        <v>205</v>
      </c>
      <c r="D147" s="62" t="s">
        <v>407</v>
      </c>
      <c r="E147" s="63" t="s">
        <v>320</v>
      </c>
      <c r="F147" s="62" t="s">
        <v>208</v>
      </c>
      <c r="G147" s="62" t="s">
        <v>177</v>
      </c>
      <c r="H147" s="62" t="s">
        <v>9</v>
      </c>
      <c r="I147" s="62" t="s">
        <v>143</v>
      </c>
      <c r="J147" s="63" t="s">
        <v>178</v>
      </c>
      <c r="K147" s="62" t="s">
        <v>209</v>
      </c>
      <c r="L147" s="64">
        <v>2</v>
      </c>
      <c r="M147" s="64">
        <f>L147*VLOOKUP(H147,dagsoorttabel1,2,FALSE)</f>
        <v>2.15</v>
      </c>
      <c r="N147" s="65">
        <f>prodnorm23</f>
        <v>0</v>
      </c>
      <c r="O147" s="66">
        <f>dagwerk23</f>
        <v>0</v>
      </c>
      <c r="P147" s="62" t="s">
        <v>40</v>
      </c>
      <c r="Q147" s="67">
        <f>uurtarief23</f>
        <v>0</v>
      </c>
      <c r="R147" s="64" t="e">
        <f>IF(ISBLANK(N147),0,M147/ROUND(N147,4))</f>
        <v>#DIV/0!</v>
      </c>
      <c r="S147" s="64" t="e">
        <f>IF(ISBLANK(N147),0,R147*ROUND(O147,2))</f>
        <v>#DIV/0!</v>
      </c>
      <c r="T147" s="67" t="e">
        <f>ROUND(Q147,2)*R147</f>
        <v>#DIV/0!</v>
      </c>
      <c r="U147" s="64" t="e">
        <f>R147*dagenperjaar1</f>
        <v>#DIV/0!</v>
      </c>
      <c r="V147" s="68" t="e">
        <f>U147*ROUND(Q147,2)</f>
        <v>#DIV/0!</v>
      </c>
    </row>
    <row r="148" spans="1:22" x14ac:dyDescent="0.4">
      <c r="A148" s="61" t="s">
        <v>203</v>
      </c>
      <c r="B148" s="62" t="s">
        <v>397</v>
      </c>
      <c r="C148" s="62" t="s">
        <v>205</v>
      </c>
      <c r="D148" s="62" t="s">
        <v>408</v>
      </c>
      <c r="E148" s="63" t="s">
        <v>320</v>
      </c>
      <c r="F148" s="62" t="s">
        <v>208</v>
      </c>
      <c r="G148" s="62" t="s">
        <v>177</v>
      </c>
      <c r="H148" s="62" t="s">
        <v>9</v>
      </c>
      <c r="I148" s="62" t="s">
        <v>143</v>
      </c>
      <c r="J148" s="63" t="s">
        <v>178</v>
      </c>
      <c r="K148" s="62" t="s">
        <v>209</v>
      </c>
      <c r="L148" s="64">
        <v>2</v>
      </c>
      <c r="M148" s="64">
        <f>L148*VLOOKUP(H148,dagsoorttabel1,2,FALSE)</f>
        <v>2.15</v>
      </c>
      <c r="N148" s="65">
        <f>prodnorm23</f>
        <v>0</v>
      </c>
      <c r="O148" s="66">
        <f>dagwerk23</f>
        <v>0</v>
      </c>
      <c r="P148" s="62" t="s">
        <v>40</v>
      </c>
      <c r="Q148" s="67">
        <f>uurtarief23</f>
        <v>0</v>
      </c>
      <c r="R148" s="64" t="e">
        <f>IF(ISBLANK(N148),0,M148/ROUND(N148,4))</f>
        <v>#DIV/0!</v>
      </c>
      <c r="S148" s="64" t="e">
        <f>IF(ISBLANK(N148),0,R148*ROUND(O148,2))</f>
        <v>#DIV/0!</v>
      </c>
      <c r="T148" s="67" t="e">
        <f>ROUND(Q148,2)*R148</f>
        <v>#DIV/0!</v>
      </c>
      <c r="U148" s="64" t="e">
        <f>R148*dagenperjaar1</f>
        <v>#DIV/0!</v>
      </c>
      <c r="V148" s="68" t="e">
        <f>U148*ROUND(Q148,2)</f>
        <v>#DIV/0!</v>
      </c>
    </row>
    <row r="149" spans="1:22" x14ac:dyDescent="0.4">
      <c r="A149" s="61" t="s">
        <v>203</v>
      </c>
      <c r="B149" s="62" t="s">
        <v>397</v>
      </c>
      <c r="C149" s="62" t="s">
        <v>205</v>
      </c>
      <c r="D149" s="62" t="s">
        <v>409</v>
      </c>
      <c r="E149" s="63" t="s">
        <v>410</v>
      </c>
      <c r="F149" s="62" t="s">
        <v>220</v>
      </c>
      <c r="G149" s="62" t="s">
        <v>163</v>
      </c>
      <c r="H149" s="62" t="s">
        <v>9</v>
      </c>
      <c r="I149" s="62" t="s">
        <v>143</v>
      </c>
      <c r="J149" s="63" t="s">
        <v>164</v>
      </c>
      <c r="K149" s="62" t="s">
        <v>217</v>
      </c>
      <c r="L149" s="64">
        <v>14</v>
      </c>
      <c r="M149" s="64">
        <f>L149*VLOOKUP(H149,dagsoorttabel1,2,FALSE)</f>
        <v>15.049999999999999</v>
      </c>
      <c r="N149" s="65">
        <f>prodnorm14</f>
        <v>0</v>
      </c>
      <c r="O149" s="66">
        <f>dagwerk14</f>
        <v>0</v>
      </c>
      <c r="P149" s="62" t="s">
        <v>40</v>
      </c>
      <c r="Q149" s="67">
        <f>uurtarief14</f>
        <v>0</v>
      </c>
      <c r="R149" s="64" t="e">
        <f>IF(ISBLANK(N149),0,M149/ROUND(N149,4))</f>
        <v>#DIV/0!</v>
      </c>
      <c r="S149" s="64" t="e">
        <f>IF(ISBLANK(N149),0,R149*ROUND(O149,2))</f>
        <v>#DIV/0!</v>
      </c>
      <c r="T149" s="67" t="e">
        <f>ROUND(Q149,2)*R149</f>
        <v>#DIV/0!</v>
      </c>
      <c r="U149" s="64" t="e">
        <f>R149*dagenperjaar1</f>
        <v>#DIV/0!</v>
      </c>
      <c r="V149" s="68" t="e">
        <f>U149*ROUND(Q149,2)</f>
        <v>#DIV/0!</v>
      </c>
    </row>
    <row r="150" spans="1:22" x14ac:dyDescent="0.4">
      <c r="A150" s="61" t="s">
        <v>203</v>
      </c>
      <c r="B150" s="62" t="s">
        <v>397</v>
      </c>
      <c r="C150" s="62" t="s">
        <v>205</v>
      </c>
      <c r="D150" s="62" t="s">
        <v>411</v>
      </c>
      <c r="E150" s="63" t="s">
        <v>410</v>
      </c>
      <c r="F150" s="62" t="s">
        <v>220</v>
      </c>
      <c r="G150" s="62" t="s">
        <v>163</v>
      </c>
      <c r="H150" s="62" t="s">
        <v>9</v>
      </c>
      <c r="I150" s="62" t="s">
        <v>143</v>
      </c>
      <c r="J150" s="63" t="s">
        <v>164</v>
      </c>
      <c r="K150" s="62" t="s">
        <v>217</v>
      </c>
      <c r="L150" s="64">
        <v>14</v>
      </c>
      <c r="M150" s="64">
        <f>L150*VLOOKUP(H150,dagsoorttabel1,2,FALSE)</f>
        <v>15.049999999999999</v>
      </c>
      <c r="N150" s="65">
        <f>prodnorm14</f>
        <v>0</v>
      </c>
      <c r="O150" s="66">
        <f>dagwerk14</f>
        <v>0</v>
      </c>
      <c r="P150" s="62" t="s">
        <v>40</v>
      </c>
      <c r="Q150" s="67">
        <f>uurtarief14</f>
        <v>0</v>
      </c>
      <c r="R150" s="64" t="e">
        <f>IF(ISBLANK(N150),0,M150/ROUND(N150,4))</f>
        <v>#DIV/0!</v>
      </c>
      <c r="S150" s="64" t="e">
        <f>IF(ISBLANK(N150),0,R150*ROUND(O150,2))</f>
        <v>#DIV/0!</v>
      </c>
      <c r="T150" s="67" t="e">
        <f>ROUND(Q150,2)*R150</f>
        <v>#DIV/0!</v>
      </c>
      <c r="U150" s="64" t="e">
        <f>R150*dagenperjaar1</f>
        <v>#DIV/0!</v>
      </c>
      <c r="V150" s="68" t="e">
        <f>U150*ROUND(Q150,2)</f>
        <v>#DIV/0!</v>
      </c>
    </row>
    <row r="151" spans="1:22" x14ac:dyDescent="0.4">
      <c r="A151" s="61" t="s">
        <v>203</v>
      </c>
      <c r="B151" s="62" t="s">
        <v>397</v>
      </c>
      <c r="C151" s="62" t="s">
        <v>205</v>
      </c>
      <c r="D151" s="62" t="s">
        <v>412</v>
      </c>
      <c r="E151" s="63" t="s">
        <v>410</v>
      </c>
      <c r="F151" s="62" t="s">
        <v>220</v>
      </c>
      <c r="G151" s="62" t="s">
        <v>163</v>
      </c>
      <c r="H151" s="62" t="s">
        <v>9</v>
      </c>
      <c r="I151" s="62" t="s">
        <v>143</v>
      </c>
      <c r="J151" s="63" t="s">
        <v>164</v>
      </c>
      <c r="K151" s="62" t="s">
        <v>217</v>
      </c>
      <c r="L151" s="64">
        <v>14</v>
      </c>
      <c r="M151" s="64">
        <f>L151*VLOOKUP(H151,dagsoorttabel1,2,FALSE)</f>
        <v>15.049999999999999</v>
      </c>
      <c r="N151" s="65">
        <f>prodnorm14</f>
        <v>0</v>
      </c>
      <c r="O151" s="66">
        <f>dagwerk14</f>
        <v>0</v>
      </c>
      <c r="P151" s="62" t="s">
        <v>40</v>
      </c>
      <c r="Q151" s="67">
        <f>uurtarief14</f>
        <v>0</v>
      </c>
      <c r="R151" s="64" t="e">
        <f>IF(ISBLANK(N151),0,M151/ROUND(N151,4))</f>
        <v>#DIV/0!</v>
      </c>
      <c r="S151" s="64" t="e">
        <f>IF(ISBLANK(N151),0,R151*ROUND(O151,2))</f>
        <v>#DIV/0!</v>
      </c>
      <c r="T151" s="67" t="e">
        <f>ROUND(Q151,2)*R151</f>
        <v>#DIV/0!</v>
      </c>
      <c r="U151" s="64" t="e">
        <f>R151*dagenperjaar1</f>
        <v>#DIV/0!</v>
      </c>
      <c r="V151" s="68" t="e">
        <f>U151*ROUND(Q151,2)</f>
        <v>#DIV/0!</v>
      </c>
    </row>
    <row r="152" spans="1:22" x14ac:dyDescent="0.4">
      <c r="A152" s="61" t="s">
        <v>203</v>
      </c>
      <c r="B152" s="62" t="s">
        <v>397</v>
      </c>
      <c r="C152" s="62" t="s">
        <v>205</v>
      </c>
      <c r="D152" s="62" t="s">
        <v>413</v>
      </c>
      <c r="E152" s="63" t="s">
        <v>410</v>
      </c>
      <c r="F152" s="62" t="s">
        <v>220</v>
      </c>
      <c r="G152" s="62" t="s">
        <v>163</v>
      </c>
      <c r="H152" s="62" t="s">
        <v>9</v>
      </c>
      <c r="I152" s="62" t="s">
        <v>143</v>
      </c>
      <c r="J152" s="63" t="s">
        <v>164</v>
      </c>
      <c r="K152" s="62" t="s">
        <v>217</v>
      </c>
      <c r="L152" s="64">
        <v>20</v>
      </c>
      <c r="M152" s="64">
        <f>L152*VLOOKUP(H152,dagsoorttabel1,2,FALSE)</f>
        <v>21.5</v>
      </c>
      <c r="N152" s="65">
        <f>prodnorm14</f>
        <v>0</v>
      </c>
      <c r="O152" s="66">
        <f>dagwerk14</f>
        <v>0</v>
      </c>
      <c r="P152" s="62" t="s">
        <v>40</v>
      </c>
      <c r="Q152" s="67">
        <f>uurtarief14</f>
        <v>0</v>
      </c>
      <c r="R152" s="64" t="e">
        <f>IF(ISBLANK(N152),0,M152/ROUND(N152,4))</f>
        <v>#DIV/0!</v>
      </c>
      <c r="S152" s="64" t="e">
        <f>IF(ISBLANK(N152),0,R152*ROUND(O152,2))</f>
        <v>#DIV/0!</v>
      </c>
      <c r="T152" s="67" t="e">
        <f>ROUND(Q152,2)*R152</f>
        <v>#DIV/0!</v>
      </c>
      <c r="U152" s="64" t="e">
        <f>R152*dagenperjaar1</f>
        <v>#DIV/0!</v>
      </c>
      <c r="V152" s="68" t="e">
        <f>U152*ROUND(Q152,2)</f>
        <v>#DIV/0!</v>
      </c>
    </row>
    <row r="153" spans="1:22" x14ac:dyDescent="0.4">
      <c r="A153" s="61" t="s">
        <v>203</v>
      </c>
      <c r="B153" s="62" t="s">
        <v>397</v>
      </c>
      <c r="C153" s="62" t="s">
        <v>205</v>
      </c>
      <c r="D153" s="62" t="s">
        <v>414</v>
      </c>
      <c r="E153" s="63" t="s">
        <v>415</v>
      </c>
      <c r="F153" s="62" t="s">
        <v>220</v>
      </c>
      <c r="G153" s="62" t="s">
        <v>142</v>
      </c>
      <c r="H153" s="62" t="s">
        <v>14</v>
      </c>
      <c r="I153" s="62" t="s">
        <v>143</v>
      </c>
      <c r="J153" s="63" t="s">
        <v>144</v>
      </c>
      <c r="K153" s="62" t="s">
        <v>213</v>
      </c>
      <c r="L153" s="64">
        <v>12</v>
      </c>
      <c r="M153" s="64">
        <f>L153*VLOOKUP(H153,dagsoorttabel1,2,FALSE)</f>
        <v>5.16</v>
      </c>
      <c r="N153" s="65">
        <f>prodnorm2</f>
        <v>0</v>
      </c>
      <c r="O153" s="66">
        <f>dagwerk2</f>
        <v>0</v>
      </c>
      <c r="P153" s="62" t="s">
        <v>40</v>
      </c>
      <c r="Q153" s="67">
        <f>uurtarief2</f>
        <v>0</v>
      </c>
      <c r="R153" s="64" t="e">
        <f>IF(ISBLANK(N153),0,M153/ROUND(N153,4))</f>
        <v>#DIV/0!</v>
      </c>
      <c r="S153" s="64" t="e">
        <f>IF(ISBLANK(N153),0,R153*ROUND(O153,2))</f>
        <v>#DIV/0!</v>
      </c>
      <c r="T153" s="67" t="e">
        <f>ROUND(Q153,2)*R153</f>
        <v>#DIV/0!</v>
      </c>
      <c r="U153" s="64" t="e">
        <f>R153*dagenperjaar1</f>
        <v>#DIV/0!</v>
      </c>
      <c r="V153" s="68" t="e">
        <f>U153*ROUND(Q153,2)</f>
        <v>#DIV/0!</v>
      </c>
    </row>
    <row r="154" spans="1:22" x14ac:dyDescent="0.4">
      <c r="A154" s="61" t="s">
        <v>203</v>
      </c>
      <c r="B154" s="62" t="s">
        <v>397</v>
      </c>
      <c r="C154" s="62" t="s">
        <v>205</v>
      </c>
      <c r="D154" s="62" t="s">
        <v>416</v>
      </c>
      <c r="E154" s="63" t="s">
        <v>417</v>
      </c>
      <c r="F154" s="62" t="s">
        <v>220</v>
      </c>
      <c r="G154" s="62" t="s">
        <v>157</v>
      </c>
      <c r="H154" s="62" t="s">
        <v>9</v>
      </c>
      <c r="I154" s="62" t="s">
        <v>143</v>
      </c>
      <c r="J154" s="63" t="s">
        <v>158</v>
      </c>
      <c r="K154" s="62" t="s">
        <v>217</v>
      </c>
      <c r="L154" s="64">
        <v>104</v>
      </c>
      <c r="M154" s="64">
        <f>L154*VLOOKUP(H154,dagsoorttabel1,2,FALSE)</f>
        <v>111.8</v>
      </c>
      <c r="N154" s="65">
        <f>prodnorm10</f>
        <v>0</v>
      </c>
      <c r="O154" s="66">
        <f>dagwerk10</f>
        <v>0</v>
      </c>
      <c r="P154" s="62" t="s">
        <v>40</v>
      </c>
      <c r="Q154" s="67">
        <f>uurtarief10</f>
        <v>0</v>
      </c>
      <c r="R154" s="64" t="e">
        <f>IF(ISBLANK(N154),0,M154/ROUND(N154,4))</f>
        <v>#DIV/0!</v>
      </c>
      <c r="S154" s="64" t="e">
        <f>IF(ISBLANK(N154),0,R154*ROUND(O154,2))</f>
        <v>#DIV/0!</v>
      </c>
      <c r="T154" s="67" t="e">
        <f>ROUND(Q154,2)*R154</f>
        <v>#DIV/0!</v>
      </c>
      <c r="U154" s="64" t="e">
        <f>R154*dagenperjaar1</f>
        <v>#DIV/0!</v>
      </c>
      <c r="V154" s="68" t="e">
        <f>U154*ROUND(Q154,2)</f>
        <v>#DIV/0!</v>
      </c>
    </row>
    <row r="155" spans="1:22" x14ac:dyDescent="0.4">
      <c r="A155" s="61" t="s">
        <v>203</v>
      </c>
      <c r="B155" s="62" t="s">
        <v>397</v>
      </c>
      <c r="C155" s="62" t="s">
        <v>205</v>
      </c>
      <c r="D155" s="62" t="s">
        <v>418</v>
      </c>
      <c r="E155" s="63" t="s">
        <v>211</v>
      </c>
      <c r="F155" s="62" t="s">
        <v>220</v>
      </c>
      <c r="G155" s="62" t="s">
        <v>142</v>
      </c>
      <c r="H155" s="62" t="s">
        <v>14</v>
      </c>
      <c r="I155" s="62" t="s">
        <v>143</v>
      </c>
      <c r="J155" s="63" t="s">
        <v>144</v>
      </c>
      <c r="K155" s="62" t="s">
        <v>213</v>
      </c>
      <c r="L155" s="64">
        <v>12</v>
      </c>
      <c r="M155" s="64">
        <f>L155*VLOOKUP(H155,dagsoorttabel1,2,FALSE)</f>
        <v>5.16</v>
      </c>
      <c r="N155" s="65">
        <f>prodnorm2</f>
        <v>0</v>
      </c>
      <c r="O155" s="66">
        <f>dagwerk2</f>
        <v>0</v>
      </c>
      <c r="P155" s="62" t="s">
        <v>40</v>
      </c>
      <c r="Q155" s="67">
        <f>uurtarief2</f>
        <v>0</v>
      </c>
      <c r="R155" s="64" t="e">
        <f>IF(ISBLANK(N155),0,M155/ROUND(N155,4))</f>
        <v>#DIV/0!</v>
      </c>
      <c r="S155" s="64" t="e">
        <f>IF(ISBLANK(N155),0,R155*ROUND(O155,2))</f>
        <v>#DIV/0!</v>
      </c>
      <c r="T155" s="67" t="e">
        <f>ROUND(Q155,2)*R155</f>
        <v>#DIV/0!</v>
      </c>
      <c r="U155" s="64" t="e">
        <f>R155*dagenperjaar1</f>
        <v>#DIV/0!</v>
      </c>
      <c r="V155" s="68" t="e">
        <f>U155*ROUND(Q155,2)</f>
        <v>#DIV/0!</v>
      </c>
    </row>
    <row r="156" spans="1:22" x14ac:dyDescent="0.4">
      <c r="A156" s="61" t="s">
        <v>203</v>
      </c>
      <c r="B156" s="62" t="s">
        <v>397</v>
      </c>
      <c r="C156" s="62" t="s">
        <v>205</v>
      </c>
      <c r="D156" s="62" t="s">
        <v>419</v>
      </c>
      <c r="E156" s="63" t="s">
        <v>211</v>
      </c>
      <c r="F156" s="62" t="s">
        <v>220</v>
      </c>
      <c r="G156" s="62" t="s">
        <v>142</v>
      </c>
      <c r="H156" s="62" t="s">
        <v>14</v>
      </c>
      <c r="I156" s="62" t="s">
        <v>143</v>
      </c>
      <c r="J156" s="63" t="s">
        <v>144</v>
      </c>
      <c r="K156" s="62" t="s">
        <v>213</v>
      </c>
      <c r="L156" s="64">
        <v>20</v>
      </c>
      <c r="M156" s="64">
        <f>L156*VLOOKUP(H156,dagsoorttabel1,2,FALSE)</f>
        <v>8.6</v>
      </c>
      <c r="N156" s="65">
        <f>prodnorm2</f>
        <v>0</v>
      </c>
      <c r="O156" s="66">
        <f>dagwerk2</f>
        <v>0</v>
      </c>
      <c r="P156" s="62" t="s">
        <v>40</v>
      </c>
      <c r="Q156" s="67">
        <f>uurtarief2</f>
        <v>0</v>
      </c>
      <c r="R156" s="64" t="e">
        <f>IF(ISBLANK(N156),0,M156/ROUND(N156,4))</f>
        <v>#DIV/0!</v>
      </c>
      <c r="S156" s="64" t="e">
        <f>IF(ISBLANK(N156),0,R156*ROUND(O156,2))</f>
        <v>#DIV/0!</v>
      </c>
      <c r="T156" s="67" t="e">
        <f>ROUND(Q156,2)*R156</f>
        <v>#DIV/0!</v>
      </c>
      <c r="U156" s="64" t="e">
        <f>R156*dagenperjaar1</f>
        <v>#DIV/0!</v>
      </c>
      <c r="V156" s="68" t="e">
        <f>U156*ROUND(Q156,2)</f>
        <v>#DIV/0!</v>
      </c>
    </row>
    <row r="157" spans="1:22" x14ac:dyDescent="0.4">
      <c r="A157" s="61" t="s">
        <v>203</v>
      </c>
      <c r="B157" s="62" t="s">
        <v>397</v>
      </c>
      <c r="C157" s="62" t="s">
        <v>205</v>
      </c>
      <c r="D157" s="62" t="s">
        <v>420</v>
      </c>
      <c r="E157" s="63" t="s">
        <v>222</v>
      </c>
      <c r="F157" s="62" t="s">
        <v>220</v>
      </c>
      <c r="G157" s="62" t="s">
        <v>159</v>
      </c>
      <c r="H157" s="62" t="s">
        <v>9</v>
      </c>
      <c r="I157" s="62" t="s">
        <v>143</v>
      </c>
      <c r="J157" s="63" t="s">
        <v>160</v>
      </c>
      <c r="K157" s="62" t="s">
        <v>217</v>
      </c>
      <c r="L157" s="64">
        <v>52</v>
      </c>
      <c r="M157" s="64">
        <f>L157*VLOOKUP(H157,dagsoorttabel1,2,FALSE)</f>
        <v>55.9</v>
      </c>
      <c r="N157" s="65">
        <f>prodnorm11</f>
        <v>0</v>
      </c>
      <c r="O157" s="66">
        <f>dagwerk11</f>
        <v>0</v>
      </c>
      <c r="P157" s="62" t="s">
        <v>40</v>
      </c>
      <c r="Q157" s="67">
        <f>uurtarief11</f>
        <v>0</v>
      </c>
      <c r="R157" s="64" t="e">
        <f>IF(ISBLANK(N157),0,M157/ROUND(N157,4))</f>
        <v>#DIV/0!</v>
      </c>
      <c r="S157" s="64" t="e">
        <f>IF(ISBLANK(N157),0,R157*ROUND(O157,2))</f>
        <v>#DIV/0!</v>
      </c>
      <c r="T157" s="67" t="e">
        <f>ROUND(Q157,2)*R157</f>
        <v>#DIV/0!</v>
      </c>
      <c r="U157" s="64" t="e">
        <f>R157*dagenperjaar1</f>
        <v>#DIV/0!</v>
      </c>
      <c r="V157" s="68" t="e">
        <f>U157*ROUND(Q157,2)</f>
        <v>#DIV/0!</v>
      </c>
    </row>
    <row r="158" spans="1:22" x14ac:dyDescent="0.4">
      <c r="A158" s="61" t="s">
        <v>203</v>
      </c>
      <c r="B158" s="62" t="s">
        <v>397</v>
      </c>
      <c r="C158" s="62" t="s">
        <v>205</v>
      </c>
      <c r="D158" s="62" t="s">
        <v>421</v>
      </c>
      <c r="E158" s="63" t="s">
        <v>222</v>
      </c>
      <c r="F158" s="62" t="s">
        <v>220</v>
      </c>
      <c r="G158" s="62" t="s">
        <v>159</v>
      </c>
      <c r="H158" s="62" t="s">
        <v>9</v>
      </c>
      <c r="I158" s="62" t="s">
        <v>143</v>
      </c>
      <c r="J158" s="63" t="s">
        <v>160</v>
      </c>
      <c r="K158" s="62" t="s">
        <v>217</v>
      </c>
      <c r="L158" s="64">
        <v>52</v>
      </c>
      <c r="M158" s="64">
        <f>L158*VLOOKUP(H158,dagsoorttabel1,2,FALSE)</f>
        <v>55.9</v>
      </c>
      <c r="N158" s="65">
        <f>prodnorm11</f>
        <v>0</v>
      </c>
      <c r="O158" s="66">
        <f>dagwerk11</f>
        <v>0</v>
      </c>
      <c r="P158" s="62" t="s">
        <v>40</v>
      </c>
      <c r="Q158" s="67">
        <f>uurtarief11</f>
        <v>0</v>
      </c>
      <c r="R158" s="64" t="e">
        <f>IF(ISBLANK(N158),0,M158/ROUND(N158,4))</f>
        <v>#DIV/0!</v>
      </c>
      <c r="S158" s="64" t="e">
        <f>IF(ISBLANK(N158),0,R158*ROUND(O158,2))</f>
        <v>#DIV/0!</v>
      </c>
      <c r="T158" s="67" t="e">
        <f>ROUND(Q158,2)*R158</f>
        <v>#DIV/0!</v>
      </c>
      <c r="U158" s="64" t="e">
        <f>R158*dagenperjaar1</f>
        <v>#DIV/0!</v>
      </c>
      <c r="V158" s="68" t="e">
        <f>U158*ROUND(Q158,2)</f>
        <v>#DIV/0!</v>
      </c>
    </row>
    <row r="159" spans="1:22" x14ac:dyDescent="0.4">
      <c r="A159" s="61" t="s">
        <v>203</v>
      </c>
      <c r="B159" s="62" t="s">
        <v>397</v>
      </c>
      <c r="C159" s="62" t="s">
        <v>205</v>
      </c>
      <c r="D159" s="62" t="s">
        <v>422</v>
      </c>
      <c r="E159" s="63" t="s">
        <v>222</v>
      </c>
      <c r="F159" s="62" t="s">
        <v>220</v>
      </c>
      <c r="G159" s="62" t="s">
        <v>159</v>
      </c>
      <c r="H159" s="62" t="s">
        <v>9</v>
      </c>
      <c r="I159" s="62" t="s">
        <v>143</v>
      </c>
      <c r="J159" s="63" t="s">
        <v>160</v>
      </c>
      <c r="K159" s="62" t="s">
        <v>217</v>
      </c>
      <c r="L159" s="64">
        <v>52</v>
      </c>
      <c r="M159" s="64">
        <f>L159*VLOOKUP(H159,dagsoorttabel1,2,FALSE)</f>
        <v>55.9</v>
      </c>
      <c r="N159" s="65">
        <f>prodnorm11</f>
        <v>0</v>
      </c>
      <c r="O159" s="66">
        <f>dagwerk11</f>
        <v>0</v>
      </c>
      <c r="P159" s="62" t="s">
        <v>40</v>
      </c>
      <c r="Q159" s="67">
        <f>uurtarief11</f>
        <v>0</v>
      </c>
      <c r="R159" s="64" t="e">
        <f>IF(ISBLANK(N159),0,M159/ROUND(N159,4))</f>
        <v>#DIV/0!</v>
      </c>
      <c r="S159" s="64" t="e">
        <f>IF(ISBLANK(N159),0,R159*ROUND(O159,2))</f>
        <v>#DIV/0!</v>
      </c>
      <c r="T159" s="67" t="e">
        <f>ROUND(Q159,2)*R159</f>
        <v>#DIV/0!</v>
      </c>
      <c r="U159" s="64" t="e">
        <f>R159*dagenperjaar1</f>
        <v>#DIV/0!</v>
      </c>
      <c r="V159" s="68" t="e">
        <f>U159*ROUND(Q159,2)</f>
        <v>#DIV/0!</v>
      </c>
    </row>
    <row r="160" spans="1:22" x14ac:dyDescent="0.4">
      <c r="A160" s="61" t="s">
        <v>203</v>
      </c>
      <c r="B160" s="62" t="s">
        <v>397</v>
      </c>
      <c r="C160" s="62" t="s">
        <v>205</v>
      </c>
      <c r="D160" s="62" t="s">
        <v>423</v>
      </c>
      <c r="E160" s="63" t="s">
        <v>222</v>
      </c>
      <c r="F160" s="62" t="s">
        <v>220</v>
      </c>
      <c r="G160" s="62" t="s">
        <v>159</v>
      </c>
      <c r="H160" s="62" t="s">
        <v>9</v>
      </c>
      <c r="I160" s="62" t="s">
        <v>143</v>
      </c>
      <c r="J160" s="63" t="s">
        <v>160</v>
      </c>
      <c r="K160" s="62" t="s">
        <v>217</v>
      </c>
      <c r="L160" s="64">
        <v>52</v>
      </c>
      <c r="M160" s="64">
        <f>L160*VLOOKUP(H160,dagsoorttabel1,2,FALSE)</f>
        <v>55.9</v>
      </c>
      <c r="N160" s="65">
        <f>prodnorm11</f>
        <v>0</v>
      </c>
      <c r="O160" s="66">
        <f>dagwerk11</f>
        <v>0</v>
      </c>
      <c r="P160" s="62" t="s">
        <v>40</v>
      </c>
      <c r="Q160" s="67">
        <f>uurtarief11</f>
        <v>0</v>
      </c>
      <c r="R160" s="64" t="e">
        <f>IF(ISBLANK(N160),0,M160/ROUND(N160,4))</f>
        <v>#DIV/0!</v>
      </c>
      <c r="S160" s="64" t="e">
        <f>IF(ISBLANK(N160),0,R160*ROUND(O160,2))</f>
        <v>#DIV/0!</v>
      </c>
      <c r="T160" s="67" t="e">
        <f>ROUND(Q160,2)*R160</f>
        <v>#DIV/0!</v>
      </c>
      <c r="U160" s="64" t="e">
        <f>R160*dagenperjaar1</f>
        <v>#DIV/0!</v>
      </c>
      <c r="V160" s="68" t="e">
        <f>U160*ROUND(Q160,2)</f>
        <v>#DIV/0!</v>
      </c>
    </row>
    <row r="161" spans="1:22" x14ac:dyDescent="0.4">
      <c r="A161" s="61" t="s">
        <v>203</v>
      </c>
      <c r="B161" s="62" t="s">
        <v>397</v>
      </c>
      <c r="C161" s="62" t="s">
        <v>205</v>
      </c>
      <c r="D161" s="62" t="s">
        <v>424</v>
      </c>
      <c r="E161" s="63" t="s">
        <v>239</v>
      </c>
      <c r="F161" s="62" t="s">
        <v>220</v>
      </c>
      <c r="G161" s="62" t="s">
        <v>142</v>
      </c>
      <c r="H161" s="62" t="s">
        <v>9</v>
      </c>
      <c r="I161" s="62" t="s">
        <v>143</v>
      </c>
      <c r="J161" s="63" t="s">
        <v>144</v>
      </c>
      <c r="K161" s="62" t="s">
        <v>213</v>
      </c>
      <c r="L161" s="64">
        <v>86</v>
      </c>
      <c r="M161" s="64">
        <f>L161*VLOOKUP(H161,dagsoorttabel1,2,FALSE)</f>
        <v>92.45</v>
      </c>
      <c r="N161" s="65">
        <f>prodnorm1</f>
        <v>0</v>
      </c>
      <c r="O161" s="66">
        <f>dagwerk1</f>
        <v>0</v>
      </c>
      <c r="P161" s="62" t="s">
        <v>40</v>
      </c>
      <c r="Q161" s="67">
        <f>uurtarief1</f>
        <v>0</v>
      </c>
      <c r="R161" s="64" t="e">
        <f>IF(ISBLANK(N161),0,M161/ROUND(N161,4))</f>
        <v>#DIV/0!</v>
      </c>
      <c r="S161" s="64" t="e">
        <f>IF(ISBLANK(N161),0,R161*ROUND(O161,2))</f>
        <v>#DIV/0!</v>
      </c>
      <c r="T161" s="67" t="e">
        <f>ROUND(Q161,2)*R161</f>
        <v>#DIV/0!</v>
      </c>
      <c r="U161" s="64" t="e">
        <f>R161*dagenperjaar1</f>
        <v>#DIV/0!</v>
      </c>
      <c r="V161" s="68" t="e">
        <f>U161*ROUND(Q161,2)</f>
        <v>#DIV/0!</v>
      </c>
    </row>
    <row r="162" spans="1:22" x14ac:dyDescent="0.4">
      <c r="A162" s="61" t="s">
        <v>203</v>
      </c>
      <c r="B162" s="62" t="s">
        <v>397</v>
      </c>
      <c r="C162" s="62" t="s">
        <v>205</v>
      </c>
      <c r="D162" s="62" t="s">
        <v>425</v>
      </c>
      <c r="E162" s="63" t="s">
        <v>246</v>
      </c>
      <c r="F162" s="62" t="s">
        <v>220</v>
      </c>
      <c r="G162" s="62" t="s">
        <v>179</v>
      </c>
      <c r="H162" s="62" t="s">
        <v>9</v>
      </c>
      <c r="I162" s="62" t="s">
        <v>143</v>
      </c>
      <c r="J162" s="63" t="s">
        <v>180</v>
      </c>
      <c r="K162" s="62" t="s">
        <v>244</v>
      </c>
      <c r="L162" s="64">
        <v>93</v>
      </c>
      <c r="M162" s="64">
        <f>L162*VLOOKUP(H162,dagsoorttabel1,2,FALSE)</f>
        <v>99.974999999999994</v>
      </c>
      <c r="N162" s="65">
        <f>prodnorm25</f>
        <v>0</v>
      </c>
      <c r="O162" s="66">
        <f>dagwerk25</f>
        <v>0</v>
      </c>
      <c r="P162" s="62" t="s">
        <v>40</v>
      </c>
      <c r="Q162" s="67">
        <f>uurtarief25</f>
        <v>0</v>
      </c>
      <c r="R162" s="64" t="e">
        <f>IF(ISBLANK(N162),0,M162/ROUND(N162,4))</f>
        <v>#DIV/0!</v>
      </c>
      <c r="S162" s="64" t="e">
        <f>IF(ISBLANK(N162),0,R162*ROUND(O162,2))</f>
        <v>#DIV/0!</v>
      </c>
      <c r="T162" s="67" t="e">
        <f>ROUND(Q162,2)*R162</f>
        <v>#DIV/0!</v>
      </c>
      <c r="U162" s="64" t="e">
        <f>R162*dagenperjaar1</f>
        <v>#DIV/0!</v>
      </c>
      <c r="V162" s="68" t="e">
        <f>U162*ROUND(Q162,2)</f>
        <v>#DIV/0!</v>
      </c>
    </row>
    <row r="163" spans="1:22" x14ac:dyDescent="0.4">
      <c r="A163" s="61" t="s">
        <v>203</v>
      </c>
      <c r="B163" s="62" t="s">
        <v>397</v>
      </c>
      <c r="C163" s="62" t="s">
        <v>319</v>
      </c>
      <c r="D163" s="62" t="s">
        <v>426</v>
      </c>
      <c r="E163" s="63" t="s">
        <v>252</v>
      </c>
      <c r="F163" s="62" t="s">
        <v>220</v>
      </c>
      <c r="G163" s="62" t="s">
        <v>179</v>
      </c>
      <c r="H163" s="62" t="s">
        <v>9</v>
      </c>
      <c r="I163" s="62" t="s">
        <v>143</v>
      </c>
      <c r="J163" s="63" t="s">
        <v>180</v>
      </c>
      <c r="K163" s="62" t="s">
        <v>244</v>
      </c>
      <c r="L163" s="64">
        <v>54</v>
      </c>
      <c r="M163" s="64">
        <f>L163*VLOOKUP(H163,dagsoorttabel1,2,FALSE)</f>
        <v>58.05</v>
      </c>
      <c r="N163" s="65">
        <f>prodnorm25</f>
        <v>0</v>
      </c>
      <c r="O163" s="66">
        <f>dagwerk25</f>
        <v>0</v>
      </c>
      <c r="P163" s="62" t="s">
        <v>40</v>
      </c>
      <c r="Q163" s="67">
        <f>uurtarief25</f>
        <v>0</v>
      </c>
      <c r="R163" s="64" t="e">
        <f>IF(ISBLANK(N163),0,M163/ROUND(N163,4))</f>
        <v>#DIV/0!</v>
      </c>
      <c r="S163" s="64" t="e">
        <f>IF(ISBLANK(N163),0,R163*ROUND(O163,2))</f>
        <v>#DIV/0!</v>
      </c>
      <c r="T163" s="67" t="e">
        <f>ROUND(Q163,2)*R163</f>
        <v>#DIV/0!</v>
      </c>
      <c r="U163" s="64" t="e">
        <f>R163*dagenperjaar1</f>
        <v>#DIV/0!</v>
      </c>
      <c r="V163" s="68" t="e">
        <f>U163*ROUND(Q163,2)</f>
        <v>#DIV/0!</v>
      </c>
    </row>
    <row r="164" spans="1:22" x14ac:dyDescent="0.4">
      <c r="A164" s="61" t="s">
        <v>203</v>
      </c>
      <c r="B164" s="62" t="s">
        <v>397</v>
      </c>
      <c r="C164" s="62" t="s">
        <v>319</v>
      </c>
      <c r="D164" s="62" t="s">
        <v>427</v>
      </c>
      <c r="E164" s="63" t="s">
        <v>352</v>
      </c>
      <c r="F164" s="62" t="s">
        <v>208</v>
      </c>
      <c r="G164" s="62" t="s">
        <v>177</v>
      </c>
      <c r="H164" s="62" t="s">
        <v>9</v>
      </c>
      <c r="I164" s="62" t="s">
        <v>143</v>
      </c>
      <c r="J164" s="63" t="s">
        <v>178</v>
      </c>
      <c r="K164" s="62" t="s">
        <v>209</v>
      </c>
      <c r="L164" s="64">
        <v>14</v>
      </c>
      <c r="M164" s="64">
        <f>L164*VLOOKUP(H164,dagsoorttabel1,2,FALSE)</f>
        <v>15.049999999999999</v>
      </c>
      <c r="N164" s="65">
        <f>prodnorm23</f>
        <v>0</v>
      </c>
      <c r="O164" s="66">
        <f>dagwerk23</f>
        <v>0</v>
      </c>
      <c r="P164" s="62" t="s">
        <v>40</v>
      </c>
      <c r="Q164" s="67">
        <f>uurtarief23</f>
        <v>0</v>
      </c>
      <c r="R164" s="64" t="e">
        <f>IF(ISBLANK(N164),0,M164/ROUND(N164,4))</f>
        <v>#DIV/0!</v>
      </c>
      <c r="S164" s="64" t="e">
        <f>IF(ISBLANK(N164),0,R164*ROUND(O164,2))</f>
        <v>#DIV/0!</v>
      </c>
      <c r="T164" s="67" t="e">
        <f>ROUND(Q164,2)*R164</f>
        <v>#DIV/0!</v>
      </c>
      <c r="U164" s="64" t="e">
        <f>R164*dagenperjaar1</f>
        <v>#DIV/0!</v>
      </c>
      <c r="V164" s="68" t="e">
        <f>U164*ROUND(Q164,2)</f>
        <v>#DIV/0!</v>
      </c>
    </row>
    <row r="165" spans="1:22" x14ac:dyDescent="0.4">
      <c r="A165" s="61" t="s">
        <v>203</v>
      </c>
      <c r="B165" s="62" t="s">
        <v>397</v>
      </c>
      <c r="C165" s="62" t="s">
        <v>319</v>
      </c>
      <c r="D165" s="62" t="s">
        <v>428</v>
      </c>
      <c r="E165" s="63" t="s">
        <v>354</v>
      </c>
      <c r="F165" s="62" t="s">
        <v>208</v>
      </c>
      <c r="G165" s="62" t="s">
        <v>177</v>
      </c>
      <c r="H165" s="62" t="s">
        <v>9</v>
      </c>
      <c r="I165" s="62" t="s">
        <v>143</v>
      </c>
      <c r="J165" s="63" t="s">
        <v>178</v>
      </c>
      <c r="K165" s="62" t="s">
        <v>209</v>
      </c>
      <c r="L165" s="64">
        <v>14</v>
      </c>
      <c r="M165" s="64">
        <f>L165*VLOOKUP(H165,dagsoorttabel1,2,FALSE)</f>
        <v>15.049999999999999</v>
      </c>
      <c r="N165" s="65">
        <f>prodnorm23</f>
        <v>0</v>
      </c>
      <c r="O165" s="66">
        <f>dagwerk23</f>
        <v>0</v>
      </c>
      <c r="P165" s="62" t="s">
        <v>40</v>
      </c>
      <c r="Q165" s="67">
        <f>uurtarief23</f>
        <v>0</v>
      </c>
      <c r="R165" s="64" t="e">
        <f>IF(ISBLANK(N165),0,M165/ROUND(N165,4))</f>
        <v>#DIV/0!</v>
      </c>
      <c r="S165" s="64" t="e">
        <f>IF(ISBLANK(N165),0,R165*ROUND(O165,2))</f>
        <v>#DIV/0!</v>
      </c>
      <c r="T165" s="67" t="e">
        <f>ROUND(Q165,2)*R165</f>
        <v>#DIV/0!</v>
      </c>
      <c r="U165" s="64" t="e">
        <f>R165*dagenperjaar1</f>
        <v>#DIV/0!</v>
      </c>
      <c r="V165" s="68" t="e">
        <f>U165*ROUND(Q165,2)</f>
        <v>#DIV/0!</v>
      </c>
    </row>
    <row r="166" spans="1:22" x14ac:dyDescent="0.4">
      <c r="A166" s="61" t="s">
        <v>203</v>
      </c>
      <c r="B166" s="62" t="s">
        <v>397</v>
      </c>
      <c r="C166" s="62" t="s">
        <v>319</v>
      </c>
      <c r="D166" s="62" t="s">
        <v>429</v>
      </c>
      <c r="E166" s="63" t="s">
        <v>246</v>
      </c>
      <c r="F166" s="62" t="s">
        <v>220</v>
      </c>
      <c r="G166" s="62" t="s">
        <v>179</v>
      </c>
      <c r="H166" s="62" t="s">
        <v>9</v>
      </c>
      <c r="I166" s="62" t="s">
        <v>143</v>
      </c>
      <c r="J166" s="63" t="s">
        <v>180</v>
      </c>
      <c r="K166" s="62" t="s">
        <v>244</v>
      </c>
      <c r="L166" s="64">
        <v>91</v>
      </c>
      <c r="M166" s="64">
        <f>L166*VLOOKUP(H166,dagsoorttabel1,2,FALSE)</f>
        <v>97.825000000000003</v>
      </c>
      <c r="N166" s="65">
        <f>prodnorm25</f>
        <v>0</v>
      </c>
      <c r="O166" s="66">
        <f>dagwerk25</f>
        <v>0</v>
      </c>
      <c r="P166" s="62" t="s">
        <v>40</v>
      </c>
      <c r="Q166" s="67">
        <f>uurtarief25</f>
        <v>0</v>
      </c>
      <c r="R166" s="64" t="e">
        <f>IF(ISBLANK(N166),0,M166/ROUND(N166,4))</f>
        <v>#DIV/0!</v>
      </c>
      <c r="S166" s="64" t="e">
        <f>IF(ISBLANK(N166),0,R166*ROUND(O166,2))</f>
        <v>#DIV/0!</v>
      </c>
      <c r="T166" s="67" t="e">
        <f>ROUND(Q166,2)*R166</f>
        <v>#DIV/0!</v>
      </c>
      <c r="U166" s="64" t="e">
        <f>R166*dagenperjaar1</f>
        <v>#DIV/0!</v>
      </c>
      <c r="V166" s="68" t="e">
        <f>U166*ROUND(Q166,2)</f>
        <v>#DIV/0!</v>
      </c>
    </row>
    <row r="167" spans="1:22" x14ac:dyDescent="0.4">
      <c r="A167" s="61" t="s">
        <v>203</v>
      </c>
      <c r="B167" s="62" t="s">
        <v>397</v>
      </c>
      <c r="C167" s="62" t="s">
        <v>319</v>
      </c>
      <c r="D167" s="62" t="s">
        <v>430</v>
      </c>
      <c r="E167" s="63" t="s">
        <v>410</v>
      </c>
      <c r="F167" s="62" t="s">
        <v>220</v>
      </c>
      <c r="G167" s="62" t="s">
        <v>163</v>
      </c>
      <c r="H167" s="62" t="s">
        <v>9</v>
      </c>
      <c r="I167" s="62" t="s">
        <v>143</v>
      </c>
      <c r="J167" s="63" t="s">
        <v>164</v>
      </c>
      <c r="K167" s="62" t="s">
        <v>217</v>
      </c>
      <c r="L167" s="64">
        <v>18</v>
      </c>
      <c r="M167" s="64">
        <f>L167*VLOOKUP(H167,dagsoorttabel1,2,FALSE)</f>
        <v>19.349999999999998</v>
      </c>
      <c r="N167" s="65">
        <f>prodnorm14</f>
        <v>0</v>
      </c>
      <c r="O167" s="66">
        <f>dagwerk14</f>
        <v>0</v>
      </c>
      <c r="P167" s="62" t="s">
        <v>40</v>
      </c>
      <c r="Q167" s="67">
        <f>uurtarief14</f>
        <v>0</v>
      </c>
      <c r="R167" s="64" t="e">
        <f>IF(ISBLANK(N167),0,M167/ROUND(N167,4))</f>
        <v>#DIV/0!</v>
      </c>
      <c r="S167" s="64" t="e">
        <f>IF(ISBLANK(N167),0,R167*ROUND(O167,2))</f>
        <v>#DIV/0!</v>
      </c>
      <c r="T167" s="67" t="e">
        <f>ROUND(Q167,2)*R167</f>
        <v>#DIV/0!</v>
      </c>
      <c r="U167" s="64" t="e">
        <f>R167*dagenperjaar1</f>
        <v>#DIV/0!</v>
      </c>
      <c r="V167" s="68" t="e">
        <f>U167*ROUND(Q167,2)</f>
        <v>#DIV/0!</v>
      </c>
    </row>
    <row r="168" spans="1:22" x14ac:dyDescent="0.4">
      <c r="A168" s="61" t="s">
        <v>203</v>
      </c>
      <c r="B168" s="62" t="s">
        <v>397</v>
      </c>
      <c r="C168" s="62" t="s">
        <v>319</v>
      </c>
      <c r="D168" s="62" t="s">
        <v>431</v>
      </c>
      <c r="E168" s="63" t="s">
        <v>410</v>
      </c>
      <c r="F168" s="62" t="s">
        <v>220</v>
      </c>
      <c r="G168" s="62" t="s">
        <v>163</v>
      </c>
      <c r="H168" s="62" t="s">
        <v>9</v>
      </c>
      <c r="I168" s="62" t="s">
        <v>143</v>
      </c>
      <c r="J168" s="63" t="s">
        <v>164</v>
      </c>
      <c r="K168" s="62" t="s">
        <v>217</v>
      </c>
      <c r="L168" s="64">
        <v>14</v>
      </c>
      <c r="M168" s="64">
        <f>L168*VLOOKUP(H168,dagsoorttabel1,2,FALSE)</f>
        <v>15.049999999999999</v>
      </c>
      <c r="N168" s="65">
        <f>prodnorm14</f>
        <v>0</v>
      </c>
      <c r="O168" s="66">
        <f>dagwerk14</f>
        <v>0</v>
      </c>
      <c r="P168" s="62" t="s">
        <v>40</v>
      </c>
      <c r="Q168" s="67">
        <f>uurtarief14</f>
        <v>0</v>
      </c>
      <c r="R168" s="64" t="e">
        <f>IF(ISBLANK(N168),0,M168/ROUND(N168,4))</f>
        <v>#DIV/0!</v>
      </c>
      <c r="S168" s="64" t="e">
        <f>IF(ISBLANK(N168),0,R168*ROUND(O168,2))</f>
        <v>#DIV/0!</v>
      </c>
      <c r="T168" s="67" t="e">
        <f>ROUND(Q168,2)*R168</f>
        <v>#DIV/0!</v>
      </c>
      <c r="U168" s="64" t="e">
        <f>R168*dagenperjaar1</f>
        <v>#DIV/0!</v>
      </c>
      <c r="V168" s="68" t="e">
        <f>U168*ROUND(Q168,2)</f>
        <v>#DIV/0!</v>
      </c>
    </row>
    <row r="169" spans="1:22" x14ac:dyDescent="0.4">
      <c r="A169" s="61" t="s">
        <v>203</v>
      </c>
      <c r="B169" s="62" t="s">
        <v>397</v>
      </c>
      <c r="C169" s="62" t="s">
        <v>319</v>
      </c>
      <c r="D169" s="62" t="s">
        <v>432</v>
      </c>
      <c r="E169" s="63" t="s">
        <v>410</v>
      </c>
      <c r="F169" s="62" t="s">
        <v>220</v>
      </c>
      <c r="G169" s="62" t="s">
        <v>163</v>
      </c>
      <c r="H169" s="62" t="s">
        <v>9</v>
      </c>
      <c r="I169" s="62" t="s">
        <v>143</v>
      </c>
      <c r="J169" s="63" t="s">
        <v>164</v>
      </c>
      <c r="K169" s="62" t="s">
        <v>217</v>
      </c>
      <c r="L169" s="64">
        <v>15</v>
      </c>
      <c r="M169" s="64">
        <f>L169*VLOOKUP(H169,dagsoorttabel1,2,FALSE)</f>
        <v>16.125</v>
      </c>
      <c r="N169" s="65">
        <f>prodnorm14</f>
        <v>0</v>
      </c>
      <c r="O169" s="66">
        <f>dagwerk14</f>
        <v>0</v>
      </c>
      <c r="P169" s="62" t="s">
        <v>40</v>
      </c>
      <c r="Q169" s="67">
        <f>uurtarief14</f>
        <v>0</v>
      </c>
      <c r="R169" s="64" t="e">
        <f>IF(ISBLANK(N169),0,M169/ROUND(N169,4))</f>
        <v>#DIV/0!</v>
      </c>
      <c r="S169" s="64" t="e">
        <f>IF(ISBLANK(N169),0,R169*ROUND(O169,2))</f>
        <v>#DIV/0!</v>
      </c>
      <c r="T169" s="67" t="e">
        <f>ROUND(Q169,2)*R169</f>
        <v>#DIV/0!</v>
      </c>
      <c r="U169" s="64" t="e">
        <f>R169*dagenperjaar1</f>
        <v>#DIV/0!</v>
      </c>
      <c r="V169" s="68" t="e">
        <f>U169*ROUND(Q169,2)</f>
        <v>#DIV/0!</v>
      </c>
    </row>
    <row r="170" spans="1:22" x14ac:dyDescent="0.4">
      <c r="A170" s="61" t="s">
        <v>203</v>
      </c>
      <c r="B170" s="62" t="s">
        <v>397</v>
      </c>
      <c r="C170" s="62" t="s">
        <v>319</v>
      </c>
      <c r="D170" s="62" t="s">
        <v>433</v>
      </c>
      <c r="E170" s="63" t="s">
        <v>410</v>
      </c>
      <c r="F170" s="62" t="s">
        <v>220</v>
      </c>
      <c r="G170" s="62" t="s">
        <v>163</v>
      </c>
      <c r="H170" s="62" t="s">
        <v>9</v>
      </c>
      <c r="I170" s="62" t="s">
        <v>143</v>
      </c>
      <c r="J170" s="63" t="s">
        <v>164</v>
      </c>
      <c r="K170" s="62" t="s">
        <v>217</v>
      </c>
      <c r="L170" s="64">
        <v>14</v>
      </c>
      <c r="M170" s="64">
        <f>L170*VLOOKUP(H170,dagsoorttabel1,2,FALSE)</f>
        <v>15.049999999999999</v>
      </c>
      <c r="N170" s="65">
        <f>prodnorm14</f>
        <v>0</v>
      </c>
      <c r="O170" s="66">
        <f>dagwerk14</f>
        <v>0</v>
      </c>
      <c r="P170" s="62" t="s">
        <v>40</v>
      </c>
      <c r="Q170" s="67">
        <f>uurtarief14</f>
        <v>0</v>
      </c>
      <c r="R170" s="64" t="e">
        <f>IF(ISBLANK(N170),0,M170/ROUND(N170,4))</f>
        <v>#DIV/0!</v>
      </c>
      <c r="S170" s="64" t="e">
        <f>IF(ISBLANK(N170),0,R170*ROUND(O170,2))</f>
        <v>#DIV/0!</v>
      </c>
      <c r="T170" s="67" t="e">
        <f>ROUND(Q170,2)*R170</f>
        <v>#DIV/0!</v>
      </c>
      <c r="U170" s="64" t="e">
        <f>R170*dagenperjaar1</f>
        <v>#DIV/0!</v>
      </c>
      <c r="V170" s="68" t="e">
        <f>U170*ROUND(Q170,2)</f>
        <v>#DIV/0!</v>
      </c>
    </row>
    <row r="171" spans="1:22" x14ac:dyDescent="0.4">
      <c r="A171" s="61" t="s">
        <v>203</v>
      </c>
      <c r="B171" s="62" t="s">
        <v>397</v>
      </c>
      <c r="C171" s="62" t="s">
        <v>319</v>
      </c>
      <c r="D171" s="62" t="s">
        <v>434</v>
      </c>
      <c r="E171" s="63" t="s">
        <v>410</v>
      </c>
      <c r="F171" s="62" t="s">
        <v>220</v>
      </c>
      <c r="G171" s="62" t="s">
        <v>163</v>
      </c>
      <c r="H171" s="62" t="s">
        <v>9</v>
      </c>
      <c r="I171" s="62" t="s">
        <v>143</v>
      </c>
      <c r="J171" s="63" t="s">
        <v>164</v>
      </c>
      <c r="K171" s="62" t="s">
        <v>217</v>
      </c>
      <c r="L171" s="64">
        <v>30</v>
      </c>
      <c r="M171" s="64">
        <f>L171*VLOOKUP(H171,dagsoorttabel1,2,FALSE)</f>
        <v>32.25</v>
      </c>
      <c r="N171" s="65">
        <f>prodnorm14</f>
        <v>0</v>
      </c>
      <c r="O171" s="66">
        <f>dagwerk14</f>
        <v>0</v>
      </c>
      <c r="P171" s="62" t="s">
        <v>40</v>
      </c>
      <c r="Q171" s="67">
        <f>uurtarief14</f>
        <v>0</v>
      </c>
      <c r="R171" s="64" t="e">
        <f>IF(ISBLANK(N171),0,M171/ROUND(N171,4))</f>
        <v>#DIV/0!</v>
      </c>
      <c r="S171" s="64" t="e">
        <f>IF(ISBLANK(N171),0,R171*ROUND(O171,2))</f>
        <v>#DIV/0!</v>
      </c>
      <c r="T171" s="67" t="e">
        <f>ROUND(Q171,2)*R171</f>
        <v>#DIV/0!</v>
      </c>
      <c r="U171" s="64" t="e">
        <f>R171*dagenperjaar1</f>
        <v>#DIV/0!</v>
      </c>
      <c r="V171" s="68" t="e">
        <f>U171*ROUND(Q171,2)</f>
        <v>#DIV/0!</v>
      </c>
    </row>
    <row r="172" spans="1:22" x14ac:dyDescent="0.4">
      <c r="A172" s="61" t="s">
        <v>203</v>
      </c>
      <c r="B172" s="62" t="s">
        <v>397</v>
      </c>
      <c r="C172" s="62" t="s">
        <v>319</v>
      </c>
      <c r="D172" s="62" t="s">
        <v>435</v>
      </c>
      <c r="E172" s="63" t="s">
        <v>436</v>
      </c>
      <c r="F172" s="62" t="s">
        <v>212</v>
      </c>
      <c r="G172" s="62" t="s">
        <v>145</v>
      </c>
      <c r="H172" s="62" t="s">
        <v>9</v>
      </c>
      <c r="I172" s="62" t="s">
        <v>143</v>
      </c>
      <c r="J172" s="63" t="s">
        <v>146</v>
      </c>
      <c r="K172" s="62" t="s">
        <v>213</v>
      </c>
      <c r="L172" s="64">
        <v>22</v>
      </c>
      <c r="M172" s="64">
        <f>L172*VLOOKUP(H172,dagsoorttabel1,2,FALSE)</f>
        <v>23.65</v>
      </c>
      <c r="N172" s="65">
        <f>prodnorm3</f>
        <v>0</v>
      </c>
      <c r="O172" s="66">
        <f>dagwerk3</f>
        <v>0</v>
      </c>
      <c r="P172" s="62" t="s">
        <v>40</v>
      </c>
      <c r="Q172" s="67">
        <f>uurtarief3</f>
        <v>0</v>
      </c>
      <c r="R172" s="64" t="e">
        <f>IF(ISBLANK(N172),0,M172/ROUND(N172,4))</f>
        <v>#DIV/0!</v>
      </c>
      <c r="S172" s="64" t="e">
        <f>IF(ISBLANK(N172),0,R172*ROUND(O172,2))</f>
        <v>#DIV/0!</v>
      </c>
      <c r="T172" s="67" t="e">
        <f>ROUND(Q172,2)*R172</f>
        <v>#DIV/0!</v>
      </c>
      <c r="U172" s="64" t="e">
        <f>R172*dagenperjaar1</f>
        <v>#DIV/0!</v>
      </c>
      <c r="V172" s="68" t="e">
        <f>U172*ROUND(Q172,2)</f>
        <v>#DIV/0!</v>
      </c>
    </row>
    <row r="173" spans="1:22" x14ac:dyDescent="0.4">
      <c r="A173" s="61" t="s">
        <v>203</v>
      </c>
      <c r="B173" s="62" t="s">
        <v>397</v>
      </c>
      <c r="C173" s="62" t="s">
        <v>319</v>
      </c>
      <c r="D173" s="62" t="s">
        <v>437</v>
      </c>
      <c r="E173" s="63" t="s">
        <v>222</v>
      </c>
      <c r="F173" s="62" t="s">
        <v>220</v>
      </c>
      <c r="G173" s="62" t="s">
        <v>159</v>
      </c>
      <c r="H173" s="62" t="s">
        <v>9</v>
      </c>
      <c r="I173" s="62" t="s">
        <v>143</v>
      </c>
      <c r="J173" s="63" t="s">
        <v>160</v>
      </c>
      <c r="K173" s="62" t="s">
        <v>217</v>
      </c>
      <c r="L173" s="64">
        <v>52</v>
      </c>
      <c r="M173" s="64">
        <f>L173*VLOOKUP(H173,dagsoorttabel1,2,FALSE)</f>
        <v>55.9</v>
      </c>
      <c r="N173" s="65">
        <f>prodnorm11</f>
        <v>0</v>
      </c>
      <c r="O173" s="66">
        <f>dagwerk11</f>
        <v>0</v>
      </c>
      <c r="P173" s="62" t="s">
        <v>40</v>
      </c>
      <c r="Q173" s="67">
        <f>uurtarief11</f>
        <v>0</v>
      </c>
      <c r="R173" s="64" t="e">
        <f>IF(ISBLANK(N173),0,M173/ROUND(N173,4))</f>
        <v>#DIV/0!</v>
      </c>
      <c r="S173" s="64" t="e">
        <f>IF(ISBLANK(N173),0,R173*ROUND(O173,2))</f>
        <v>#DIV/0!</v>
      </c>
      <c r="T173" s="67" t="e">
        <f>ROUND(Q173,2)*R173</f>
        <v>#DIV/0!</v>
      </c>
      <c r="U173" s="64" t="e">
        <f>R173*dagenperjaar1</f>
        <v>#DIV/0!</v>
      </c>
      <c r="V173" s="68" t="e">
        <f>U173*ROUND(Q173,2)</f>
        <v>#DIV/0!</v>
      </c>
    </row>
    <row r="174" spans="1:22" x14ac:dyDescent="0.4">
      <c r="A174" s="61" t="s">
        <v>203</v>
      </c>
      <c r="B174" s="62" t="s">
        <v>397</v>
      </c>
      <c r="C174" s="62" t="s">
        <v>319</v>
      </c>
      <c r="D174" s="62" t="s">
        <v>438</v>
      </c>
      <c r="E174" s="63" t="s">
        <v>222</v>
      </c>
      <c r="F174" s="62" t="s">
        <v>220</v>
      </c>
      <c r="G174" s="62" t="s">
        <v>159</v>
      </c>
      <c r="H174" s="62" t="s">
        <v>9</v>
      </c>
      <c r="I174" s="62" t="s">
        <v>143</v>
      </c>
      <c r="J174" s="63" t="s">
        <v>160</v>
      </c>
      <c r="K174" s="62" t="s">
        <v>217</v>
      </c>
      <c r="L174" s="64">
        <v>52</v>
      </c>
      <c r="M174" s="64">
        <f>L174*VLOOKUP(H174,dagsoorttabel1,2,FALSE)</f>
        <v>55.9</v>
      </c>
      <c r="N174" s="65">
        <f>prodnorm11</f>
        <v>0</v>
      </c>
      <c r="O174" s="66">
        <f>dagwerk11</f>
        <v>0</v>
      </c>
      <c r="P174" s="62" t="s">
        <v>40</v>
      </c>
      <c r="Q174" s="67">
        <f>uurtarief11</f>
        <v>0</v>
      </c>
      <c r="R174" s="64" t="e">
        <f>IF(ISBLANK(N174),0,M174/ROUND(N174,4))</f>
        <v>#DIV/0!</v>
      </c>
      <c r="S174" s="64" t="e">
        <f>IF(ISBLANK(N174),0,R174*ROUND(O174,2))</f>
        <v>#DIV/0!</v>
      </c>
      <c r="T174" s="67" t="e">
        <f>ROUND(Q174,2)*R174</f>
        <v>#DIV/0!</v>
      </c>
      <c r="U174" s="64" t="e">
        <f>R174*dagenperjaar1</f>
        <v>#DIV/0!</v>
      </c>
      <c r="V174" s="68" t="e">
        <f>U174*ROUND(Q174,2)</f>
        <v>#DIV/0!</v>
      </c>
    </row>
    <row r="175" spans="1:22" x14ac:dyDescent="0.4">
      <c r="A175" s="61" t="s">
        <v>203</v>
      </c>
      <c r="B175" s="62" t="s">
        <v>397</v>
      </c>
      <c r="C175" s="62" t="s">
        <v>319</v>
      </c>
      <c r="D175" s="62" t="s">
        <v>439</v>
      </c>
      <c r="E175" s="63" t="s">
        <v>222</v>
      </c>
      <c r="F175" s="62" t="s">
        <v>220</v>
      </c>
      <c r="G175" s="62" t="s">
        <v>159</v>
      </c>
      <c r="H175" s="62" t="s">
        <v>9</v>
      </c>
      <c r="I175" s="62" t="s">
        <v>143</v>
      </c>
      <c r="J175" s="63" t="s">
        <v>160</v>
      </c>
      <c r="K175" s="62" t="s">
        <v>217</v>
      </c>
      <c r="L175" s="64">
        <v>52</v>
      </c>
      <c r="M175" s="64">
        <f>L175*VLOOKUP(H175,dagsoorttabel1,2,FALSE)</f>
        <v>55.9</v>
      </c>
      <c r="N175" s="65">
        <f>prodnorm11</f>
        <v>0</v>
      </c>
      <c r="O175" s="66">
        <f>dagwerk11</f>
        <v>0</v>
      </c>
      <c r="P175" s="62" t="s">
        <v>40</v>
      </c>
      <c r="Q175" s="67">
        <f>uurtarief11</f>
        <v>0</v>
      </c>
      <c r="R175" s="64" t="e">
        <f>IF(ISBLANK(N175),0,M175/ROUND(N175,4))</f>
        <v>#DIV/0!</v>
      </c>
      <c r="S175" s="64" t="e">
        <f>IF(ISBLANK(N175),0,R175*ROUND(O175,2))</f>
        <v>#DIV/0!</v>
      </c>
      <c r="T175" s="67" t="e">
        <f>ROUND(Q175,2)*R175</f>
        <v>#DIV/0!</v>
      </c>
      <c r="U175" s="64" t="e">
        <f>R175*dagenperjaar1</f>
        <v>#DIV/0!</v>
      </c>
      <c r="V175" s="68" t="e">
        <f>U175*ROUND(Q175,2)</f>
        <v>#DIV/0!</v>
      </c>
    </row>
    <row r="176" spans="1:22" x14ac:dyDescent="0.4">
      <c r="A176" s="61" t="s">
        <v>203</v>
      </c>
      <c r="B176" s="62" t="s">
        <v>397</v>
      </c>
      <c r="C176" s="62" t="s">
        <v>319</v>
      </c>
      <c r="D176" s="62" t="s">
        <v>440</v>
      </c>
      <c r="E176" s="63" t="s">
        <v>222</v>
      </c>
      <c r="F176" s="62" t="s">
        <v>220</v>
      </c>
      <c r="G176" s="62" t="s">
        <v>159</v>
      </c>
      <c r="H176" s="62" t="s">
        <v>9</v>
      </c>
      <c r="I176" s="62" t="s">
        <v>143</v>
      </c>
      <c r="J176" s="63" t="s">
        <v>160</v>
      </c>
      <c r="K176" s="62" t="s">
        <v>217</v>
      </c>
      <c r="L176" s="64">
        <v>52</v>
      </c>
      <c r="M176" s="64">
        <f>L176*VLOOKUP(H176,dagsoorttabel1,2,FALSE)</f>
        <v>55.9</v>
      </c>
      <c r="N176" s="65">
        <f>prodnorm11</f>
        <v>0</v>
      </c>
      <c r="O176" s="66">
        <f>dagwerk11</f>
        <v>0</v>
      </c>
      <c r="P176" s="62" t="s">
        <v>40</v>
      </c>
      <c r="Q176" s="67">
        <f>uurtarief11</f>
        <v>0</v>
      </c>
      <c r="R176" s="64" t="e">
        <f>IF(ISBLANK(N176),0,M176/ROUND(N176,4))</f>
        <v>#DIV/0!</v>
      </c>
      <c r="S176" s="64" t="e">
        <f>IF(ISBLANK(N176),0,R176*ROUND(O176,2))</f>
        <v>#DIV/0!</v>
      </c>
      <c r="T176" s="67" t="e">
        <f>ROUND(Q176,2)*R176</f>
        <v>#DIV/0!</v>
      </c>
      <c r="U176" s="64" t="e">
        <f>R176*dagenperjaar1</f>
        <v>#DIV/0!</v>
      </c>
      <c r="V176" s="68" t="e">
        <f>U176*ROUND(Q176,2)</f>
        <v>#DIV/0!</v>
      </c>
    </row>
    <row r="177" spans="1:22" x14ac:dyDescent="0.4">
      <c r="A177" s="61" t="s">
        <v>203</v>
      </c>
      <c r="B177" s="62" t="s">
        <v>397</v>
      </c>
      <c r="C177" s="62" t="s">
        <v>319</v>
      </c>
      <c r="D177" s="62" t="s">
        <v>441</v>
      </c>
      <c r="E177" s="63" t="s">
        <v>222</v>
      </c>
      <c r="F177" s="62" t="s">
        <v>220</v>
      </c>
      <c r="G177" s="62" t="s">
        <v>159</v>
      </c>
      <c r="H177" s="62" t="s">
        <v>9</v>
      </c>
      <c r="I177" s="62" t="s">
        <v>143</v>
      </c>
      <c r="J177" s="63" t="s">
        <v>160</v>
      </c>
      <c r="K177" s="62" t="s">
        <v>217</v>
      </c>
      <c r="L177" s="64">
        <v>52</v>
      </c>
      <c r="M177" s="64">
        <f>L177*VLOOKUP(H177,dagsoorttabel1,2,FALSE)</f>
        <v>55.9</v>
      </c>
      <c r="N177" s="65">
        <f>prodnorm11</f>
        <v>0</v>
      </c>
      <c r="O177" s="66">
        <f>dagwerk11</f>
        <v>0</v>
      </c>
      <c r="P177" s="62" t="s">
        <v>40</v>
      </c>
      <c r="Q177" s="67">
        <f>uurtarief11</f>
        <v>0</v>
      </c>
      <c r="R177" s="64" t="e">
        <f>IF(ISBLANK(N177),0,M177/ROUND(N177,4))</f>
        <v>#DIV/0!</v>
      </c>
      <c r="S177" s="64" t="e">
        <f>IF(ISBLANK(N177),0,R177*ROUND(O177,2))</f>
        <v>#DIV/0!</v>
      </c>
      <c r="T177" s="67" t="e">
        <f>ROUND(Q177,2)*R177</f>
        <v>#DIV/0!</v>
      </c>
      <c r="U177" s="64" t="e">
        <f>R177*dagenperjaar1</f>
        <v>#DIV/0!</v>
      </c>
      <c r="V177" s="68" t="e">
        <f>U177*ROUND(Q177,2)</f>
        <v>#DIV/0!</v>
      </c>
    </row>
    <row r="178" spans="1:22" x14ac:dyDescent="0.4">
      <c r="A178" s="61" t="s">
        <v>203</v>
      </c>
      <c r="B178" s="62" t="s">
        <v>397</v>
      </c>
      <c r="C178" s="62" t="s">
        <v>319</v>
      </c>
      <c r="D178" s="62" t="s">
        <v>442</v>
      </c>
      <c r="E178" s="63" t="s">
        <v>222</v>
      </c>
      <c r="F178" s="62" t="s">
        <v>220</v>
      </c>
      <c r="G178" s="62" t="s">
        <v>159</v>
      </c>
      <c r="H178" s="62" t="s">
        <v>9</v>
      </c>
      <c r="I178" s="62" t="s">
        <v>143</v>
      </c>
      <c r="J178" s="63" t="s">
        <v>160</v>
      </c>
      <c r="K178" s="62" t="s">
        <v>217</v>
      </c>
      <c r="L178" s="64">
        <v>52</v>
      </c>
      <c r="M178" s="64">
        <f>L178*VLOOKUP(H178,dagsoorttabel1,2,FALSE)</f>
        <v>55.9</v>
      </c>
      <c r="N178" s="65">
        <f>prodnorm11</f>
        <v>0</v>
      </c>
      <c r="O178" s="66">
        <f>dagwerk11</f>
        <v>0</v>
      </c>
      <c r="P178" s="62" t="s">
        <v>40</v>
      </c>
      <c r="Q178" s="67">
        <f>uurtarief11</f>
        <v>0</v>
      </c>
      <c r="R178" s="64" t="e">
        <f>IF(ISBLANK(N178),0,M178/ROUND(N178,4))</f>
        <v>#DIV/0!</v>
      </c>
      <c r="S178" s="64" t="e">
        <f>IF(ISBLANK(N178),0,R178*ROUND(O178,2))</f>
        <v>#DIV/0!</v>
      </c>
      <c r="T178" s="67" t="e">
        <f>ROUND(Q178,2)*R178</f>
        <v>#DIV/0!</v>
      </c>
      <c r="U178" s="64" t="e">
        <f>R178*dagenperjaar1</f>
        <v>#DIV/0!</v>
      </c>
      <c r="V178" s="68" t="e">
        <f>U178*ROUND(Q178,2)</f>
        <v>#DIV/0!</v>
      </c>
    </row>
    <row r="179" spans="1:22" x14ac:dyDescent="0.4">
      <c r="A179" s="61" t="s">
        <v>203</v>
      </c>
      <c r="B179" s="62" t="s">
        <v>397</v>
      </c>
      <c r="C179" s="62" t="s">
        <v>319</v>
      </c>
      <c r="D179" s="62" t="s">
        <v>443</v>
      </c>
      <c r="E179" s="63" t="s">
        <v>211</v>
      </c>
      <c r="F179" s="62" t="s">
        <v>212</v>
      </c>
      <c r="G179" s="62" t="s">
        <v>145</v>
      </c>
      <c r="H179" s="62" t="s">
        <v>14</v>
      </c>
      <c r="I179" s="62" t="s">
        <v>143</v>
      </c>
      <c r="J179" s="63" t="s">
        <v>146</v>
      </c>
      <c r="K179" s="62" t="s">
        <v>213</v>
      </c>
      <c r="L179" s="64">
        <v>19</v>
      </c>
      <c r="M179" s="64">
        <f>L179*VLOOKUP(H179,dagsoorttabel1,2,FALSE)</f>
        <v>8.17</v>
      </c>
      <c r="N179" s="65">
        <f>prodnorm4</f>
        <v>0</v>
      </c>
      <c r="O179" s="66">
        <f>dagwerk4</f>
        <v>0</v>
      </c>
      <c r="P179" s="62" t="s">
        <v>40</v>
      </c>
      <c r="Q179" s="67">
        <f>uurtarief4</f>
        <v>0</v>
      </c>
      <c r="R179" s="64" t="e">
        <f>IF(ISBLANK(N179),0,M179/ROUND(N179,4))</f>
        <v>#DIV/0!</v>
      </c>
      <c r="S179" s="64" t="e">
        <f>IF(ISBLANK(N179),0,R179*ROUND(O179,2))</f>
        <v>#DIV/0!</v>
      </c>
      <c r="T179" s="67" t="e">
        <f>ROUND(Q179,2)*R179</f>
        <v>#DIV/0!</v>
      </c>
      <c r="U179" s="64" t="e">
        <f>R179*dagenperjaar1</f>
        <v>#DIV/0!</v>
      </c>
      <c r="V179" s="68" t="e">
        <f>U179*ROUND(Q179,2)</f>
        <v>#DIV/0!</v>
      </c>
    </row>
    <row r="180" spans="1:22" x14ac:dyDescent="0.4">
      <c r="A180" s="61" t="s">
        <v>203</v>
      </c>
      <c r="B180" s="62" t="s">
        <v>397</v>
      </c>
      <c r="C180" s="62" t="s">
        <v>319</v>
      </c>
      <c r="D180" s="62" t="s">
        <v>444</v>
      </c>
      <c r="E180" s="63" t="s">
        <v>304</v>
      </c>
      <c r="F180" s="62" t="s">
        <v>404</v>
      </c>
      <c r="G180" s="62" t="s">
        <v>187</v>
      </c>
      <c r="H180" s="62" t="s">
        <v>9</v>
      </c>
      <c r="I180" s="62" t="s">
        <v>143</v>
      </c>
      <c r="J180" s="63" t="s">
        <v>188</v>
      </c>
      <c r="K180" s="62" t="s">
        <v>244</v>
      </c>
      <c r="L180" s="64">
        <v>7</v>
      </c>
      <c r="M180" s="64">
        <f>L180*VLOOKUP(H180,dagsoorttabel1,2,FALSE)</f>
        <v>7.5249999999999995</v>
      </c>
      <c r="N180" s="65">
        <f>prodnorm30</f>
        <v>0</v>
      </c>
      <c r="O180" s="66">
        <f>dagwerk30</f>
        <v>0</v>
      </c>
      <c r="P180" s="62" t="s">
        <v>40</v>
      </c>
      <c r="Q180" s="67">
        <f>uurtarief30</f>
        <v>0</v>
      </c>
      <c r="R180" s="64" t="e">
        <f>IF(ISBLANK(N180),0,M180/ROUND(N180,4))</f>
        <v>#DIV/0!</v>
      </c>
      <c r="S180" s="64" t="e">
        <f>IF(ISBLANK(N180),0,R180*ROUND(O180,2))</f>
        <v>#DIV/0!</v>
      </c>
      <c r="T180" s="67" t="e">
        <f>ROUND(Q180,2)*R180</f>
        <v>#DIV/0!</v>
      </c>
      <c r="U180" s="64" t="e">
        <f>R180*dagenperjaar1</f>
        <v>#DIV/0!</v>
      </c>
      <c r="V180" s="68" t="e">
        <f>U180*ROUND(Q180,2)</f>
        <v>#DIV/0!</v>
      </c>
    </row>
    <row r="181" spans="1:22" x14ac:dyDescent="0.4">
      <c r="A181" s="61" t="s">
        <v>203</v>
      </c>
      <c r="B181" s="62" t="s">
        <v>445</v>
      </c>
      <c r="C181" s="62" t="s">
        <v>205</v>
      </c>
      <c r="D181" s="62" t="s">
        <v>446</v>
      </c>
      <c r="E181" s="63" t="s">
        <v>447</v>
      </c>
      <c r="F181" s="62" t="s">
        <v>280</v>
      </c>
      <c r="G181" s="62" t="s">
        <v>147</v>
      </c>
      <c r="H181" s="62" t="s">
        <v>9</v>
      </c>
      <c r="I181" s="62" t="s">
        <v>143</v>
      </c>
      <c r="J181" s="63" t="s">
        <v>148</v>
      </c>
      <c r="K181" s="62" t="s">
        <v>244</v>
      </c>
      <c r="L181" s="64">
        <v>110</v>
      </c>
      <c r="M181" s="64">
        <f>L181*VLOOKUP(H181,dagsoorttabel1,2,FALSE)</f>
        <v>118.25</v>
      </c>
      <c r="N181" s="65">
        <f>prodnorm5</f>
        <v>0</v>
      </c>
      <c r="O181" s="66">
        <f>dagwerk5</f>
        <v>0</v>
      </c>
      <c r="P181" s="62" t="s">
        <v>40</v>
      </c>
      <c r="Q181" s="67">
        <f>uurtarief5</f>
        <v>0</v>
      </c>
      <c r="R181" s="64" t="e">
        <f>IF(ISBLANK(N181),0,M181/ROUND(N181,4))</f>
        <v>#DIV/0!</v>
      </c>
      <c r="S181" s="64" t="e">
        <f>IF(ISBLANK(N181),0,R181*ROUND(O181,2))</f>
        <v>#DIV/0!</v>
      </c>
      <c r="T181" s="67" t="e">
        <f>ROUND(Q181,2)*R181</f>
        <v>#DIV/0!</v>
      </c>
      <c r="U181" s="64" t="e">
        <f>R181*dagenperjaar1</f>
        <v>#DIV/0!</v>
      </c>
      <c r="V181" s="68" t="e">
        <f>U181*ROUND(Q181,2)</f>
        <v>#DIV/0!</v>
      </c>
    </row>
    <row r="182" spans="1:22" x14ac:dyDescent="0.4">
      <c r="A182" s="61" t="s">
        <v>203</v>
      </c>
      <c r="B182" s="62" t="s">
        <v>448</v>
      </c>
      <c r="C182" s="62" t="s">
        <v>205</v>
      </c>
      <c r="D182" s="62" t="s">
        <v>449</v>
      </c>
      <c r="E182" s="63" t="s">
        <v>450</v>
      </c>
      <c r="F182" s="62" t="s">
        <v>208</v>
      </c>
      <c r="G182" s="62" t="s">
        <v>165</v>
      </c>
      <c r="H182" s="62" t="s">
        <v>19</v>
      </c>
      <c r="I182" s="62" t="s">
        <v>143</v>
      </c>
      <c r="J182" s="63" t="s">
        <v>166</v>
      </c>
      <c r="K182" s="62" t="s">
        <v>244</v>
      </c>
      <c r="L182" s="64">
        <v>37</v>
      </c>
      <c r="M182" s="64">
        <f>L182*VLOOKUP(H182,dagsoorttabel1,2,FALSE)</f>
        <v>2.2199999999999998</v>
      </c>
      <c r="N182" s="65">
        <f>prodnorm15</f>
        <v>0</v>
      </c>
      <c r="O182" s="66">
        <f>dagwerk15</f>
        <v>0</v>
      </c>
      <c r="P182" s="62" t="s">
        <v>40</v>
      </c>
      <c r="Q182" s="67">
        <f>uurtarief15</f>
        <v>0</v>
      </c>
      <c r="R182" s="64" t="e">
        <f>IF(ISBLANK(N182),0,M182/ROUND(N182,4))</f>
        <v>#DIV/0!</v>
      </c>
      <c r="S182" s="64" t="e">
        <f>IF(ISBLANK(N182),0,R182*ROUND(O182,2))</f>
        <v>#DIV/0!</v>
      </c>
      <c r="T182" s="67" t="e">
        <f>ROUND(Q182,2)*R182</f>
        <v>#DIV/0!</v>
      </c>
      <c r="U182" s="64" t="e">
        <f>R182*dagenperjaar1</f>
        <v>#DIV/0!</v>
      </c>
      <c r="V182" s="68" t="e">
        <f>U182*ROUND(Q182,2)</f>
        <v>#DIV/0!</v>
      </c>
    </row>
    <row r="183" spans="1:22" x14ac:dyDescent="0.4">
      <c r="A183" s="61" t="s">
        <v>203</v>
      </c>
      <c r="B183" s="62" t="s">
        <v>448</v>
      </c>
      <c r="C183" s="62" t="s">
        <v>205</v>
      </c>
      <c r="D183" s="62" t="s">
        <v>451</v>
      </c>
      <c r="E183" s="63" t="s">
        <v>267</v>
      </c>
      <c r="F183" s="62" t="s">
        <v>268</v>
      </c>
      <c r="G183" s="62" t="s">
        <v>181</v>
      </c>
      <c r="H183" s="62" t="s">
        <v>9</v>
      </c>
      <c r="I183" s="62" t="s">
        <v>143</v>
      </c>
      <c r="J183" s="63" t="s">
        <v>182</v>
      </c>
      <c r="K183" s="62" t="s">
        <v>244</v>
      </c>
      <c r="L183" s="64">
        <v>8</v>
      </c>
      <c r="M183" s="64">
        <f>L183*VLOOKUP(H183,dagsoorttabel1,2,FALSE)</f>
        <v>8.6</v>
      </c>
      <c r="N183" s="65">
        <f>prodnorm26</f>
        <v>0</v>
      </c>
      <c r="O183" s="66">
        <f>dagwerk26</f>
        <v>0</v>
      </c>
      <c r="P183" s="62" t="s">
        <v>40</v>
      </c>
      <c r="Q183" s="67">
        <f>uurtarief26</f>
        <v>0</v>
      </c>
      <c r="R183" s="64" t="e">
        <f>IF(ISBLANK(N183),0,M183/ROUND(N183,4))</f>
        <v>#DIV/0!</v>
      </c>
      <c r="S183" s="64" t="e">
        <f>IF(ISBLANK(N183),0,R183*ROUND(O183,2))</f>
        <v>#DIV/0!</v>
      </c>
      <c r="T183" s="67" t="e">
        <f>ROUND(Q183,2)*R183</f>
        <v>#DIV/0!</v>
      </c>
      <c r="U183" s="64" t="e">
        <f>R183*dagenperjaar1</f>
        <v>#DIV/0!</v>
      </c>
      <c r="V183" s="68" t="e">
        <f>U183*ROUND(Q183,2)</f>
        <v>#DIV/0!</v>
      </c>
    </row>
    <row r="184" spans="1:22" x14ac:dyDescent="0.4">
      <c r="A184" s="61" t="s">
        <v>203</v>
      </c>
      <c r="B184" s="62" t="s">
        <v>448</v>
      </c>
      <c r="C184" s="62" t="s">
        <v>205</v>
      </c>
      <c r="D184" s="62" t="s">
        <v>452</v>
      </c>
      <c r="E184" s="63" t="s">
        <v>453</v>
      </c>
      <c r="F184" s="62" t="s">
        <v>223</v>
      </c>
      <c r="G184" s="62" t="s">
        <v>163</v>
      </c>
      <c r="H184" s="62" t="s">
        <v>9</v>
      </c>
      <c r="I184" s="62" t="s">
        <v>143</v>
      </c>
      <c r="J184" s="63" t="s">
        <v>164</v>
      </c>
      <c r="K184" s="62" t="s">
        <v>217</v>
      </c>
      <c r="L184" s="64">
        <v>285</v>
      </c>
      <c r="M184" s="64">
        <f>L184*VLOOKUP(H184,dagsoorttabel1,2,FALSE)</f>
        <v>306.375</v>
      </c>
      <c r="N184" s="65">
        <f>prodnorm14</f>
        <v>0</v>
      </c>
      <c r="O184" s="66">
        <f>dagwerk14</f>
        <v>0</v>
      </c>
      <c r="P184" s="62" t="s">
        <v>40</v>
      </c>
      <c r="Q184" s="67">
        <f>uurtarief14</f>
        <v>0</v>
      </c>
      <c r="R184" s="64" t="e">
        <f>IF(ISBLANK(N184),0,M184/ROUND(N184,4))</f>
        <v>#DIV/0!</v>
      </c>
      <c r="S184" s="64" t="e">
        <f>IF(ISBLANK(N184),0,R184*ROUND(O184,2))</f>
        <v>#DIV/0!</v>
      </c>
      <c r="T184" s="67" t="e">
        <f>ROUND(Q184,2)*R184</f>
        <v>#DIV/0!</v>
      </c>
      <c r="U184" s="64" t="e">
        <f>R184*dagenperjaar1</f>
        <v>#DIV/0!</v>
      </c>
      <c r="V184" s="68" t="e">
        <f>U184*ROUND(Q184,2)</f>
        <v>#DIV/0!</v>
      </c>
    </row>
    <row r="185" spans="1:22" x14ac:dyDescent="0.4">
      <c r="A185" s="61" t="s">
        <v>203</v>
      </c>
      <c r="B185" s="62" t="s">
        <v>448</v>
      </c>
      <c r="C185" s="62" t="s">
        <v>205</v>
      </c>
      <c r="D185" s="62" t="s">
        <v>320</v>
      </c>
      <c r="E185" s="63" t="s">
        <v>320</v>
      </c>
      <c r="F185" s="62" t="s">
        <v>208</v>
      </c>
      <c r="G185" s="62" t="s">
        <v>177</v>
      </c>
      <c r="H185" s="62" t="s">
        <v>9</v>
      </c>
      <c r="I185" s="62" t="s">
        <v>143</v>
      </c>
      <c r="J185" s="63" t="s">
        <v>178</v>
      </c>
      <c r="K185" s="62" t="s">
        <v>209</v>
      </c>
      <c r="L185" s="64">
        <v>1</v>
      </c>
      <c r="M185" s="64">
        <f>L185*VLOOKUP(H185,dagsoorttabel1,2,FALSE)</f>
        <v>1.075</v>
      </c>
      <c r="N185" s="65">
        <f>prodnorm23</f>
        <v>0</v>
      </c>
      <c r="O185" s="66">
        <f>dagwerk23</f>
        <v>0</v>
      </c>
      <c r="P185" s="62" t="s">
        <v>40</v>
      </c>
      <c r="Q185" s="67">
        <f>uurtarief23</f>
        <v>0</v>
      </c>
      <c r="R185" s="64" t="e">
        <f>IF(ISBLANK(N185),0,M185/ROUND(N185,4))</f>
        <v>#DIV/0!</v>
      </c>
      <c r="S185" s="64" t="e">
        <f>IF(ISBLANK(N185),0,R185*ROUND(O185,2))</f>
        <v>#DIV/0!</v>
      </c>
      <c r="T185" s="67" t="e">
        <f>ROUND(Q185,2)*R185</f>
        <v>#DIV/0!</v>
      </c>
      <c r="U185" s="64" t="e">
        <f>R185*dagenperjaar1</f>
        <v>#DIV/0!</v>
      </c>
      <c r="V185" s="68" t="e">
        <f>U185*ROUND(Q185,2)</f>
        <v>#DIV/0!</v>
      </c>
    </row>
    <row r="186" spans="1:22" x14ac:dyDescent="0.4">
      <c r="A186" s="61" t="s">
        <v>203</v>
      </c>
      <c r="B186" s="62" t="s">
        <v>448</v>
      </c>
      <c r="C186" s="62" t="s">
        <v>205</v>
      </c>
      <c r="D186" s="62" t="s">
        <v>320</v>
      </c>
      <c r="E186" s="63" t="s">
        <v>320</v>
      </c>
      <c r="F186" s="62" t="s">
        <v>208</v>
      </c>
      <c r="G186" s="62" t="s">
        <v>177</v>
      </c>
      <c r="H186" s="62" t="s">
        <v>9</v>
      </c>
      <c r="I186" s="62" t="s">
        <v>143</v>
      </c>
      <c r="J186" s="63" t="s">
        <v>178</v>
      </c>
      <c r="K186" s="62" t="s">
        <v>209</v>
      </c>
      <c r="L186" s="64">
        <v>1</v>
      </c>
      <c r="M186" s="64">
        <f>L186*VLOOKUP(H186,dagsoorttabel1,2,FALSE)</f>
        <v>1.075</v>
      </c>
      <c r="N186" s="65">
        <f>prodnorm23</f>
        <v>0</v>
      </c>
      <c r="O186" s="66">
        <f>dagwerk23</f>
        <v>0</v>
      </c>
      <c r="P186" s="62" t="s">
        <v>40</v>
      </c>
      <c r="Q186" s="67">
        <f>uurtarief23</f>
        <v>0</v>
      </c>
      <c r="R186" s="64" t="e">
        <f>IF(ISBLANK(N186),0,M186/ROUND(N186,4))</f>
        <v>#DIV/0!</v>
      </c>
      <c r="S186" s="64" t="e">
        <f>IF(ISBLANK(N186),0,R186*ROUND(O186,2))</f>
        <v>#DIV/0!</v>
      </c>
      <c r="T186" s="67" t="e">
        <f>ROUND(Q186,2)*R186</f>
        <v>#DIV/0!</v>
      </c>
      <c r="U186" s="64" t="e">
        <f>R186*dagenperjaar1</f>
        <v>#DIV/0!</v>
      </c>
      <c r="V186" s="68" t="e">
        <f>U186*ROUND(Q186,2)</f>
        <v>#DIV/0!</v>
      </c>
    </row>
    <row r="187" spans="1:22" x14ac:dyDescent="0.4">
      <c r="A187" s="61" t="s">
        <v>203</v>
      </c>
      <c r="B187" s="62" t="s">
        <v>448</v>
      </c>
      <c r="C187" s="62" t="s">
        <v>319</v>
      </c>
      <c r="D187" s="62" t="s">
        <v>454</v>
      </c>
      <c r="E187" s="63" t="s">
        <v>455</v>
      </c>
      <c r="F187" s="62" t="s">
        <v>223</v>
      </c>
      <c r="G187" s="62" t="s">
        <v>163</v>
      </c>
      <c r="H187" s="62" t="s">
        <v>9</v>
      </c>
      <c r="I187" s="62" t="s">
        <v>143</v>
      </c>
      <c r="J187" s="63" t="s">
        <v>164</v>
      </c>
      <c r="K187" s="62" t="s">
        <v>217</v>
      </c>
      <c r="L187" s="64">
        <v>130</v>
      </c>
      <c r="M187" s="64">
        <f>L187*VLOOKUP(H187,dagsoorttabel1,2,FALSE)</f>
        <v>139.75</v>
      </c>
      <c r="N187" s="65">
        <f>prodnorm14</f>
        <v>0</v>
      </c>
      <c r="O187" s="66">
        <f>dagwerk14</f>
        <v>0</v>
      </c>
      <c r="P187" s="62" t="s">
        <v>40</v>
      </c>
      <c r="Q187" s="67">
        <f>uurtarief14</f>
        <v>0</v>
      </c>
      <c r="R187" s="64" t="e">
        <f>IF(ISBLANK(N187),0,M187/ROUND(N187,4))</f>
        <v>#DIV/0!</v>
      </c>
      <c r="S187" s="64" t="e">
        <f>IF(ISBLANK(N187),0,R187*ROUND(O187,2))</f>
        <v>#DIV/0!</v>
      </c>
      <c r="T187" s="67" t="e">
        <f>ROUND(Q187,2)*R187</f>
        <v>#DIV/0!</v>
      </c>
      <c r="U187" s="64" t="e">
        <f>R187*dagenperjaar1</f>
        <v>#DIV/0!</v>
      </c>
      <c r="V187" s="68" t="e">
        <f>U187*ROUND(Q187,2)</f>
        <v>#DIV/0!</v>
      </c>
    </row>
    <row r="188" spans="1:22" x14ac:dyDescent="0.4">
      <c r="A188" s="61" t="s">
        <v>203</v>
      </c>
      <c r="B188" s="62" t="s">
        <v>456</v>
      </c>
      <c r="C188" s="62" t="s">
        <v>205</v>
      </c>
      <c r="D188" s="62" t="s">
        <v>457</v>
      </c>
      <c r="E188" s="63" t="s">
        <v>458</v>
      </c>
      <c r="F188" s="62" t="s">
        <v>256</v>
      </c>
      <c r="G188" s="62" t="s">
        <v>165</v>
      </c>
      <c r="H188" s="62" t="s">
        <v>19</v>
      </c>
      <c r="I188" s="62" t="s">
        <v>143</v>
      </c>
      <c r="J188" s="63" t="s">
        <v>166</v>
      </c>
      <c r="K188" s="62" t="s">
        <v>244</v>
      </c>
      <c r="L188" s="64">
        <v>76</v>
      </c>
      <c r="M188" s="64">
        <f>L188*VLOOKUP(H188,dagsoorttabel1,2,FALSE)</f>
        <v>4.5599999999999996</v>
      </c>
      <c r="N188" s="65">
        <f>prodnorm15</f>
        <v>0</v>
      </c>
      <c r="O188" s="66">
        <f>dagwerk15</f>
        <v>0</v>
      </c>
      <c r="P188" s="62" t="s">
        <v>40</v>
      </c>
      <c r="Q188" s="67">
        <f>uurtarief15</f>
        <v>0</v>
      </c>
      <c r="R188" s="64" t="e">
        <f>IF(ISBLANK(N188),0,M188/ROUND(N188,4))</f>
        <v>#DIV/0!</v>
      </c>
      <c r="S188" s="64" t="e">
        <f>IF(ISBLANK(N188),0,R188*ROUND(O188,2))</f>
        <v>#DIV/0!</v>
      </c>
      <c r="T188" s="67" t="e">
        <f>ROUND(Q188,2)*R188</f>
        <v>#DIV/0!</v>
      </c>
      <c r="U188" s="64" t="e">
        <f>R188*dagenperjaar1</f>
        <v>#DIV/0!</v>
      </c>
      <c r="V188" s="68" t="e">
        <f>U188*ROUND(Q188,2)</f>
        <v>#DIV/0!</v>
      </c>
    </row>
    <row r="189" spans="1:22" x14ac:dyDescent="0.4">
      <c r="A189" s="61" t="s">
        <v>203</v>
      </c>
      <c r="B189" s="62" t="s">
        <v>456</v>
      </c>
      <c r="C189" s="62" t="s">
        <v>205</v>
      </c>
      <c r="D189" s="62" t="s">
        <v>459</v>
      </c>
      <c r="E189" s="63" t="s">
        <v>436</v>
      </c>
      <c r="F189" s="62" t="s">
        <v>208</v>
      </c>
      <c r="G189" s="62" t="s">
        <v>142</v>
      </c>
      <c r="H189" s="62" t="s">
        <v>9</v>
      </c>
      <c r="I189" s="62" t="s">
        <v>143</v>
      </c>
      <c r="J189" s="63" t="s">
        <v>144</v>
      </c>
      <c r="K189" s="62" t="s">
        <v>213</v>
      </c>
      <c r="L189" s="64">
        <v>15</v>
      </c>
      <c r="M189" s="64">
        <f>L189*VLOOKUP(H189,dagsoorttabel1,2,FALSE)</f>
        <v>16.125</v>
      </c>
      <c r="N189" s="65">
        <f>prodnorm1</f>
        <v>0</v>
      </c>
      <c r="O189" s="66">
        <f>dagwerk1</f>
        <v>0</v>
      </c>
      <c r="P189" s="62" t="s">
        <v>40</v>
      </c>
      <c r="Q189" s="67">
        <f>uurtarief1</f>
        <v>0</v>
      </c>
      <c r="R189" s="64" t="e">
        <f>IF(ISBLANK(N189),0,M189/ROUND(N189,4))</f>
        <v>#DIV/0!</v>
      </c>
      <c r="S189" s="64" t="e">
        <f>IF(ISBLANK(N189),0,R189*ROUND(O189,2))</f>
        <v>#DIV/0!</v>
      </c>
      <c r="T189" s="67" t="e">
        <f>ROUND(Q189,2)*R189</f>
        <v>#DIV/0!</v>
      </c>
      <c r="U189" s="64" t="e">
        <f>R189*dagenperjaar1</f>
        <v>#DIV/0!</v>
      </c>
      <c r="V189" s="68" t="e">
        <f>U189*ROUND(Q189,2)</f>
        <v>#DIV/0!</v>
      </c>
    </row>
    <row r="190" spans="1:22" x14ac:dyDescent="0.4">
      <c r="A190" s="61" t="s">
        <v>203</v>
      </c>
      <c r="B190" s="62" t="s">
        <v>456</v>
      </c>
      <c r="C190" s="62" t="s">
        <v>205</v>
      </c>
      <c r="D190" s="62" t="s">
        <v>460</v>
      </c>
      <c r="E190" s="63" t="s">
        <v>461</v>
      </c>
      <c r="F190" s="62" t="s">
        <v>208</v>
      </c>
      <c r="G190" s="62" t="s">
        <v>175</v>
      </c>
      <c r="H190" s="62" t="s">
        <v>9</v>
      </c>
      <c r="I190" s="62" t="s">
        <v>143</v>
      </c>
      <c r="J190" s="63" t="s">
        <v>176</v>
      </c>
      <c r="K190" s="62" t="s">
        <v>209</v>
      </c>
      <c r="L190" s="64">
        <v>5</v>
      </c>
      <c r="M190" s="64">
        <f>L190*VLOOKUP(H190,dagsoorttabel1,2,FALSE)</f>
        <v>5.375</v>
      </c>
      <c r="N190" s="65">
        <f>prodnorm22</f>
        <v>0</v>
      </c>
      <c r="O190" s="66">
        <f>dagwerk22</f>
        <v>0</v>
      </c>
      <c r="P190" s="62" t="s">
        <v>40</v>
      </c>
      <c r="Q190" s="67">
        <f>uurtarief22</f>
        <v>0</v>
      </c>
      <c r="R190" s="64" t="e">
        <f>IF(ISBLANK(N190),0,M190/ROUND(N190,4))</f>
        <v>#DIV/0!</v>
      </c>
      <c r="S190" s="64" t="e">
        <f>IF(ISBLANK(N190),0,R190*ROUND(O190,2))</f>
        <v>#DIV/0!</v>
      </c>
      <c r="T190" s="67" t="e">
        <f>ROUND(Q190,2)*R190</f>
        <v>#DIV/0!</v>
      </c>
      <c r="U190" s="64" t="e">
        <f>R190*dagenperjaar1</f>
        <v>#DIV/0!</v>
      </c>
      <c r="V190" s="68" t="e">
        <f>U190*ROUND(Q190,2)</f>
        <v>#DIV/0!</v>
      </c>
    </row>
    <row r="191" spans="1:22" x14ac:dyDescent="0.4">
      <c r="A191" s="61" t="s">
        <v>203</v>
      </c>
      <c r="B191" s="62" t="s">
        <v>456</v>
      </c>
      <c r="C191" s="62" t="s">
        <v>205</v>
      </c>
      <c r="D191" s="62" t="s">
        <v>462</v>
      </c>
      <c r="E191" s="63" t="s">
        <v>463</v>
      </c>
      <c r="F191" s="62" t="s">
        <v>208</v>
      </c>
      <c r="G191" s="62" t="s">
        <v>173</v>
      </c>
      <c r="H191" s="62" t="s">
        <v>9</v>
      </c>
      <c r="I191" s="62" t="s">
        <v>143</v>
      </c>
      <c r="J191" s="63" t="s">
        <v>174</v>
      </c>
      <c r="K191" s="62" t="s">
        <v>209</v>
      </c>
      <c r="L191" s="64">
        <v>2</v>
      </c>
      <c r="M191" s="64">
        <f>L191*VLOOKUP(H191,dagsoorttabel1,2,FALSE)</f>
        <v>2.15</v>
      </c>
      <c r="N191" s="65">
        <f>prodnorm21</f>
        <v>0</v>
      </c>
      <c r="O191" s="66">
        <f>dagwerk21</f>
        <v>0</v>
      </c>
      <c r="P191" s="62" t="s">
        <v>40</v>
      </c>
      <c r="Q191" s="67">
        <f>uurtarief21</f>
        <v>0</v>
      </c>
      <c r="R191" s="64" t="e">
        <f>IF(ISBLANK(N191),0,M191/ROUND(N191,4))</f>
        <v>#DIV/0!</v>
      </c>
      <c r="S191" s="64" t="e">
        <f>IF(ISBLANK(N191),0,R191*ROUND(O191,2))</f>
        <v>#DIV/0!</v>
      </c>
      <c r="T191" s="67" t="e">
        <f>ROUND(Q191,2)*R191</f>
        <v>#DIV/0!</v>
      </c>
      <c r="U191" s="64" t="e">
        <f>R191*dagenperjaar1</f>
        <v>#DIV/0!</v>
      </c>
      <c r="V191" s="68" t="e">
        <f>U191*ROUND(Q191,2)</f>
        <v>#DIV/0!</v>
      </c>
    </row>
    <row r="192" spans="1:22" x14ac:dyDescent="0.4">
      <c r="A192" s="61" t="s">
        <v>203</v>
      </c>
      <c r="B192" s="62" t="s">
        <v>456</v>
      </c>
      <c r="C192" s="62" t="s">
        <v>205</v>
      </c>
      <c r="D192" s="62" t="s">
        <v>464</v>
      </c>
      <c r="E192" s="63" t="s">
        <v>463</v>
      </c>
      <c r="F192" s="62" t="s">
        <v>208</v>
      </c>
      <c r="G192" s="62" t="s">
        <v>173</v>
      </c>
      <c r="H192" s="62" t="s">
        <v>9</v>
      </c>
      <c r="I192" s="62" t="s">
        <v>143</v>
      </c>
      <c r="J192" s="63" t="s">
        <v>174</v>
      </c>
      <c r="K192" s="62" t="s">
        <v>209</v>
      </c>
      <c r="L192" s="64">
        <v>2</v>
      </c>
      <c r="M192" s="64">
        <f>L192*VLOOKUP(H192,dagsoorttabel1,2,FALSE)</f>
        <v>2.15</v>
      </c>
      <c r="N192" s="65">
        <f>prodnorm21</f>
        <v>0</v>
      </c>
      <c r="O192" s="66">
        <f>dagwerk21</f>
        <v>0</v>
      </c>
      <c r="P192" s="62" t="s">
        <v>40</v>
      </c>
      <c r="Q192" s="67">
        <f>uurtarief21</f>
        <v>0</v>
      </c>
      <c r="R192" s="64" t="e">
        <f>IF(ISBLANK(N192),0,M192/ROUND(N192,4))</f>
        <v>#DIV/0!</v>
      </c>
      <c r="S192" s="64" t="e">
        <f>IF(ISBLANK(N192),0,R192*ROUND(O192,2))</f>
        <v>#DIV/0!</v>
      </c>
      <c r="T192" s="67" t="e">
        <f>ROUND(Q192,2)*R192</f>
        <v>#DIV/0!</v>
      </c>
      <c r="U192" s="64" t="e">
        <f>R192*dagenperjaar1</f>
        <v>#DIV/0!</v>
      </c>
      <c r="V192" s="68" t="e">
        <f>U192*ROUND(Q192,2)</f>
        <v>#DIV/0!</v>
      </c>
    </row>
    <row r="193" spans="1:22" x14ac:dyDescent="0.4">
      <c r="A193" s="61" t="s">
        <v>203</v>
      </c>
      <c r="B193" s="62" t="s">
        <v>456</v>
      </c>
      <c r="C193" s="62" t="s">
        <v>205</v>
      </c>
      <c r="D193" s="62" t="s">
        <v>465</v>
      </c>
      <c r="E193" s="63" t="s">
        <v>466</v>
      </c>
      <c r="F193" s="62" t="s">
        <v>208</v>
      </c>
      <c r="G193" s="62" t="s">
        <v>142</v>
      </c>
      <c r="H193" s="62" t="s">
        <v>9</v>
      </c>
      <c r="I193" s="62" t="s">
        <v>143</v>
      </c>
      <c r="J193" s="63" t="s">
        <v>144</v>
      </c>
      <c r="K193" s="62" t="s">
        <v>213</v>
      </c>
      <c r="L193" s="64">
        <v>15</v>
      </c>
      <c r="M193" s="64">
        <f>L193*VLOOKUP(H193,dagsoorttabel1,2,FALSE)</f>
        <v>16.125</v>
      </c>
      <c r="N193" s="65">
        <f>prodnorm1</f>
        <v>0</v>
      </c>
      <c r="O193" s="66">
        <f>dagwerk1</f>
        <v>0</v>
      </c>
      <c r="P193" s="62" t="s">
        <v>40</v>
      </c>
      <c r="Q193" s="67">
        <f>uurtarief1</f>
        <v>0</v>
      </c>
      <c r="R193" s="64" t="e">
        <f>IF(ISBLANK(N193),0,M193/ROUND(N193,4))</f>
        <v>#DIV/0!</v>
      </c>
      <c r="S193" s="64" t="e">
        <f>IF(ISBLANK(N193),0,R193*ROUND(O193,2))</f>
        <v>#DIV/0!</v>
      </c>
      <c r="T193" s="67" t="e">
        <f>ROUND(Q193,2)*R193</f>
        <v>#DIV/0!</v>
      </c>
      <c r="U193" s="64" t="e">
        <f>R193*dagenperjaar1</f>
        <v>#DIV/0!</v>
      </c>
      <c r="V193" s="68" t="e">
        <f>U193*ROUND(Q193,2)</f>
        <v>#DIV/0!</v>
      </c>
    </row>
    <row r="194" spans="1:22" x14ac:dyDescent="0.4">
      <c r="A194" s="61" t="s">
        <v>203</v>
      </c>
      <c r="B194" s="62" t="s">
        <v>456</v>
      </c>
      <c r="C194" s="62" t="s">
        <v>205</v>
      </c>
      <c r="D194" s="62" t="s">
        <v>467</v>
      </c>
      <c r="E194" s="63" t="s">
        <v>399</v>
      </c>
      <c r="F194" s="62" t="s">
        <v>268</v>
      </c>
      <c r="G194" s="62" t="s">
        <v>181</v>
      </c>
      <c r="H194" s="62" t="s">
        <v>9</v>
      </c>
      <c r="I194" s="62" t="s">
        <v>143</v>
      </c>
      <c r="J194" s="63" t="s">
        <v>182</v>
      </c>
      <c r="K194" s="62" t="s">
        <v>244</v>
      </c>
      <c r="L194" s="64">
        <v>17</v>
      </c>
      <c r="M194" s="64">
        <f>L194*VLOOKUP(H194,dagsoorttabel1,2,FALSE)</f>
        <v>18.274999999999999</v>
      </c>
      <c r="N194" s="65">
        <f>prodnorm26</f>
        <v>0</v>
      </c>
      <c r="O194" s="66">
        <f>dagwerk26</f>
        <v>0</v>
      </c>
      <c r="P194" s="62" t="s">
        <v>40</v>
      </c>
      <c r="Q194" s="67">
        <f>uurtarief26</f>
        <v>0</v>
      </c>
      <c r="R194" s="64" t="e">
        <f>IF(ISBLANK(N194),0,M194/ROUND(N194,4))</f>
        <v>#DIV/0!</v>
      </c>
      <c r="S194" s="64" t="e">
        <f>IF(ISBLANK(N194),0,R194*ROUND(O194,2))</f>
        <v>#DIV/0!</v>
      </c>
      <c r="T194" s="67" t="e">
        <f>ROUND(Q194,2)*R194</f>
        <v>#DIV/0!</v>
      </c>
      <c r="U194" s="64" t="e">
        <f>R194*dagenperjaar1</f>
        <v>#DIV/0!</v>
      </c>
      <c r="V194" s="68" t="e">
        <f>U194*ROUND(Q194,2)</f>
        <v>#DIV/0!</v>
      </c>
    </row>
    <row r="195" spans="1:22" ht="29.15" x14ac:dyDescent="0.4">
      <c r="A195" s="61" t="s">
        <v>203</v>
      </c>
      <c r="B195" s="62" t="s">
        <v>456</v>
      </c>
      <c r="C195" s="62" t="s">
        <v>205</v>
      </c>
      <c r="D195" s="62" t="s">
        <v>468</v>
      </c>
      <c r="E195" s="63" t="s">
        <v>469</v>
      </c>
      <c r="F195" s="62" t="s">
        <v>256</v>
      </c>
      <c r="G195" s="62" t="s">
        <v>149</v>
      </c>
      <c r="H195" s="62" t="s">
        <v>9</v>
      </c>
      <c r="I195" s="62" t="s">
        <v>143</v>
      </c>
      <c r="J195" s="63" t="s">
        <v>150</v>
      </c>
      <c r="K195" s="62" t="s">
        <v>244</v>
      </c>
      <c r="L195" s="64">
        <v>836</v>
      </c>
      <c r="M195" s="64">
        <f>L195*VLOOKUP(H195,dagsoorttabel1,2,FALSE)</f>
        <v>898.69999999999993</v>
      </c>
      <c r="N195" s="65">
        <f>prodnorm6</f>
        <v>0</v>
      </c>
      <c r="O195" s="66">
        <f>dagwerk6</f>
        <v>0</v>
      </c>
      <c r="P195" s="62" t="s">
        <v>40</v>
      </c>
      <c r="Q195" s="67">
        <f>uurtarief6</f>
        <v>0</v>
      </c>
      <c r="R195" s="64" t="e">
        <f>IF(ISBLANK(N195),0,M195/ROUND(N195,4))</f>
        <v>#DIV/0!</v>
      </c>
      <c r="S195" s="64" t="e">
        <f>IF(ISBLANK(N195),0,R195*ROUND(O195,2))</f>
        <v>#DIV/0!</v>
      </c>
      <c r="T195" s="67" t="e">
        <f>ROUND(Q195,2)*R195</f>
        <v>#DIV/0!</v>
      </c>
      <c r="U195" s="64" t="e">
        <f>R195*dagenperjaar1</f>
        <v>#DIV/0!</v>
      </c>
      <c r="V195" s="68" t="e">
        <f>U195*ROUND(Q195,2)</f>
        <v>#DIV/0!</v>
      </c>
    </row>
    <row r="196" spans="1:22" x14ac:dyDescent="0.4">
      <c r="A196" s="61" t="s">
        <v>203</v>
      </c>
      <c r="B196" s="62" t="s">
        <v>456</v>
      </c>
      <c r="C196" s="62" t="s">
        <v>205</v>
      </c>
      <c r="D196" s="62" t="s">
        <v>470</v>
      </c>
      <c r="E196" s="63" t="s">
        <v>471</v>
      </c>
      <c r="F196" s="62" t="s">
        <v>208</v>
      </c>
      <c r="G196" s="62" t="s">
        <v>175</v>
      </c>
      <c r="H196" s="62" t="s">
        <v>9</v>
      </c>
      <c r="I196" s="62" t="s">
        <v>143</v>
      </c>
      <c r="J196" s="63" t="s">
        <v>176</v>
      </c>
      <c r="K196" s="62" t="s">
        <v>209</v>
      </c>
      <c r="L196" s="64">
        <v>49</v>
      </c>
      <c r="M196" s="64">
        <f>L196*VLOOKUP(H196,dagsoorttabel1,2,FALSE)</f>
        <v>52.674999999999997</v>
      </c>
      <c r="N196" s="65">
        <f>prodnorm22</f>
        <v>0</v>
      </c>
      <c r="O196" s="66">
        <f>dagwerk22</f>
        <v>0</v>
      </c>
      <c r="P196" s="62" t="s">
        <v>40</v>
      </c>
      <c r="Q196" s="67">
        <f>uurtarief22</f>
        <v>0</v>
      </c>
      <c r="R196" s="64" t="e">
        <f>IF(ISBLANK(N196),0,M196/ROUND(N196,4))</f>
        <v>#DIV/0!</v>
      </c>
      <c r="S196" s="64" t="e">
        <f>IF(ISBLANK(N196),0,R196*ROUND(O196,2))</f>
        <v>#DIV/0!</v>
      </c>
      <c r="T196" s="67" t="e">
        <f>ROUND(Q196,2)*R196</f>
        <v>#DIV/0!</v>
      </c>
      <c r="U196" s="64" t="e">
        <f>R196*dagenperjaar1</f>
        <v>#DIV/0!</v>
      </c>
      <c r="V196" s="68" t="e">
        <f>U196*ROUND(Q196,2)</f>
        <v>#DIV/0!</v>
      </c>
    </row>
    <row r="197" spans="1:22" x14ac:dyDescent="0.4">
      <c r="A197" s="61" t="s">
        <v>203</v>
      </c>
      <c r="B197" s="62" t="s">
        <v>456</v>
      </c>
      <c r="C197" s="62" t="s">
        <v>205</v>
      </c>
      <c r="D197" s="62" t="s">
        <v>472</v>
      </c>
      <c r="E197" s="63" t="s">
        <v>473</v>
      </c>
      <c r="F197" s="62" t="s">
        <v>208</v>
      </c>
      <c r="G197" s="62" t="s">
        <v>175</v>
      </c>
      <c r="H197" s="62" t="s">
        <v>9</v>
      </c>
      <c r="I197" s="62" t="s">
        <v>143</v>
      </c>
      <c r="J197" s="63" t="s">
        <v>176</v>
      </c>
      <c r="K197" s="62" t="s">
        <v>209</v>
      </c>
      <c r="L197" s="64">
        <v>39</v>
      </c>
      <c r="M197" s="64">
        <f>L197*VLOOKUP(H197,dagsoorttabel1,2,FALSE)</f>
        <v>41.924999999999997</v>
      </c>
      <c r="N197" s="65">
        <f>prodnorm22</f>
        <v>0</v>
      </c>
      <c r="O197" s="66">
        <f>dagwerk22</f>
        <v>0</v>
      </c>
      <c r="P197" s="62" t="s">
        <v>40</v>
      </c>
      <c r="Q197" s="67">
        <f>uurtarief22</f>
        <v>0</v>
      </c>
      <c r="R197" s="64" t="e">
        <f>IF(ISBLANK(N197),0,M197/ROUND(N197,4))</f>
        <v>#DIV/0!</v>
      </c>
      <c r="S197" s="64" t="e">
        <f>IF(ISBLANK(N197),0,R197*ROUND(O197,2))</f>
        <v>#DIV/0!</v>
      </c>
      <c r="T197" s="67" t="e">
        <f>ROUND(Q197,2)*R197</f>
        <v>#DIV/0!</v>
      </c>
      <c r="U197" s="64" t="e">
        <f>R197*dagenperjaar1</f>
        <v>#DIV/0!</v>
      </c>
      <c r="V197" s="68" t="e">
        <f>U197*ROUND(Q197,2)</f>
        <v>#DIV/0!</v>
      </c>
    </row>
    <row r="198" spans="1:22" x14ac:dyDescent="0.4">
      <c r="A198" s="61" t="s">
        <v>203</v>
      </c>
      <c r="B198" s="62" t="s">
        <v>456</v>
      </c>
      <c r="C198" s="62" t="s">
        <v>205</v>
      </c>
      <c r="D198" s="62" t="s">
        <v>474</v>
      </c>
      <c r="E198" s="63" t="s">
        <v>475</v>
      </c>
      <c r="F198" s="62" t="s">
        <v>208</v>
      </c>
      <c r="G198" s="62" t="s">
        <v>177</v>
      </c>
      <c r="H198" s="62" t="s">
        <v>9</v>
      </c>
      <c r="I198" s="62" t="s">
        <v>143</v>
      </c>
      <c r="J198" s="63" t="s">
        <v>178</v>
      </c>
      <c r="K198" s="62" t="s">
        <v>209</v>
      </c>
      <c r="L198" s="64">
        <v>1</v>
      </c>
      <c r="M198" s="64">
        <f>L198*VLOOKUP(H198,dagsoorttabel1,2,FALSE)</f>
        <v>1.075</v>
      </c>
      <c r="N198" s="65">
        <f>prodnorm23</f>
        <v>0</v>
      </c>
      <c r="O198" s="66">
        <f>dagwerk23</f>
        <v>0</v>
      </c>
      <c r="P198" s="62" t="s">
        <v>40</v>
      </c>
      <c r="Q198" s="67">
        <f>uurtarief23</f>
        <v>0</v>
      </c>
      <c r="R198" s="64" t="e">
        <f>IF(ISBLANK(N198),0,M198/ROUND(N198,4))</f>
        <v>#DIV/0!</v>
      </c>
      <c r="S198" s="64" t="e">
        <f>IF(ISBLANK(N198),0,R198*ROUND(O198,2))</f>
        <v>#DIV/0!</v>
      </c>
      <c r="T198" s="67" t="e">
        <f>ROUND(Q198,2)*R198</f>
        <v>#DIV/0!</v>
      </c>
      <c r="U198" s="64" t="e">
        <f>R198*dagenperjaar1</f>
        <v>#DIV/0!</v>
      </c>
      <c r="V198" s="68" t="e">
        <f>U198*ROUND(Q198,2)</f>
        <v>#DIV/0!</v>
      </c>
    </row>
    <row r="199" spans="1:22" x14ac:dyDescent="0.4">
      <c r="A199" s="61" t="s">
        <v>203</v>
      </c>
      <c r="B199" s="62" t="s">
        <v>456</v>
      </c>
      <c r="C199" s="62" t="s">
        <v>205</v>
      </c>
      <c r="D199" s="62" t="s">
        <v>476</v>
      </c>
      <c r="E199" s="63" t="s">
        <v>475</v>
      </c>
      <c r="F199" s="62" t="s">
        <v>208</v>
      </c>
      <c r="G199" s="62" t="s">
        <v>177</v>
      </c>
      <c r="H199" s="62" t="s">
        <v>9</v>
      </c>
      <c r="I199" s="62" t="s">
        <v>143</v>
      </c>
      <c r="J199" s="63" t="s">
        <v>178</v>
      </c>
      <c r="K199" s="62" t="s">
        <v>209</v>
      </c>
      <c r="L199" s="64">
        <v>1</v>
      </c>
      <c r="M199" s="64">
        <f>L199*VLOOKUP(H199,dagsoorttabel1,2,FALSE)</f>
        <v>1.075</v>
      </c>
      <c r="N199" s="65">
        <f>prodnorm23</f>
        <v>0</v>
      </c>
      <c r="O199" s="66">
        <f>dagwerk23</f>
        <v>0</v>
      </c>
      <c r="P199" s="62" t="s">
        <v>40</v>
      </c>
      <c r="Q199" s="67">
        <f>uurtarief23</f>
        <v>0</v>
      </c>
      <c r="R199" s="64" t="e">
        <f>IF(ISBLANK(N199),0,M199/ROUND(N199,4))</f>
        <v>#DIV/0!</v>
      </c>
      <c r="S199" s="64" t="e">
        <f>IF(ISBLANK(N199),0,R199*ROUND(O199,2))</f>
        <v>#DIV/0!</v>
      </c>
      <c r="T199" s="67" t="e">
        <f>ROUND(Q199,2)*R199</f>
        <v>#DIV/0!</v>
      </c>
      <c r="U199" s="64" t="e">
        <f>R199*dagenperjaar1</f>
        <v>#DIV/0!</v>
      </c>
      <c r="V199" s="68" t="e">
        <f>U199*ROUND(Q199,2)</f>
        <v>#DIV/0!</v>
      </c>
    </row>
    <row r="200" spans="1:22" x14ac:dyDescent="0.4">
      <c r="A200" s="61" t="s">
        <v>203</v>
      </c>
      <c r="B200" s="62" t="s">
        <v>456</v>
      </c>
      <c r="C200" s="62" t="s">
        <v>205</v>
      </c>
      <c r="D200" s="62" t="s">
        <v>477</v>
      </c>
      <c r="E200" s="63" t="s">
        <v>475</v>
      </c>
      <c r="F200" s="62" t="s">
        <v>208</v>
      </c>
      <c r="G200" s="62" t="s">
        <v>177</v>
      </c>
      <c r="H200" s="62" t="s">
        <v>9</v>
      </c>
      <c r="I200" s="62" t="s">
        <v>143</v>
      </c>
      <c r="J200" s="63" t="s">
        <v>178</v>
      </c>
      <c r="K200" s="62" t="s">
        <v>209</v>
      </c>
      <c r="L200" s="64">
        <v>1</v>
      </c>
      <c r="M200" s="64">
        <f>L200*VLOOKUP(H200,dagsoorttabel1,2,FALSE)</f>
        <v>1.075</v>
      </c>
      <c r="N200" s="65">
        <f>prodnorm23</f>
        <v>0</v>
      </c>
      <c r="O200" s="66">
        <f>dagwerk23</f>
        <v>0</v>
      </c>
      <c r="P200" s="62" t="s">
        <v>40</v>
      </c>
      <c r="Q200" s="67">
        <f>uurtarief23</f>
        <v>0</v>
      </c>
      <c r="R200" s="64" t="e">
        <f>IF(ISBLANK(N200),0,M200/ROUND(N200,4))</f>
        <v>#DIV/0!</v>
      </c>
      <c r="S200" s="64" t="e">
        <f>IF(ISBLANK(N200),0,R200*ROUND(O200,2))</f>
        <v>#DIV/0!</v>
      </c>
      <c r="T200" s="67" t="e">
        <f>ROUND(Q200,2)*R200</f>
        <v>#DIV/0!</v>
      </c>
      <c r="U200" s="64" t="e">
        <f>R200*dagenperjaar1</f>
        <v>#DIV/0!</v>
      </c>
      <c r="V200" s="68" t="e">
        <f>U200*ROUND(Q200,2)</f>
        <v>#DIV/0!</v>
      </c>
    </row>
    <row r="201" spans="1:22" x14ac:dyDescent="0.4">
      <c r="A201" s="61" t="s">
        <v>203</v>
      </c>
      <c r="B201" s="62" t="s">
        <v>456</v>
      </c>
      <c r="C201" s="62" t="s">
        <v>205</v>
      </c>
      <c r="D201" s="62" t="s">
        <v>478</v>
      </c>
      <c r="E201" s="63" t="s">
        <v>479</v>
      </c>
      <c r="F201" s="62" t="s">
        <v>208</v>
      </c>
      <c r="G201" s="62" t="s">
        <v>177</v>
      </c>
      <c r="H201" s="62" t="s">
        <v>9</v>
      </c>
      <c r="I201" s="62" t="s">
        <v>143</v>
      </c>
      <c r="J201" s="63" t="s">
        <v>178</v>
      </c>
      <c r="K201" s="62" t="s">
        <v>209</v>
      </c>
      <c r="L201" s="64">
        <v>1</v>
      </c>
      <c r="M201" s="64">
        <f>L201*VLOOKUP(H201,dagsoorttabel1,2,FALSE)</f>
        <v>1.075</v>
      </c>
      <c r="N201" s="65">
        <f>prodnorm23</f>
        <v>0</v>
      </c>
      <c r="O201" s="66">
        <f>dagwerk23</f>
        <v>0</v>
      </c>
      <c r="P201" s="62" t="s">
        <v>40</v>
      </c>
      <c r="Q201" s="67">
        <f>uurtarief23</f>
        <v>0</v>
      </c>
      <c r="R201" s="64" t="e">
        <f>IF(ISBLANK(N201),0,M201/ROUND(N201,4))</f>
        <v>#DIV/0!</v>
      </c>
      <c r="S201" s="64" t="e">
        <f>IF(ISBLANK(N201),0,R201*ROUND(O201,2))</f>
        <v>#DIV/0!</v>
      </c>
      <c r="T201" s="67" t="e">
        <f>ROUND(Q201,2)*R201</f>
        <v>#DIV/0!</v>
      </c>
      <c r="U201" s="64" t="e">
        <f>R201*dagenperjaar1</f>
        <v>#DIV/0!</v>
      </c>
      <c r="V201" s="68" t="e">
        <f>U201*ROUND(Q201,2)</f>
        <v>#DIV/0!</v>
      </c>
    </row>
    <row r="202" spans="1:22" x14ac:dyDescent="0.4">
      <c r="A202" s="61" t="s">
        <v>203</v>
      </c>
      <c r="B202" s="62" t="s">
        <v>456</v>
      </c>
      <c r="C202" s="62" t="s">
        <v>205</v>
      </c>
      <c r="D202" s="62" t="s">
        <v>480</v>
      </c>
      <c r="E202" s="63" t="s">
        <v>481</v>
      </c>
      <c r="F202" s="62" t="s">
        <v>208</v>
      </c>
      <c r="G202" s="62" t="s">
        <v>177</v>
      </c>
      <c r="H202" s="62" t="s">
        <v>9</v>
      </c>
      <c r="I202" s="62" t="s">
        <v>143</v>
      </c>
      <c r="J202" s="63" t="s">
        <v>178</v>
      </c>
      <c r="K202" s="62" t="s">
        <v>209</v>
      </c>
      <c r="L202" s="64">
        <v>1</v>
      </c>
      <c r="M202" s="64">
        <f>L202*VLOOKUP(H202,dagsoorttabel1,2,FALSE)</f>
        <v>1.075</v>
      </c>
      <c r="N202" s="65">
        <f>prodnorm23</f>
        <v>0</v>
      </c>
      <c r="O202" s="66">
        <f>dagwerk23</f>
        <v>0</v>
      </c>
      <c r="P202" s="62" t="s">
        <v>40</v>
      </c>
      <c r="Q202" s="67">
        <f>uurtarief23</f>
        <v>0</v>
      </c>
      <c r="R202" s="64" t="e">
        <f>IF(ISBLANK(N202),0,M202/ROUND(N202,4))</f>
        <v>#DIV/0!</v>
      </c>
      <c r="S202" s="64" t="e">
        <f>IF(ISBLANK(N202),0,R202*ROUND(O202,2))</f>
        <v>#DIV/0!</v>
      </c>
      <c r="T202" s="67" t="e">
        <f>ROUND(Q202,2)*R202</f>
        <v>#DIV/0!</v>
      </c>
      <c r="U202" s="64" t="e">
        <f>R202*dagenperjaar1</f>
        <v>#DIV/0!</v>
      </c>
      <c r="V202" s="68" t="e">
        <f>U202*ROUND(Q202,2)</f>
        <v>#DIV/0!</v>
      </c>
    </row>
    <row r="203" spans="1:22" x14ac:dyDescent="0.4">
      <c r="A203" s="61" t="s">
        <v>203</v>
      </c>
      <c r="B203" s="62" t="s">
        <v>456</v>
      </c>
      <c r="C203" s="62" t="s">
        <v>205</v>
      </c>
      <c r="D203" s="62" t="s">
        <v>482</v>
      </c>
      <c r="E203" s="63" t="s">
        <v>483</v>
      </c>
      <c r="F203" s="62" t="s">
        <v>208</v>
      </c>
      <c r="G203" s="62" t="s">
        <v>177</v>
      </c>
      <c r="H203" s="62" t="s">
        <v>9</v>
      </c>
      <c r="I203" s="62" t="s">
        <v>143</v>
      </c>
      <c r="J203" s="63" t="s">
        <v>178</v>
      </c>
      <c r="K203" s="62" t="s">
        <v>209</v>
      </c>
      <c r="L203" s="64">
        <v>1</v>
      </c>
      <c r="M203" s="64">
        <f>L203*VLOOKUP(H203,dagsoorttabel1,2,FALSE)</f>
        <v>1.075</v>
      </c>
      <c r="N203" s="65">
        <f>prodnorm23</f>
        <v>0</v>
      </c>
      <c r="O203" s="66">
        <f>dagwerk23</f>
        <v>0</v>
      </c>
      <c r="P203" s="62" t="s">
        <v>40</v>
      </c>
      <c r="Q203" s="67">
        <f>uurtarief23</f>
        <v>0</v>
      </c>
      <c r="R203" s="64" t="e">
        <f>IF(ISBLANK(N203),0,M203/ROUND(N203,4))</f>
        <v>#DIV/0!</v>
      </c>
      <c r="S203" s="64" t="e">
        <f>IF(ISBLANK(N203),0,R203*ROUND(O203,2))</f>
        <v>#DIV/0!</v>
      </c>
      <c r="T203" s="67" t="e">
        <f>ROUND(Q203,2)*R203</f>
        <v>#DIV/0!</v>
      </c>
      <c r="U203" s="64" t="e">
        <f>R203*dagenperjaar1</f>
        <v>#DIV/0!</v>
      </c>
      <c r="V203" s="68" t="e">
        <f>U203*ROUND(Q203,2)</f>
        <v>#DIV/0!</v>
      </c>
    </row>
    <row r="204" spans="1:22" x14ac:dyDescent="0.4">
      <c r="A204" s="61" t="s">
        <v>203</v>
      </c>
      <c r="B204" s="62" t="s">
        <v>456</v>
      </c>
      <c r="C204" s="62" t="s">
        <v>205</v>
      </c>
      <c r="D204" s="62" t="s">
        <v>484</v>
      </c>
      <c r="E204" s="63" t="s">
        <v>483</v>
      </c>
      <c r="F204" s="62" t="s">
        <v>208</v>
      </c>
      <c r="G204" s="62" t="s">
        <v>177</v>
      </c>
      <c r="H204" s="62" t="s">
        <v>9</v>
      </c>
      <c r="I204" s="62" t="s">
        <v>143</v>
      </c>
      <c r="J204" s="63" t="s">
        <v>178</v>
      </c>
      <c r="K204" s="62" t="s">
        <v>209</v>
      </c>
      <c r="L204" s="64">
        <v>1</v>
      </c>
      <c r="M204" s="64">
        <f>L204*VLOOKUP(H204,dagsoorttabel1,2,FALSE)</f>
        <v>1.075</v>
      </c>
      <c r="N204" s="65">
        <f>prodnorm23</f>
        <v>0</v>
      </c>
      <c r="O204" s="66">
        <f>dagwerk23</f>
        <v>0</v>
      </c>
      <c r="P204" s="62" t="s">
        <v>40</v>
      </c>
      <c r="Q204" s="67">
        <f>uurtarief23</f>
        <v>0</v>
      </c>
      <c r="R204" s="64" t="e">
        <f>IF(ISBLANK(N204),0,M204/ROUND(N204,4))</f>
        <v>#DIV/0!</v>
      </c>
      <c r="S204" s="64" t="e">
        <f>IF(ISBLANK(N204),0,R204*ROUND(O204,2))</f>
        <v>#DIV/0!</v>
      </c>
      <c r="T204" s="67" t="e">
        <f>ROUND(Q204,2)*R204</f>
        <v>#DIV/0!</v>
      </c>
      <c r="U204" s="64" t="e">
        <f>R204*dagenperjaar1</f>
        <v>#DIV/0!</v>
      </c>
      <c r="V204" s="68" t="e">
        <f>U204*ROUND(Q204,2)</f>
        <v>#DIV/0!</v>
      </c>
    </row>
    <row r="205" spans="1:22" ht="29.15" x14ac:dyDescent="0.4">
      <c r="A205" s="61" t="s">
        <v>203</v>
      </c>
      <c r="B205" s="62" t="s">
        <v>456</v>
      </c>
      <c r="C205" s="62" t="s">
        <v>205</v>
      </c>
      <c r="D205" s="62" t="s">
        <v>485</v>
      </c>
      <c r="E205" s="63" t="s">
        <v>486</v>
      </c>
      <c r="F205" s="62" t="s">
        <v>256</v>
      </c>
      <c r="G205" s="62" t="s">
        <v>149</v>
      </c>
      <c r="H205" s="62" t="s">
        <v>9</v>
      </c>
      <c r="I205" s="62" t="s">
        <v>143</v>
      </c>
      <c r="J205" s="63" t="s">
        <v>150</v>
      </c>
      <c r="K205" s="62" t="s">
        <v>244</v>
      </c>
      <c r="L205" s="64">
        <v>41</v>
      </c>
      <c r="M205" s="64">
        <f>L205*VLOOKUP(H205,dagsoorttabel1,2,FALSE)</f>
        <v>44.074999999999996</v>
      </c>
      <c r="N205" s="65">
        <f>prodnorm6</f>
        <v>0</v>
      </c>
      <c r="O205" s="66">
        <f>dagwerk6</f>
        <v>0</v>
      </c>
      <c r="P205" s="62" t="s">
        <v>40</v>
      </c>
      <c r="Q205" s="67">
        <f>uurtarief6</f>
        <v>0</v>
      </c>
      <c r="R205" s="64" t="e">
        <f>IF(ISBLANK(N205),0,M205/ROUND(N205,4))</f>
        <v>#DIV/0!</v>
      </c>
      <c r="S205" s="64" t="e">
        <f>IF(ISBLANK(N205),0,R205*ROUND(O205,2))</f>
        <v>#DIV/0!</v>
      </c>
      <c r="T205" s="67" t="e">
        <f>ROUND(Q205,2)*R205</f>
        <v>#DIV/0!</v>
      </c>
      <c r="U205" s="64" t="e">
        <f>R205*dagenperjaar1</f>
        <v>#DIV/0!</v>
      </c>
      <c r="V205" s="68" t="e">
        <f>U205*ROUND(Q205,2)</f>
        <v>#DIV/0!</v>
      </c>
    </row>
    <row r="206" spans="1:22" x14ac:dyDescent="0.4">
      <c r="A206" s="61" t="s">
        <v>203</v>
      </c>
      <c r="B206" s="62" t="s">
        <v>456</v>
      </c>
      <c r="C206" s="62" t="s">
        <v>205</v>
      </c>
      <c r="D206" s="62" t="s">
        <v>487</v>
      </c>
      <c r="E206" s="63" t="s">
        <v>246</v>
      </c>
      <c r="F206" s="62" t="s">
        <v>208</v>
      </c>
      <c r="G206" s="62" t="s">
        <v>179</v>
      </c>
      <c r="H206" s="62" t="s">
        <v>9</v>
      </c>
      <c r="I206" s="62" t="s">
        <v>143</v>
      </c>
      <c r="J206" s="63" t="s">
        <v>180</v>
      </c>
      <c r="K206" s="62" t="s">
        <v>244</v>
      </c>
      <c r="L206" s="64">
        <v>49</v>
      </c>
      <c r="M206" s="64">
        <f>L206*VLOOKUP(H206,dagsoorttabel1,2,FALSE)</f>
        <v>52.674999999999997</v>
      </c>
      <c r="N206" s="65">
        <f>prodnorm25</f>
        <v>0</v>
      </c>
      <c r="O206" s="66">
        <f>dagwerk25</f>
        <v>0</v>
      </c>
      <c r="P206" s="62" t="s">
        <v>40</v>
      </c>
      <c r="Q206" s="67">
        <f>uurtarief25</f>
        <v>0</v>
      </c>
      <c r="R206" s="64" t="e">
        <f>IF(ISBLANK(N206),0,M206/ROUND(N206,4))</f>
        <v>#DIV/0!</v>
      </c>
      <c r="S206" s="64" t="e">
        <f>IF(ISBLANK(N206),0,R206*ROUND(O206,2))</f>
        <v>#DIV/0!</v>
      </c>
      <c r="T206" s="67" t="e">
        <f>ROUND(Q206,2)*R206</f>
        <v>#DIV/0!</v>
      </c>
      <c r="U206" s="64" t="e">
        <f>R206*dagenperjaar1</f>
        <v>#DIV/0!</v>
      </c>
      <c r="V206" s="68" t="e">
        <f>U206*ROUND(Q206,2)</f>
        <v>#DIV/0!</v>
      </c>
    </row>
    <row r="207" spans="1:22" x14ac:dyDescent="0.4">
      <c r="A207" s="61" t="s">
        <v>203</v>
      </c>
      <c r="B207" s="62" t="s">
        <v>456</v>
      </c>
      <c r="C207" s="62" t="s">
        <v>205</v>
      </c>
      <c r="D207" s="62" t="s">
        <v>488</v>
      </c>
      <c r="E207" s="63" t="s">
        <v>489</v>
      </c>
      <c r="F207" s="62" t="s">
        <v>208</v>
      </c>
      <c r="G207" s="62" t="s">
        <v>173</v>
      </c>
      <c r="H207" s="62" t="s">
        <v>9</v>
      </c>
      <c r="I207" s="62" t="s">
        <v>143</v>
      </c>
      <c r="J207" s="63" t="s">
        <v>174</v>
      </c>
      <c r="K207" s="62" t="s">
        <v>209</v>
      </c>
      <c r="L207" s="64">
        <v>10</v>
      </c>
      <c r="M207" s="64">
        <f>L207*VLOOKUP(H207,dagsoorttabel1,2,FALSE)</f>
        <v>10.75</v>
      </c>
      <c r="N207" s="65">
        <f>prodnorm21</f>
        <v>0</v>
      </c>
      <c r="O207" s="66">
        <f>dagwerk21</f>
        <v>0</v>
      </c>
      <c r="P207" s="62" t="s">
        <v>40</v>
      </c>
      <c r="Q207" s="67">
        <f>uurtarief21</f>
        <v>0</v>
      </c>
      <c r="R207" s="64" t="e">
        <f>IF(ISBLANK(N207),0,M207/ROUND(N207,4))</f>
        <v>#DIV/0!</v>
      </c>
      <c r="S207" s="64" t="e">
        <f>IF(ISBLANK(N207),0,R207*ROUND(O207,2))</f>
        <v>#DIV/0!</v>
      </c>
      <c r="T207" s="67" t="e">
        <f>ROUND(Q207,2)*R207</f>
        <v>#DIV/0!</v>
      </c>
      <c r="U207" s="64" t="e">
        <f>R207*dagenperjaar1</f>
        <v>#DIV/0!</v>
      </c>
      <c r="V207" s="68" t="e">
        <f>U207*ROUND(Q207,2)</f>
        <v>#DIV/0!</v>
      </c>
    </row>
    <row r="208" spans="1:22" x14ac:dyDescent="0.4">
      <c r="A208" s="69" t="s">
        <v>203</v>
      </c>
      <c r="B208" s="70" t="s">
        <v>456</v>
      </c>
      <c r="C208" s="70" t="s">
        <v>205</v>
      </c>
      <c r="D208" s="70" t="s">
        <v>490</v>
      </c>
      <c r="E208" s="71" t="s">
        <v>489</v>
      </c>
      <c r="F208" s="70" t="s">
        <v>208</v>
      </c>
      <c r="G208" s="70" t="s">
        <v>173</v>
      </c>
      <c r="H208" s="70" t="s">
        <v>9</v>
      </c>
      <c r="I208" s="70" t="s">
        <v>143</v>
      </c>
      <c r="J208" s="71" t="s">
        <v>174</v>
      </c>
      <c r="K208" s="70" t="s">
        <v>209</v>
      </c>
      <c r="L208" s="72">
        <v>10</v>
      </c>
      <c r="M208" s="72">
        <f>L208*VLOOKUP(H208,dagsoorttabel1,2,FALSE)</f>
        <v>10.75</v>
      </c>
      <c r="N208" s="73">
        <f>prodnorm21</f>
        <v>0</v>
      </c>
      <c r="O208" s="74">
        <f>dagwerk21</f>
        <v>0</v>
      </c>
      <c r="P208" s="70" t="s">
        <v>40</v>
      </c>
      <c r="Q208" s="75">
        <f>uurtarief21</f>
        <v>0</v>
      </c>
      <c r="R208" s="72" t="e">
        <f>IF(ISBLANK(N208),0,M208/ROUND(N208,4))</f>
        <v>#DIV/0!</v>
      </c>
      <c r="S208" s="72" t="e">
        <f>IF(ISBLANK(N208),0,R208*ROUND(O208,2))</f>
        <v>#DIV/0!</v>
      </c>
      <c r="T208" s="75" t="e">
        <f>ROUND(Q208,2)*R208</f>
        <v>#DIV/0!</v>
      </c>
      <c r="U208" s="72" t="e">
        <f>R208*dagenperjaar1</f>
        <v>#DIV/0!</v>
      </c>
      <c r="V208" s="76" t="e">
        <f>U208*ROUND(Q208,2)</f>
        <v>#DIV/0!</v>
      </c>
    </row>
    <row r="209" spans="1:22" x14ac:dyDescent="0.4">
      <c r="A209" s="43" t="s">
        <v>491</v>
      </c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6" t="e">
        <f>IF(_xlfn.SINGLE(object1_urenjaar1)&gt;0,_xlfn.SINGLE(object1_prijsjaar1)/_xlfn.SINGLE(object1_urenjaar1),0)</f>
        <v>#DIV/0!</v>
      </c>
      <c r="R209" s="45" t="e">
        <f>SUM(R5:R208)</f>
        <v>#DIV/0!</v>
      </c>
      <c r="S209" s="45" t="e">
        <f>SUM(S5:S208)</f>
        <v>#DIV/0!</v>
      </c>
      <c r="T209" s="46" t="e">
        <f>SUM(T5:T208)</f>
        <v>#DIV/0!</v>
      </c>
      <c r="U209" s="45" t="e">
        <f>SUM(U5:U208)</f>
        <v>#DIV/0!</v>
      </c>
      <c r="V209" s="46" t="e">
        <f>SUM(V5:V208)</f>
        <v>#DIV/0!</v>
      </c>
    </row>
  </sheetData>
  <pageMargins left="0.7" right="0.7" top="0.75" bottom="0.75" header="0.3" footer="0.3"/>
  <pageSetup paperSize="9" scale="61" orientation="landscape" r:id="rId1"/>
  <headerFooter>
    <oddFooter>&amp;LOns Middelbaar Onderwijs                                    
CONCEPT PER 01-09-2023&amp;ROpmaakdatum: 14-11-2022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6C1F-D860-4C50-A5D8-64875DE4B427}">
  <dimension ref="A1:J35"/>
  <sheetViews>
    <sheetView workbookViewId="0"/>
  </sheetViews>
  <sheetFormatPr defaultRowHeight="14.6" x14ac:dyDescent="0.4"/>
  <cols>
    <col min="1" max="1" width="5.69140625" customWidth="1"/>
    <col min="2" max="2" width="6.23046875" customWidth="1"/>
    <col min="3" max="3" width="11.69140625" customWidth="1"/>
    <col min="4" max="10" width="12.69140625" customWidth="1"/>
  </cols>
  <sheetData>
    <row r="1" spans="1:10" x14ac:dyDescent="0.4">
      <c r="A1" s="1" t="s">
        <v>492</v>
      </c>
    </row>
    <row r="3" spans="1:10" x14ac:dyDescent="0.4">
      <c r="A3" s="77" t="s">
        <v>134</v>
      </c>
      <c r="B3" s="77" t="s">
        <v>7</v>
      </c>
      <c r="C3" s="77" t="s">
        <v>493</v>
      </c>
      <c r="D3" s="77" t="s">
        <v>494</v>
      </c>
      <c r="E3" s="77" t="s">
        <v>495</v>
      </c>
      <c r="F3" s="77" t="s">
        <v>496</v>
      </c>
      <c r="G3" s="77" t="s">
        <v>497</v>
      </c>
      <c r="H3" s="77" t="s">
        <v>33</v>
      </c>
      <c r="I3" s="77" t="s">
        <v>498</v>
      </c>
      <c r="J3" s="77" t="s">
        <v>499</v>
      </c>
    </row>
    <row r="4" spans="1:10" x14ac:dyDescent="0.4">
      <c r="A4" s="78"/>
      <c r="B4" s="78"/>
      <c r="C4" s="78"/>
      <c r="D4" s="78"/>
      <c r="E4" s="78"/>
      <c r="F4" s="78"/>
      <c r="G4" s="78"/>
      <c r="H4" s="78"/>
      <c r="I4" s="78"/>
      <c r="J4" s="79" t="s">
        <v>136</v>
      </c>
    </row>
    <row r="5" spans="1:10" x14ac:dyDescent="0.4">
      <c r="A5" s="15" t="s">
        <v>142</v>
      </c>
      <c r="B5" s="15" t="s">
        <v>9</v>
      </c>
      <c r="C5" s="15" t="s">
        <v>500</v>
      </c>
      <c r="D5" s="15" t="s">
        <v>143</v>
      </c>
      <c r="E5" s="30">
        <f>IF(B5="","",VLOOKUP(B5,dagsoorttabel1,2,FALSE))</f>
        <v>1.075</v>
      </c>
      <c r="F5" s="30">
        <v>1</v>
      </c>
      <c r="G5" s="30">
        <f>IF(prodnorm1&gt;0,1/ROUND(prodnorm1,4),0)</f>
        <v>0</v>
      </c>
      <c r="H5" s="32">
        <f>ROUND(dagwerk1,4+2)</f>
        <v>0</v>
      </c>
      <c r="I5" s="33">
        <f>ROUND(uurtarief1,2)</f>
        <v>0</v>
      </c>
      <c r="J5" s="30">
        <v>116</v>
      </c>
    </row>
    <row r="6" spans="1:10" x14ac:dyDescent="0.4">
      <c r="A6" s="20" t="s">
        <v>142</v>
      </c>
      <c r="B6" s="20" t="s">
        <v>14</v>
      </c>
      <c r="C6" s="20" t="s">
        <v>500</v>
      </c>
      <c r="D6" s="20" t="s">
        <v>143</v>
      </c>
      <c r="E6" s="34">
        <f>IF(B6="","",VLOOKUP(B6,dagsoorttabel1,2,FALSE))</f>
        <v>0.43</v>
      </c>
      <c r="F6" s="34">
        <v>1</v>
      </c>
      <c r="G6" s="34">
        <f>IF(prodnorm2&gt;0,1/ROUND(prodnorm2,4),0)</f>
        <v>0</v>
      </c>
      <c r="H6" s="36">
        <f>ROUND(dagwerk2,4+2)</f>
        <v>0</v>
      </c>
      <c r="I6" s="37">
        <f>ROUND(uurtarief2,2)</f>
        <v>0</v>
      </c>
      <c r="J6" s="34">
        <v>389</v>
      </c>
    </row>
    <row r="7" spans="1:10" x14ac:dyDescent="0.4">
      <c r="A7" s="20" t="s">
        <v>145</v>
      </c>
      <c r="B7" s="20" t="s">
        <v>9</v>
      </c>
      <c r="C7" s="20" t="s">
        <v>500</v>
      </c>
      <c r="D7" s="20" t="s">
        <v>143</v>
      </c>
      <c r="E7" s="34">
        <f>IF(B7="","",VLOOKUP(B7,dagsoorttabel1,2,FALSE))</f>
        <v>1.075</v>
      </c>
      <c r="F7" s="34">
        <v>1</v>
      </c>
      <c r="G7" s="34">
        <f>IF(prodnorm3&gt;0,1/ROUND(prodnorm3,4),0)</f>
        <v>0</v>
      </c>
      <c r="H7" s="36">
        <f>ROUND(dagwerk3,4+2)</f>
        <v>0</v>
      </c>
      <c r="I7" s="37">
        <f>ROUND(uurtarief3,2)</f>
        <v>0</v>
      </c>
      <c r="J7" s="34">
        <v>22</v>
      </c>
    </row>
    <row r="8" spans="1:10" x14ac:dyDescent="0.4">
      <c r="A8" s="20" t="s">
        <v>145</v>
      </c>
      <c r="B8" s="20" t="s">
        <v>14</v>
      </c>
      <c r="C8" s="20" t="s">
        <v>500</v>
      </c>
      <c r="D8" s="20" t="s">
        <v>143</v>
      </c>
      <c r="E8" s="34">
        <f>IF(B8="","",VLOOKUP(B8,dagsoorttabel1,2,FALSE))</f>
        <v>0.43</v>
      </c>
      <c r="F8" s="34">
        <v>1</v>
      </c>
      <c r="G8" s="34">
        <f>IF(prodnorm4&gt;0,1/ROUND(prodnorm4,4),0)</f>
        <v>0</v>
      </c>
      <c r="H8" s="36">
        <f>ROUND(dagwerk4,4+2)</f>
        <v>0</v>
      </c>
      <c r="I8" s="37">
        <f>ROUND(uurtarief4,2)</f>
        <v>0</v>
      </c>
      <c r="J8" s="34">
        <v>360</v>
      </c>
    </row>
    <row r="9" spans="1:10" x14ac:dyDescent="0.4">
      <c r="A9" s="20" t="s">
        <v>147</v>
      </c>
      <c r="B9" s="20" t="s">
        <v>9</v>
      </c>
      <c r="C9" s="20" t="s">
        <v>500</v>
      </c>
      <c r="D9" s="20" t="s">
        <v>143</v>
      </c>
      <c r="E9" s="34">
        <f>IF(B9="","",VLOOKUP(B9,dagsoorttabel1,2,FALSE))</f>
        <v>1.075</v>
      </c>
      <c r="F9" s="34">
        <v>1</v>
      </c>
      <c r="G9" s="34">
        <f>IF(prodnorm5&gt;0,1/ROUND(prodnorm5,4),0)</f>
        <v>0</v>
      </c>
      <c r="H9" s="36">
        <f>ROUND(dagwerk5,4+2)</f>
        <v>0</v>
      </c>
      <c r="I9" s="37">
        <f>ROUND(uurtarief5,2)</f>
        <v>0</v>
      </c>
      <c r="J9" s="34">
        <v>110</v>
      </c>
    </row>
    <row r="10" spans="1:10" x14ac:dyDescent="0.4">
      <c r="A10" s="20" t="s">
        <v>149</v>
      </c>
      <c r="B10" s="20" t="s">
        <v>9</v>
      </c>
      <c r="C10" s="20" t="s">
        <v>500</v>
      </c>
      <c r="D10" s="20" t="s">
        <v>143</v>
      </c>
      <c r="E10" s="34">
        <f>IF(B10="","",VLOOKUP(B10,dagsoorttabel1,2,FALSE))</f>
        <v>1.075</v>
      </c>
      <c r="F10" s="34">
        <v>1</v>
      </c>
      <c r="G10" s="34">
        <f>IF(prodnorm6&gt;0,1/ROUND(prodnorm6,4),0)</f>
        <v>0</v>
      </c>
      <c r="H10" s="36">
        <f>ROUND(dagwerk6,4+2)</f>
        <v>0</v>
      </c>
      <c r="I10" s="37">
        <f>ROUND(uurtarief6,2)</f>
        <v>0</v>
      </c>
      <c r="J10" s="34">
        <v>877</v>
      </c>
    </row>
    <row r="11" spans="1:10" x14ac:dyDescent="0.4">
      <c r="A11" s="20" t="s">
        <v>151</v>
      </c>
      <c r="B11" s="20" t="s">
        <v>9</v>
      </c>
      <c r="C11" s="20" t="s">
        <v>500</v>
      </c>
      <c r="D11" s="20" t="s">
        <v>143</v>
      </c>
      <c r="E11" s="34">
        <f>IF(B11="","",VLOOKUP(B11,dagsoorttabel1,2,FALSE))</f>
        <v>1.075</v>
      </c>
      <c r="F11" s="34">
        <v>1</v>
      </c>
      <c r="G11" s="34">
        <f>IF(prodnorm7&gt;0,1/ROUND(prodnorm7,4),0)</f>
        <v>0</v>
      </c>
      <c r="H11" s="36">
        <f>ROUND(dagwerk7,4+2)</f>
        <v>0</v>
      </c>
      <c r="I11" s="37">
        <f>ROUND(uurtarief7,2)</f>
        <v>0</v>
      </c>
      <c r="J11" s="34">
        <v>387</v>
      </c>
    </row>
    <row r="12" spans="1:10" x14ac:dyDescent="0.4">
      <c r="A12" s="20" t="s">
        <v>153</v>
      </c>
      <c r="B12" s="20" t="s">
        <v>12</v>
      </c>
      <c r="C12" s="20" t="s">
        <v>500</v>
      </c>
      <c r="D12" s="20" t="s">
        <v>143</v>
      </c>
      <c r="E12" s="34">
        <f>IF(B12="","",VLOOKUP(B12,dagsoorttabel1,2,FALSE))</f>
        <v>0.64500000000000002</v>
      </c>
      <c r="F12" s="34">
        <v>1</v>
      </c>
      <c r="G12" s="34">
        <f>IF(prodnorm8&gt;0,1/ROUND(prodnorm8,4),0)</f>
        <v>0</v>
      </c>
      <c r="H12" s="36">
        <f>ROUND(dagwerk8,4+2)</f>
        <v>0</v>
      </c>
      <c r="I12" s="37">
        <f>ROUND(uurtarief8,2)</f>
        <v>0</v>
      </c>
      <c r="J12" s="34">
        <v>240</v>
      </c>
    </row>
    <row r="13" spans="1:10" x14ac:dyDescent="0.4">
      <c r="A13" s="20" t="s">
        <v>155</v>
      </c>
      <c r="B13" s="20" t="s">
        <v>14</v>
      </c>
      <c r="C13" s="20" t="s">
        <v>500</v>
      </c>
      <c r="D13" s="20" t="s">
        <v>143</v>
      </c>
      <c r="E13" s="34">
        <f>IF(B13="","",VLOOKUP(B13,dagsoorttabel1,2,FALSE))</f>
        <v>0.43</v>
      </c>
      <c r="F13" s="34">
        <v>1</v>
      </c>
      <c r="G13" s="34">
        <f>IF(prodnorm9&gt;0,1/ROUND(prodnorm9,4),0)</f>
        <v>0</v>
      </c>
      <c r="H13" s="36">
        <f>ROUND(dagwerk9,4+2)</f>
        <v>0</v>
      </c>
      <c r="I13" s="37">
        <f>ROUND(uurtarief9,2)</f>
        <v>0</v>
      </c>
      <c r="J13" s="34">
        <v>35</v>
      </c>
    </row>
    <row r="14" spans="1:10" x14ac:dyDescent="0.4">
      <c r="A14" s="20" t="s">
        <v>157</v>
      </c>
      <c r="B14" s="20" t="s">
        <v>9</v>
      </c>
      <c r="C14" s="20" t="s">
        <v>500</v>
      </c>
      <c r="D14" s="20" t="s">
        <v>143</v>
      </c>
      <c r="E14" s="34">
        <f>IF(B14="","",VLOOKUP(B14,dagsoorttabel1,2,FALSE))</f>
        <v>1.075</v>
      </c>
      <c r="F14" s="34">
        <v>1</v>
      </c>
      <c r="G14" s="34">
        <f>IF(prodnorm10&gt;0,1/ROUND(prodnorm10,4),0)</f>
        <v>0</v>
      </c>
      <c r="H14" s="36">
        <f>ROUND(dagwerk10,4+2)</f>
        <v>0</v>
      </c>
      <c r="I14" s="37">
        <f>ROUND(uurtarief10,2)</f>
        <v>0</v>
      </c>
      <c r="J14" s="34">
        <v>104</v>
      </c>
    </row>
    <row r="15" spans="1:10" x14ac:dyDescent="0.4">
      <c r="A15" s="20" t="s">
        <v>159</v>
      </c>
      <c r="B15" s="20" t="s">
        <v>9</v>
      </c>
      <c r="C15" s="20" t="s">
        <v>500</v>
      </c>
      <c r="D15" s="20" t="s">
        <v>143</v>
      </c>
      <c r="E15" s="34">
        <f>IF(B15="","",VLOOKUP(B15,dagsoorttabel1,2,FALSE))</f>
        <v>1.075</v>
      </c>
      <c r="F15" s="34">
        <v>1</v>
      </c>
      <c r="G15" s="34">
        <f>IF(prodnorm11&gt;0,1/ROUND(prodnorm11,4),0)</f>
        <v>0</v>
      </c>
      <c r="H15" s="36">
        <f>ROUND(dagwerk11,4+2)</f>
        <v>0</v>
      </c>
      <c r="I15" s="37">
        <f>ROUND(uurtarief11,2)</f>
        <v>0</v>
      </c>
      <c r="J15" s="34">
        <v>3102</v>
      </c>
    </row>
    <row r="16" spans="1:10" x14ac:dyDescent="0.4">
      <c r="A16" s="20" t="s">
        <v>161</v>
      </c>
      <c r="B16" s="20" t="s">
        <v>9</v>
      </c>
      <c r="C16" s="20" t="s">
        <v>500</v>
      </c>
      <c r="D16" s="20" t="s">
        <v>143</v>
      </c>
      <c r="E16" s="34">
        <f>IF(B16="","",VLOOKUP(B16,dagsoorttabel1,2,FALSE))</f>
        <v>1.075</v>
      </c>
      <c r="F16" s="34">
        <v>1</v>
      </c>
      <c r="G16" s="34">
        <f>IF(prodnorm12&gt;0,1/ROUND(prodnorm12,4),0)</f>
        <v>0</v>
      </c>
      <c r="H16" s="36">
        <f>ROUND(dagwerk12,4+2)</f>
        <v>0</v>
      </c>
      <c r="I16" s="37">
        <f>ROUND(uurtarief12,2)</f>
        <v>0</v>
      </c>
      <c r="J16" s="34">
        <v>128</v>
      </c>
    </row>
    <row r="17" spans="1:10" x14ac:dyDescent="0.4">
      <c r="A17" s="20" t="s">
        <v>161</v>
      </c>
      <c r="B17" s="20" t="s">
        <v>14</v>
      </c>
      <c r="C17" s="20" t="s">
        <v>500</v>
      </c>
      <c r="D17" s="20" t="s">
        <v>143</v>
      </c>
      <c r="E17" s="34">
        <f>IF(B17="","",VLOOKUP(B17,dagsoorttabel1,2,FALSE))</f>
        <v>0.43</v>
      </c>
      <c r="F17" s="34">
        <v>1</v>
      </c>
      <c r="G17" s="34">
        <f>IF(prodnorm13&gt;0,1/ROUND(prodnorm13,4),0)</f>
        <v>0</v>
      </c>
      <c r="H17" s="36">
        <f>ROUND(dagwerk13,4+2)</f>
        <v>0</v>
      </c>
      <c r="I17" s="37">
        <f>ROUND(uurtarief13,2)</f>
        <v>0</v>
      </c>
      <c r="J17" s="34">
        <v>118</v>
      </c>
    </row>
    <row r="18" spans="1:10" x14ac:dyDescent="0.4">
      <c r="A18" s="20" t="s">
        <v>163</v>
      </c>
      <c r="B18" s="20" t="s">
        <v>9</v>
      </c>
      <c r="C18" s="20" t="s">
        <v>500</v>
      </c>
      <c r="D18" s="20" t="s">
        <v>143</v>
      </c>
      <c r="E18" s="34">
        <f>IF(B18="","",VLOOKUP(B18,dagsoorttabel1,2,FALSE))</f>
        <v>1.075</v>
      </c>
      <c r="F18" s="34">
        <v>1</v>
      </c>
      <c r="G18" s="34">
        <f>IF(prodnorm14&gt;0,1/ROUND(prodnorm14,4),0)</f>
        <v>0</v>
      </c>
      <c r="H18" s="36">
        <f>ROUND(dagwerk14,4+2)</f>
        <v>0</v>
      </c>
      <c r="I18" s="37">
        <f>ROUND(uurtarief14,2)</f>
        <v>0</v>
      </c>
      <c r="J18" s="34">
        <v>568</v>
      </c>
    </row>
    <row r="19" spans="1:10" x14ac:dyDescent="0.4">
      <c r="A19" s="20" t="s">
        <v>165</v>
      </c>
      <c r="B19" s="20" t="s">
        <v>19</v>
      </c>
      <c r="C19" s="20" t="s">
        <v>500</v>
      </c>
      <c r="D19" s="20" t="s">
        <v>143</v>
      </c>
      <c r="E19" s="34">
        <f>IF(B19="","",VLOOKUP(B19,dagsoorttabel1,2,FALSE))</f>
        <v>0.06</v>
      </c>
      <c r="F19" s="34">
        <v>1</v>
      </c>
      <c r="G19" s="34">
        <f>IF(prodnorm15&gt;0,1/ROUND(prodnorm15,4),0)</f>
        <v>0</v>
      </c>
      <c r="H19" s="36">
        <f>ROUND(dagwerk15,4+2)</f>
        <v>0</v>
      </c>
      <c r="I19" s="37">
        <f>ROUND(uurtarief15,2)</f>
        <v>0</v>
      </c>
      <c r="J19" s="34">
        <v>113</v>
      </c>
    </row>
    <row r="20" spans="1:10" x14ac:dyDescent="0.4">
      <c r="A20" s="20" t="s">
        <v>167</v>
      </c>
      <c r="B20" s="20" t="s">
        <v>9</v>
      </c>
      <c r="C20" s="20" t="s">
        <v>500</v>
      </c>
      <c r="D20" s="20" t="s">
        <v>143</v>
      </c>
      <c r="E20" s="34">
        <f>IF(B20="","",VLOOKUP(B20,dagsoorttabel1,2,FALSE))</f>
        <v>1.075</v>
      </c>
      <c r="F20" s="34">
        <v>1</v>
      </c>
      <c r="G20" s="34">
        <f>IF(prodnorm16&gt;0,1/ROUND(prodnorm16,4),0)</f>
        <v>0</v>
      </c>
      <c r="H20" s="36">
        <f>ROUND(dagwerk16,4+2)</f>
        <v>0</v>
      </c>
      <c r="I20" s="37">
        <f>ROUND(uurtarief16,2)</f>
        <v>0</v>
      </c>
      <c r="J20" s="34">
        <v>519</v>
      </c>
    </row>
    <row r="21" spans="1:10" x14ac:dyDescent="0.4">
      <c r="A21" s="20" t="s">
        <v>169</v>
      </c>
      <c r="B21" s="20" t="s">
        <v>16</v>
      </c>
      <c r="C21" s="20" t="s">
        <v>500</v>
      </c>
      <c r="D21" s="20" t="s">
        <v>143</v>
      </c>
      <c r="E21" s="34">
        <f>IF(B21="","",VLOOKUP(B21,dagsoorttabel1,2,FALSE))</f>
        <v>0.215</v>
      </c>
      <c r="F21" s="34">
        <v>1</v>
      </c>
      <c r="G21" s="34">
        <f>IF(prodnorm17&gt;0,1/ROUND(prodnorm17,4),0)</f>
        <v>0</v>
      </c>
      <c r="H21" s="36">
        <f>ROUND(dagwerk17,4+2)</f>
        <v>0</v>
      </c>
      <c r="I21" s="37">
        <f>ROUND(uurtarief17,2)</f>
        <v>0</v>
      </c>
      <c r="J21" s="34">
        <v>22</v>
      </c>
    </row>
    <row r="22" spans="1:10" x14ac:dyDescent="0.4">
      <c r="A22" s="20" t="s">
        <v>169</v>
      </c>
      <c r="B22" s="20" t="s">
        <v>14</v>
      </c>
      <c r="C22" s="20" t="s">
        <v>500</v>
      </c>
      <c r="D22" s="20" t="s">
        <v>143</v>
      </c>
      <c r="E22" s="34">
        <f>IF(B22="","",VLOOKUP(B22,dagsoorttabel1,2,FALSE))</f>
        <v>0.43</v>
      </c>
      <c r="F22" s="34">
        <v>1</v>
      </c>
      <c r="G22" s="34">
        <f>IF(prodnorm18&gt;0,1/ROUND(prodnorm18,4),0)</f>
        <v>0</v>
      </c>
      <c r="H22" s="36">
        <f>ROUND(dagwerk18,4+2)</f>
        <v>0</v>
      </c>
      <c r="I22" s="37">
        <f>ROUND(uurtarief18,2)</f>
        <v>0</v>
      </c>
      <c r="J22" s="34">
        <v>151</v>
      </c>
    </row>
    <row r="23" spans="1:10" x14ac:dyDescent="0.4">
      <c r="A23" s="20" t="s">
        <v>171</v>
      </c>
      <c r="B23" s="20" t="s">
        <v>12</v>
      </c>
      <c r="C23" s="20" t="s">
        <v>500</v>
      </c>
      <c r="D23" s="20" t="s">
        <v>143</v>
      </c>
      <c r="E23" s="34">
        <f>IF(B23="","",VLOOKUP(B23,dagsoorttabel1,2,FALSE))</f>
        <v>0.64500000000000002</v>
      </c>
      <c r="F23" s="34">
        <v>1</v>
      </c>
      <c r="G23" s="34">
        <f>IF(prodnorm19&gt;0,1/ROUND(prodnorm19,4),0)</f>
        <v>0</v>
      </c>
      <c r="H23" s="36">
        <f>ROUND(dagwerk19,4+2)</f>
        <v>0</v>
      </c>
      <c r="I23" s="37">
        <f>ROUND(uurtarief19,2)</f>
        <v>0</v>
      </c>
      <c r="J23" s="34">
        <v>68</v>
      </c>
    </row>
    <row r="24" spans="1:10" x14ac:dyDescent="0.4">
      <c r="A24" s="20" t="s">
        <v>171</v>
      </c>
      <c r="B24" s="20" t="s">
        <v>9</v>
      </c>
      <c r="C24" s="20" t="s">
        <v>500</v>
      </c>
      <c r="D24" s="20" t="s">
        <v>143</v>
      </c>
      <c r="E24" s="34">
        <f>IF(B24="","",VLOOKUP(B24,dagsoorttabel1,2,FALSE))</f>
        <v>1.075</v>
      </c>
      <c r="F24" s="34">
        <v>1</v>
      </c>
      <c r="G24" s="34">
        <f>IF(prodnorm20&gt;0,1/ROUND(prodnorm20,4),0)</f>
        <v>0</v>
      </c>
      <c r="H24" s="36">
        <f>ROUND(dagwerk20,4+2)</f>
        <v>0</v>
      </c>
      <c r="I24" s="37">
        <f>ROUND(uurtarief20,2)</f>
        <v>0</v>
      </c>
      <c r="J24" s="34">
        <v>220</v>
      </c>
    </row>
    <row r="25" spans="1:10" x14ac:dyDescent="0.4">
      <c r="A25" s="20" t="s">
        <v>173</v>
      </c>
      <c r="B25" s="20" t="s">
        <v>9</v>
      </c>
      <c r="C25" s="20" t="s">
        <v>500</v>
      </c>
      <c r="D25" s="20" t="s">
        <v>143</v>
      </c>
      <c r="E25" s="34">
        <f>IF(B25="","",VLOOKUP(B25,dagsoorttabel1,2,FALSE))</f>
        <v>1.075</v>
      </c>
      <c r="F25" s="34">
        <v>1</v>
      </c>
      <c r="G25" s="34">
        <f>IF(prodnorm21&gt;0,1/ROUND(prodnorm21,4),0)</f>
        <v>0</v>
      </c>
      <c r="H25" s="36">
        <f>ROUND(dagwerk21,4+2)</f>
        <v>0</v>
      </c>
      <c r="I25" s="37">
        <f>ROUND(uurtarief21,2)</f>
        <v>0</v>
      </c>
      <c r="J25" s="34">
        <v>24</v>
      </c>
    </row>
    <row r="26" spans="1:10" x14ac:dyDescent="0.4">
      <c r="A26" s="20" t="s">
        <v>175</v>
      </c>
      <c r="B26" s="20" t="s">
        <v>9</v>
      </c>
      <c r="C26" s="20" t="s">
        <v>500</v>
      </c>
      <c r="D26" s="20" t="s">
        <v>143</v>
      </c>
      <c r="E26" s="34">
        <f>IF(B26="","",VLOOKUP(B26,dagsoorttabel1,2,FALSE))</f>
        <v>1.075</v>
      </c>
      <c r="F26" s="34">
        <v>1</v>
      </c>
      <c r="G26" s="34">
        <f>IF(prodnorm22&gt;0,1/ROUND(prodnorm22,4),0)</f>
        <v>0</v>
      </c>
      <c r="H26" s="36">
        <f>ROUND(dagwerk22,4+2)</f>
        <v>0</v>
      </c>
      <c r="I26" s="37">
        <f>ROUND(uurtarief22,2)</f>
        <v>0</v>
      </c>
      <c r="J26" s="34">
        <v>93</v>
      </c>
    </row>
    <row r="27" spans="1:10" x14ac:dyDescent="0.4">
      <c r="A27" s="20" t="s">
        <v>177</v>
      </c>
      <c r="B27" s="20" t="s">
        <v>9</v>
      </c>
      <c r="C27" s="20" t="s">
        <v>500</v>
      </c>
      <c r="D27" s="20" t="s">
        <v>143</v>
      </c>
      <c r="E27" s="34">
        <f>IF(B27="","",VLOOKUP(B27,dagsoorttabel1,2,FALSE))</f>
        <v>1.075</v>
      </c>
      <c r="F27" s="34">
        <v>1</v>
      </c>
      <c r="G27" s="34">
        <f>IF(prodnorm23&gt;0,1/ROUND(prodnorm23,4),0)</f>
        <v>0</v>
      </c>
      <c r="H27" s="36">
        <f>ROUND(dagwerk23,4+2)</f>
        <v>0</v>
      </c>
      <c r="I27" s="37">
        <f>ROUND(uurtarief23,2)</f>
        <v>0</v>
      </c>
      <c r="J27" s="34">
        <v>230</v>
      </c>
    </row>
    <row r="28" spans="1:10" x14ac:dyDescent="0.4">
      <c r="A28" s="20" t="s">
        <v>179</v>
      </c>
      <c r="B28" s="20" t="s">
        <v>19</v>
      </c>
      <c r="C28" s="20" t="s">
        <v>500</v>
      </c>
      <c r="D28" s="20" t="s">
        <v>143</v>
      </c>
      <c r="E28" s="34">
        <f>IF(B28="","",VLOOKUP(B28,dagsoorttabel1,2,FALSE))</f>
        <v>0.06</v>
      </c>
      <c r="F28" s="34">
        <v>1</v>
      </c>
      <c r="G28" s="34">
        <f>IF(prodnorm24&gt;0,1/ROUND(prodnorm24,4),0)</f>
        <v>0</v>
      </c>
      <c r="H28" s="36">
        <f>ROUND(dagwerk24,4+2)</f>
        <v>0</v>
      </c>
      <c r="I28" s="37">
        <f>ROUND(uurtarief24,2)</f>
        <v>0</v>
      </c>
      <c r="J28" s="34">
        <v>73</v>
      </c>
    </row>
    <row r="29" spans="1:10" x14ac:dyDescent="0.4">
      <c r="A29" s="20" t="s">
        <v>179</v>
      </c>
      <c r="B29" s="20" t="s">
        <v>9</v>
      </c>
      <c r="C29" s="20" t="s">
        <v>500</v>
      </c>
      <c r="D29" s="20" t="s">
        <v>143</v>
      </c>
      <c r="E29" s="34">
        <f>IF(B29="","",VLOOKUP(B29,dagsoorttabel1,2,FALSE))</f>
        <v>1.075</v>
      </c>
      <c r="F29" s="34">
        <v>1</v>
      </c>
      <c r="G29" s="34">
        <f>IF(prodnorm25&gt;0,1/ROUND(prodnorm25,4),0)</f>
        <v>0</v>
      </c>
      <c r="H29" s="36">
        <f>ROUND(dagwerk25,4+2)</f>
        <v>0</v>
      </c>
      <c r="I29" s="37">
        <f>ROUND(uurtarief25,2)</f>
        <v>0</v>
      </c>
      <c r="J29" s="34">
        <v>1450</v>
      </c>
    </row>
    <row r="30" spans="1:10" x14ac:dyDescent="0.4">
      <c r="A30" s="20" t="s">
        <v>181</v>
      </c>
      <c r="B30" s="20" t="s">
        <v>9</v>
      </c>
      <c r="C30" s="20" t="s">
        <v>500</v>
      </c>
      <c r="D30" s="20" t="s">
        <v>143</v>
      </c>
      <c r="E30" s="34">
        <f>IF(B30="","",VLOOKUP(B30,dagsoorttabel1,2,FALSE))</f>
        <v>1.075</v>
      </c>
      <c r="F30" s="34">
        <v>1</v>
      </c>
      <c r="G30" s="34">
        <f>IF(prodnorm26&gt;0,1/ROUND(prodnorm26,4),0)</f>
        <v>0</v>
      </c>
      <c r="H30" s="36">
        <f>ROUND(dagwerk26,4+2)</f>
        <v>0</v>
      </c>
      <c r="I30" s="37">
        <f>ROUND(uurtarief26,2)</f>
        <v>0</v>
      </c>
      <c r="J30" s="34">
        <v>1121</v>
      </c>
    </row>
    <row r="31" spans="1:10" x14ac:dyDescent="0.4">
      <c r="A31" s="20" t="s">
        <v>183</v>
      </c>
      <c r="B31" s="20" t="s">
        <v>9</v>
      </c>
      <c r="C31" s="20" t="s">
        <v>500</v>
      </c>
      <c r="D31" s="20" t="s">
        <v>143</v>
      </c>
      <c r="E31" s="34">
        <f>IF(B31="","",VLOOKUP(B31,dagsoorttabel1,2,FALSE))</f>
        <v>1.075</v>
      </c>
      <c r="F31" s="34">
        <v>1</v>
      </c>
      <c r="G31" s="34">
        <f>IF(prodnorm27&gt;0,1/ROUND(prodnorm27,4),0)</f>
        <v>0</v>
      </c>
      <c r="H31" s="36">
        <f>ROUND(dagwerk27,4+2)</f>
        <v>0</v>
      </c>
      <c r="I31" s="37">
        <f>ROUND(uurtarief27,2)</f>
        <v>0</v>
      </c>
      <c r="J31" s="34">
        <v>6</v>
      </c>
    </row>
    <row r="32" spans="1:10" x14ac:dyDescent="0.4">
      <c r="A32" s="20" t="s">
        <v>185</v>
      </c>
      <c r="B32" s="20" t="s">
        <v>9</v>
      </c>
      <c r="C32" s="20" t="s">
        <v>500</v>
      </c>
      <c r="D32" s="20" t="s">
        <v>143</v>
      </c>
      <c r="E32" s="34">
        <f>IF(B32="","",VLOOKUP(B32,dagsoorttabel1,2,FALSE))</f>
        <v>1.075</v>
      </c>
      <c r="F32" s="34">
        <v>1</v>
      </c>
      <c r="G32" s="34">
        <f>IF(prodnorm28&gt;0,1/ROUND(prodnorm28,4),0)</f>
        <v>0</v>
      </c>
      <c r="H32" s="36">
        <f>ROUND(dagwerk28,4+2)</f>
        <v>0</v>
      </c>
      <c r="I32" s="37">
        <f>ROUND(uurtarief28,2)</f>
        <v>0</v>
      </c>
      <c r="J32" s="34">
        <v>23</v>
      </c>
    </row>
    <row r="33" spans="1:10" x14ac:dyDescent="0.4">
      <c r="A33" s="20" t="s">
        <v>185</v>
      </c>
      <c r="B33" s="20" t="s">
        <v>14</v>
      </c>
      <c r="C33" s="20" t="s">
        <v>500</v>
      </c>
      <c r="D33" s="20" t="s">
        <v>143</v>
      </c>
      <c r="E33" s="34">
        <f>IF(B33="","",VLOOKUP(B33,dagsoorttabel1,2,FALSE))</f>
        <v>0.43</v>
      </c>
      <c r="F33" s="34">
        <v>1</v>
      </c>
      <c r="G33" s="34">
        <f>IF(prodnorm29&gt;0,1/ROUND(prodnorm29,4),0)</f>
        <v>0</v>
      </c>
      <c r="H33" s="36">
        <f>ROUND(dagwerk29,4+2)</f>
        <v>0</v>
      </c>
      <c r="I33" s="37">
        <f>ROUND(uurtarief29,2)</f>
        <v>0</v>
      </c>
      <c r="J33" s="34">
        <v>20</v>
      </c>
    </row>
    <row r="34" spans="1:10" x14ac:dyDescent="0.4">
      <c r="A34" s="25" t="s">
        <v>187</v>
      </c>
      <c r="B34" s="25" t="s">
        <v>9</v>
      </c>
      <c r="C34" s="25" t="s">
        <v>500</v>
      </c>
      <c r="D34" s="25" t="s">
        <v>143</v>
      </c>
      <c r="E34" s="38">
        <f>IF(B34="","",VLOOKUP(B34,dagsoorttabel1,2,FALSE))</f>
        <v>1.075</v>
      </c>
      <c r="F34" s="38">
        <v>1</v>
      </c>
      <c r="G34" s="38">
        <f>IF(prodnorm30&gt;0,1/ROUND(prodnorm30,4),0)</f>
        <v>0</v>
      </c>
      <c r="H34" s="40">
        <f>ROUND(dagwerk30,4+2)</f>
        <v>0</v>
      </c>
      <c r="I34" s="41">
        <f>ROUND(uurtarief30,2)</f>
        <v>0</v>
      </c>
      <c r="J34" s="38">
        <v>185</v>
      </c>
    </row>
    <row r="35" spans="1:10" x14ac:dyDescent="0.4">
      <c r="A35" s="43" t="s">
        <v>189</v>
      </c>
      <c r="B35" s="44"/>
      <c r="C35" s="44"/>
      <c r="D35" s="44"/>
      <c r="E35" s="44"/>
      <c r="F35" s="44"/>
      <c r="G35" s="44"/>
      <c r="H35" s="44"/>
      <c r="I35" s="44"/>
      <c r="J35" s="80"/>
    </row>
  </sheetData>
  <pageMargins left="0.7" right="0.7" top="0.75" bottom="0.75" header="0.3" footer="0.3"/>
  <pageSetup paperSize="9" scale="70" orientation="landscape" r:id="rId1"/>
  <headerFooter>
    <oddFooter>&amp;LOns Middelbaar Onderwijs                                    
CONCEPT PER 01-09-2023&amp;ROpmaakdatum: 14-11-2022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E8E4-938A-4BB5-A317-76A5B5D22749}">
  <dimension ref="A1:M12"/>
  <sheetViews>
    <sheetView workbookViewId="0"/>
  </sheetViews>
  <sheetFormatPr defaultRowHeight="14.6" x14ac:dyDescent="0.4"/>
  <cols>
    <col min="1" max="1" width="8.69140625" customWidth="1"/>
    <col min="2" max="2" width="28.69140625" customWidth="1"/>
    <col min="3" max="4" width="15.69140625" customWidth="1"/>
    <col min="5" max="5" width="6.23046875" customWidth="1"/>
    <col min="6" max="6" width="10.69140625" customWidth="1"/>
    <col min="7" max="9" width="12.23046875" customWidth="1"/>
    <col min="10" max="11" width="12.69140625" customWidth="1"/>
    <col min="12" max="13" width="13.69140625" customWidth="1"/>
  </cols>
  <sheetData>
    <row r="1" spans="1:13" x14ac:dyDescent="0.4">
      <c r="A1" s="1" t="str">
        <f>CONCATENATE("Bijlage G5.4: ",tabeltype," objecten")</f>
        <v>Bijlage G5.4: Invultabel objecten</v>
      </c>
    </row>
    <row r="3" spans="1:13" ht="43.75" x14ac:dyDescent="0.4">
      <c r="A3" s="8" t="s">
        <v>192</v>
      </c>
      <c r="B3" s="8" t="s">
        <v>501</v>
      </c>
      <c r="C3" s="8" t="s">
        <v>502</v>
      </c>
      <c r="D3" s="8" t="s">
        <v>503</v>
      </c>
      <c r="E3" s="8" t="s">
        <v>7</v>
      </c>
      <c r="F3" s="8" t="s">
        <v>504</v>
      </c>
      <c r="G3" s="8" t="s">
        <v>505</v>
      </c>
      <c r="H3" s="8" t="s">
        <v>506</v>
      </c>
      <c r="I3" s="8" t="s">
        <v>507</v>
      </c>
      <c r="J3" s="8" t="s">
        <v>508</v>
      </c>
      <c r="K3" s="8" t="s">
        <v>140</v>
      </c>
      <c r="L3" s="8" t="s">
        <v>509</v>
      </c>
      <c r="M3" s="8" t="s">
        <v>510</v>
      </c>
    </row>
    <row r="4" spans="1:13" x14ac:dyDescent="0.4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4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4">
      <c r="A6" s="81" t="s">
        <v>203</v>
      </c>
      <c r="B6" s="81" t="s">
        <v>511</v>
      </c>
      <c r="C6" s="81" t="s">
        <v>512</v>
      </c>
      <c r="D6" s="81" t="s">
        <v>513</v>
      </c>
      <c r="E6" s="82" t="s">
        <v>9</v>
      </c>
      <c r="F6" s="83">
        <f>gemuurtarief1</f>
        <v>0</v>
      </c>
      <c r="G6" s="84">
        <f>SUMPRODUCT(taakfreqtabel1,uurfactortabel1,kengetaltabel1,object1_opptabel1)*(1/VLOOKUP(E6,dagsoorttabel1,2,FALSE))</f>
        <v>0</v>
      </c>
      <c r="H6" s="84">
        <f>SUMPRODUCT(dagwerktabel1,taakfreqtabel1,uurfactortabel1,kengetaltabel1,object1_opptabel1)*(1/VLOOKUP(E6,dagsoorttabel1,2,FALSE))</f>
        <v>0</v>
      </c>
      <c r="I6" s="85">
        <f>SUMPRODUCT(taakfreqtabel1,kengetaltabel1,tarieftabel1,object1_opptabel1)*(1/VLOOKUP(E6,dagsoorttabel1,2,FALSE))</f>
        <v>0</v>
      </c>
      <c r="J6" s="84">
        <f>H6*dagenperjaar1*VLOOKUP(E6,dagsoorttabel1,2,FALSE)</f>
        <v>0</v>
      </c>
      <c r="K6" s="84">
        <f>G6*dagenperjaar1*VLOOKUP(E6,dagsoorttabel1,2,FALSE)</f>
        <v>0</v>
      </c>
      <c r="L6" s="85">
        <f>I6*dagenperjaar1*VLOOKUP(E6,dagsoorttabel1,2,FALSE)</f>
        <v>0</v>
      </c>
      <c r="M6" s="85">
        <f>L6/12</f>
        <v>0</v>
      </c>
    </row>
    <row r="7" spans="1:13" x14ac:dyDescent="0.4">
      <c r="A7" s="43" t="s">
        <v>189</v>
      </c>
      <c r="B7" s="44"/>
      <c r="C7" s="44"/>
      <c r="D7" s="44"/>
      <c r="E7" s="44"/>
      <c r="F7" s="44"/>
      <c r="G7" s="44"/>
      <c r="H7" s="44"/>
      <c r="I7" s="44"/>
      <c r="J7" s="45">
        <f>SUM(J6:J6)</f>
        <v>0</v>
      </c>
      <c r="K7" s="45">
        <f>SUM(K6:K6)</f>
        <v>0</v>
      </c>
      <c r="L7" s="46">
        <f>SUM(L6:L6)</f>
        <v>0</v>
      </c>
      <c r="M7" s="47">
        <f>SUM(M6:M6)</f>
        <v>0</v>
      </c>
    </row>
    <row r="8" spans="1:13" x14ac:dyDescent="0.4">
      <c r="A8" s="48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9"/>
    </row>
    <row r="10" spans="1:13" x14ac:dyDescent="0.4">
      <c r="A10" s="43" t="s">
        <v>514</v>
      </c>
      <c r="B10" s="44"/>
      <c r="C10" s="44"/>
      <c r="D10" s="44"/>
      <c r="E10" s="44"/>
      <c r="F10" s="44"/>
      <c r="G10" s="44"/>
      <c r="H10" s="44"/>
      <c r="I10" s="44"/>
      <c r="J10" s="45">
        <f>urenjaartotaalhf1</f>
        <v>0</v>
      </c>
      <c r="K10" s="45">
        <f>urenjaartotaal1</f>
        <v>0</v>
      </c>
      <c r="L10" s="46">
        <f>prijsjaartotaal1</f>
        <v>0</v>
      </c>
      <c r="M10" s="46">
        <f>prijsmaandtotaal1</f>
        <v>0</v>
      </c>
    </row>
    <row r="12" spans="1:13" x14ac:dyDescent="0.4">
      <c r="A12" s="43" t="s">
        <v>515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6">
        <f>L10*1.21</f>
        <v>0</v>
      </c>
      <c r="M12" s="46">
        <f>M10*1.21</f>
        <v>0</v>
      </c>
    </row>
  </sheetData>
  <pageMargins left="0.7" right="0.7" top="0.75" bottom="0.75" header="0.3" footer="0.3"/>
  <pageSetup paperSize="9" scale="65" orientation="landscape" r:id="rId1"/>
  <headerFooter>
    <oddFooter>&amp;LOns Middelbaar Onderwijs                                    
CONCEPT PER 01-09-2023&amp;ROpmaakdatum: 14-11-2022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ABEFB-B650-4513-9441-77D896CB88A0}">
  <dimension ref="A1:K19"/>
  <sheetViews>
    <sheetView workbookViewId="0"/>
  </sheetViews>
  <sheetFormatPr defaultRowHeight="14.6" x14ac:dyDescent="0.4"/>
  <cols>
    <col min="1" max="1" width="7.69140625" customWidth="1"/>
    <col min="2" max="2" width="6.69140625" customWidth="1"/>
    <col min="3" max="3" width="7.69140625" customWidth="1"/>
    <col min="4" max="4" width="40.69140625" customWidth="1"/>
    <col min="5" max="5" width="11.69140625" customWidth="1"/>
    <col min="6" max="7" width="14.69140625" customWidth="1"/>
    <col min="8" max="8" width="12.69140625" customWidth="1"/>
    <col min="9" max="10" width="14.69140625" customWidth="1"/>
    <col min="11" max="11" width="13.69140625" customWidth="1"/>
  </cols>
  <sheetData>
    <row r="1" spans="1:11" x14ac:dyDescent="0.4">
      <c r="A1" s="1" t="str">
        <f>CONCATENATE("Bijlage G5.5: ",tabeltype," niet-meewerkende objectleiding")</f>
        <v>Bijlage G5.5: Invultabel niet-meewerkende objectleiding</v>
      </c>
    </row>
    <row r="3" spans="1:11" ht="43.75" x14ac:dyDescent="0.4">
      <c r="A3" s="8" t="s">
        <v>516</v>
      </c>
      <c r="B3" s="8" t="s">
        <v>7</v>
      </c>
      <c r="C3" s="8" t="s">
        <v>517</v>
      </c>
      <c r="D3" s="8" t="s">
        <v>518</v>
      </c>
      <c r="E3" s="8" t="s">
        <v>519</v>
      </c>
      <c r="F3" s="8" t="s">
        <v>520</v>
      </c>
      <c r="G3" s="8" t="s">
        <v>521</v>
      </c>
      <c r="H3" s="8" t="s">
        <v>140</v>
      </c>
      <c r="I3" s="8" t="s">
        <v>522</v>
      </c>
      <c r="J3" s="8" t="s">
        <v>523</v>
      </c>
      <c r="K3" s="8" t="s">
        <v>524</v>
      </c>
    </row>
    <row r="4" spans="1:11" x14ac:dyDescent="0.4">
      <c r="A4" s="86"/>
      <c r="B4" s="87"/>
      <c r="C4" s="87"/>
      <c r="D4" s="87"/>
      <c r="E4" s="87"/>
      <c r="F4" s="87"/>
      <c r="G4" s="87"/>
      <c r="H4" s="87"/>
      <c r="I4" s="87"/>
      <c r="J4" s="87"/>
      <c r="K4" s="88"/>
    </row>
    <row r="5" spans="1:11" x14ac:dyDescent="0.4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4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4">
      <c r="A7" s="89" t="s">
        <v>202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4">
      <c r="A8" s="15"/>
      <c r="B8" s="15"/>
      <c r="C8" s="90">
        <f>dagenperjaar1</f>
        <v>200</v>
      </c>
      <c r="D8" s="91" t="s">
        <v>525</v>
      </c>
      <c r="E8" s="19"/>
      <c r="F8" s="18"/>
      <c r="G8" s="92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4">
      <c r="A9" s="20"/>
      <c r="B9" s="20"/>
      <c r="C9" s="93">
        <f>dagenperjaar1</f>
        <v>200</v>
      </c>
      <c r="D9" s="94" t="s">
        <v>525</v>
      </c>
      <c r="E9" s="24"/>
      <c r="F9" s="23"/>
      <c r="G9" s="95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4">
      <c r="A10" s="20"/>
      <c r="B10" s="20"/>
      <c r="C10" s="93">
        <f>dagenperjaar1</f>
        <v>200</v>
      </c>
      <c r="D10" s="94" t="s">
        <v>526</v>
      </c>
      <c r="E10" s="24"/>
      <c r="F10" s="96"/>
      <c r="G10" s="22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4">
      <c r="A11" s="25"/>
      <c r="B11" s="25"/>
      <c r="C11" s="97">
        <f>dagenperjaar1</f>
        <v>200</v>
      </c>
      <c r="D11" s="98" t="s">
        <v>526</v>
      </c>
      <c r="E11" s="29"/>
      <c r="F11" s="99"/>
      <c r="G11" s="27"/>
      <c r="H11" s="38">
        <f>IF(ISBLANK(G11),0,G11*C11)+IF(ISBLANK(F11),0,F11*objecturen1_1)</f>
        <v>0</v>
      </c>
      <c r="I11" s="38">
        <f>IF(C11=0,0,H11/C11)</f>
        <v>0</v>
      </c>
      <c r="J11" s="41">
        <f>IF(ISBLANK(E11),0,ROUND(E11,2)*H11)</f>
        <v>0</v>
      </c>
      <c r="K11" s="41">
        <f>J11/12</f>
        <v>0</v>
      </c>
    </row>
    <row r="12" spans="1:11" x14ac:dyDescent="0.4">
      <c r="A12" s="100" t="s">
        <v>527</v>
      </c>
      <c r="B12" s="44"/>
      <c r="C12" s="44"/>
      <c r="D12" s="44"/>
      <c r="E12" s="44"/>
      <c r="F12" s="44"/>
      <c r="G12" s="44"/>
      <c r="H12" s="45">
        <f>SUM(H8:H11)</f>
        <v>0</v>
      </c>
      <c r="I12" s="44"/>
      <c r="J12" s="46">
        <f>SUM(J8:J11)</f>
        <v>0</v>
      </c>
      <c r="K12" s="47">
        <f>SUM(K8:K11)</f>
        <v>0</v>
      </c>
    </row>
    <row r="13" spans="1:11" x14ac:dyDescent="0.4">
      <c r="A13" s="48"/>
      <c r="B13" s="44"/>
      <c r="C13" s="44"/>
      <c r="D13" s="44"/>
      <c r="E13" s="44"/>
      <c r="F13" s="44"/>
      <c r="G13" s="44"/>
      <c r="H13" s="44"/>
      <c r="I13" s="44"/>
      <c r="J13" s="44"/>
      <c r="K13" s="49"/>
    </row>
    <row r="14" spans="1:11" x14ac:dyDescent="0.4">
      <c r="A14" s="43" t="s">
        <v>189</v>
      </c>
      <c r="B14" s="44"/>
      <c r="C14" s="44"/>
      <c r="D14" s="44"/>
      <c r="E14" s="44"/>
      <c r="F14" s="44"/>
      <c r="G14" s="44"/>
      <c r="H14" s="45">
        <f>tzujt1_1</f>
        <v>0</v>
      </c>
      <c r="I14" s="44"/>
      <c r="J14" s="46">
        <f>tzpjt1_1</f>
        <v>0</v>
      </c>
      <c r="K14" s="47">
        <f>tzpmt1_1</f>
        <v>0</v>
      </c>
    </row>
    <row r="15" spans="1:11" x14ac:dyDescent="0.4">
      <c r="A15" s="48"/>
      <c r="B15" s="44"/>
      <c r="C15" s="44"/>
      <c r="D15" s="44"/>
      <c r="E15" s="44"/>
      <c r="F15" s="44"/>
      <c r="G15" s="44"/>
      <c r="H15" s="44"/>
      <c r="I15" s="44"/>
      <c r="J15" s="44"/>
      <c r="K15" s="49"/>
    </row>
    <row r="17" spans="1:11" x14ac:dyDescent="0.4">
      <c r="A17" s="43" t="s">
        <v>528</v>
      </c>
      <c r="B17" s="44"/>
      <c r="C17" s="44"/>
      <c r="D17" s="44"/>
      <c r="E17" s="44"/>
      <c r="F17" s="44"/>
      <c r="G17" s="44"/>
      <c r="H17" s="45">
        <f>tzujt1</f>
        <v>0</v>
      </c>
      <c r="I17" s="44"/>
      <c r="J17" s="46">
        <f>tzpjt1</f>
        <v>0</v>
      </c>
      <c r="K17" s="46">
        <f>tzpmt1</f>
        <v>0</v>
      </c>
    </row>
    <row r="19" spans="1:11" x14ac:dyDescent="0.4">
      <c r="A19" s="43" t="s">
        <v>529</v>
      </c>
      <c r="B19" s="44"/>
      <c r="C19" s="44"/>
      <c r="D19" s="44"/>
      <c r="E19" s="44"/>
      <c r="F19" s="44"/>
      <c r="G19" s="44"/>
      <c r="H19" s="44"/>
      <c r="I19" s="44"/>
      <c r="J19" s="46">
        <f>J17*1.21</f>
        <v>0</v>
      </c>
      <c r="K19" s="46">
        <f>K17*1.21</f>
        <v>0</v>
      </c>
    </row>
  </sheetData>
  <pageMargins left="0.7" right="0.7" top="0.75" bottom="0.75" header="0.3" footer="0.3"/>
  <pageSetup paperSize="9" scale="65" orientation="landscape" r:id="rId1"/>
  <headerFooter>
    <oddFooter>&amp;LOns Middelbaar Onderwijs                                    
CONCEPT PER 01-09-2023&amp;ROpmaakdatum: 14-11-2022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242B9-8AFE-4842-9E6A-2FE389064F8F}">
  <dimension ref="A1:C20"/>
  <sheetViews>
    <sheetView workbookViewId="0"/>
  </sheetViews>
  <sheetFormatPr defaultRowHeight="14.6" x14ac:dyDescent="0.4"/>
  <cols>
    <col min="1" max="1" width="25.69140625" customWidth="1"/>
    <col min="2" max="3" width="20.69140625" customWidth="1"/>
  </cols>
  <sheetData>
    <row r="1" spans="1:3" x14ac:dyDescent="0.4">
      <c r="A1" s="1" t="str">
        <f>CONCATENATE("Bijlage G5.6: ",tabeltype," totaalblad objecten")</f>
        <v>Bijlage G5.6: Invultabel totaalblad objecten</v>
      </c>
    </row>
    <row r="3" spans="1:3" x14ac:dyDescent="0.4">
      <c r="A3" s="101" t="s">
        <v>530</v>
      </c>
      <c r="B3" s="105" t="s">
        <v>546</v>
      </c>
      <c r="C3" s="105" t="s">
        <v>203</v>
      </c>
    </row>
    <row r="4" spans="1:3" x14ac:dyDescent="0.4">
      <c r="A4" s="102" t="s">
        <v>531</v>
      </c>
      <c r="B4" s="107"/>
      <c r="C4" s="106" t="s">
        <v>511</v>
      </c>
    </row>
    <row r="5" spans="1:3" x14ac:dyDescent="0.4">
      <c r="A5" s="102" t="s">
        <v>532</v>
      </c>
      <c r="B5" s="107"/>
      <c r="C5" s="106" t="s">
        <v>512</v>
      </c>
    </row>
    <row r="6" spans="1:3" x14ac:dyDescent="0.4">
      <c r="A6" s="102" t="s">
        <v>533</v>
      </c>
      <c r="B6" s="107"/>
      <c r="C6" s="106" t="s">
        <v>513</v>
      </c>
    </row>
    <row r="7" spans="1:3" x14ac:dyDescent="0.4">
      <c r="A7" s="102" t="s">
        <v>534</v>
      </c>
      <c r="B7" s="95">
        <f>SUM(C7:C7)</f>
        <v>10874</v>
      </c>
      <c r="C7" s="95">
        <v>10874</v>
      </c>
    </row>
    <row r="8" spans="1:3" x14ac:dyDescent="0.4">
      <c r="A8" s="102" t="s">
        <v>535</v>
      </c>
      <c r="B8" s="107"/>
      <c r="C8" s="107"/>
    </row>
    <row r="9" spans="1:3" x14ac:dyDescent="0.4">
      <c r="A9" s="102" t="s">
        <v>536</v>
      </c>
      <c r="B9" s="34">
        <f>SUM(C9:C9)</f>
        <v>0</v>
      </c>
      <c r="C9" s="95">
        <f>objecturenhf1_1</f>
        <v>0</v>
      </c>
    </row>
    <row r="10" spans="1:3" x14ac:dyDescent="0.4">
      <c r="A10" s="102" t="s">
        <v>537</v>
      </c>
      <c r="B10" s="34">
        <f>SUM(C10:C10)</f>
        <v>0</v>
      </c>
      <c r="C10" s="34">
        <f>objecturen1_1</f>
        <v>0</v>
      </c>
    </row>
    <row r="11" spans="1:3" ht="29.15" x14ac:dyDescent="0.4">
      <c r="A11" s="102" t="s">
        <v>538</v>
      </c>
      <c r="B11" s="34">
        <f>IF(AND(urenjaartotaal1&gt;0,dagenperjaar1&gt;0),B7/(urenjaartotaal1/dagenperjaar1),0)</f>
        <v>0</v>
      </c>
      <c r="C11" s="34">
        <f>IF(AND(objecturen1_1&gt;0,dagenperjaar1&gt;0),C7/(objecturen1_1/dagenperjaar1),0)</f>
        <v>0</v>
      </c>
    </row>
    <row r="12" spans="1:3" x14ac:dyDescent="0.4">
      <c r="A12" s="102" t="s">
        <v>539</v>
      </c>
      <c r="B12" s="37">
        <f>SUM(C12:C12)</f>
        <v>0</v>
      </c>
      <c r="C12" s="37">
        <f>objectprijs1_1</f>
        <v>0</v>
      </c>
    </row>
    <row r="13" spans="1:3" x14ac:dyDescent="0.4">
      <c r="A13" s="102" t="s">
        <v>540</v>
      </c>
      <c r="B13" s="34">
        <f>SUM(C13:C13)</f>
        <v>0</v>
      </c>
      <c r="C13" s="34">
        <f>tzujt1_1</f>
        <v>0</v>
      </c>
    </row>
    <row r="14" spans="1:3" x14ac:dyDescent="0.4">
      <c r="A14" s="102" t="s">
        <v>541</v>
      </c>
      <c r="B14" s="37">
        <f>SUM(C14:C14)</f>
        <v>0</v>
      </c>
      <c r="C14" s="37">
        <f>tzpjt1_1</f>
        <v>0</v>
      </c>
    </row>
    <row r="15" spans="1:3" x14ac:dyDescent="0.4">
      <c r="A15" s="102" t="s">
        <v>542</v>
      </c>
      <c r="B15" s="37">
        <f>SUM(C15:C15)</f>
        <v>0</v>
      </c>
      <c r="C15" s="37">
        <f>C12+C14</f>
        <v>0</v>
      </c>
    </row>
    <row r="16" spans="1:3" x14ac:dyDescent="0.4">
      <c r="A16" s="102" t="s">
        <v>543</v>
      </c>
      <c r="B16" s="37">
        <f>SUM(C16:C16)</f>
        <v>0</v>
      </c>
      <c r="C16" s="37">
        <f>C15/12</f>
        <v>0</v>
      </c>
    </row>
    <row r="17" spans="1:3" x14ac:dyDescent="0.4">
      <c r="A17" s="102" t="s">
        <v>544</v>
      </c>
      <c r="B17" s="37">
        <f>SUM(C17:C17)</f>
        <v>0</v>
      </c>
      <c r="C17" s="37">
        <f>C16*1.21</f>
        <v>0</v>
      </c>
    </row>
    <row r="18" spans="1:3" x14ac:dyDescent="0.4">
      <c r="A18" s="102" t="s">
        <v>535</v>
      </c>
      <c r="B18" s="107"/>
      <c r="C18" s="107"/>
    </row>
    <row r="19" spans="1:3" x14ac:dyDescent="0.4">
      <c r="A19" s="102" t="s">
        <v>535</v>
      </c>
      <c r="B19" s="107"/>
      <c r="C19" s="107"/>
    </row>
    <row r="20" spans="1:3" x14ac:dyDescent="0.4">
      <c r="A20" s="103" t="s">
        <v>545</v>
      </c>
      <c r="B20" s="41">
        <f>IF(B7&gt;0,B15/B7,0)</f>
        <v>0</v>
      </c>
      <c r="C20" s="41">
        <f>IF(C7&gt;0,C15/C7,0)</f>
        <v>0</v>
      </c>
    </row>
  </sheetData>
  <pageMargins left="0.7" right="0.7" top="0.75" bottom="0.75" header="0.3" footer="0.3"/>
  <pageSetup paperSize="9" scale="65" orientation="landscape" r:id="rId1"/>
  <headerFooter>
    <oddFooter>&amp;LOns Middelbaar Onderwijs                                    
CONCEPT PER 01-09-2023&amp;ROpmaakdatum: 14-11-2022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9ABD0-E862-4EDC-B3FB-5CB75FA0B214}">
  <dimension ref="A1:E78"/>
  <sheetViews>
    <sheetView workbookViewId="0"/>
  </sheetViews>
  <sheetFormatPr defaultRowHeight="14.6" x14ac:dyDescent="0.4"/>
  <cols>
    <col min="1" max="1" width="7.69140625" customWidth="1"/>
    <col min="2" max="2" width="40.69140625" customWidth="1"/>
    <col min="3" max="3" width="18.69140625" customWidth="1"/>
    <col min="4" max="4" width="20.69140625" customWidth="1"/>
    <col min="5" max="5" width="15.69140625" customWidth="1"/>
  </cols>
  <sheetData>
    <row r="1" spans="1:5" x14ac:dyDescent="0.4">
      <c r="A1" s="1" t="str">
        <f>CONCATENATE("Bijlage G5.7: ",tabeltype," afroep incidenteel")</f>
        <v>Bijlage G5.7: Invultabel afroep incidenteel</v>
      </c>
    </row>
    <row r="3" spans="1:5" ht="43.75" x14ac:dyDescent="0.4">
      <c r="A3" s="8" t="s">
        <v>547</v>
      </c>
      <c r="B3" s="8" t="s">
        <v>31</v>
      </c>
      <c r="C3" s="8" t="s">
        <v>34</v>
      </c>
      <c r="D3" s="8" t="s">
        <v>548</v>
      </c>
      <c r="E3" s="8" t="s">
        <v>549</v>
      </c>
    </row>
    <row r="4" spans="1:5" x14ac:dyDescent="0.4">
      <c r="A4" s="9"/>
      <c r="B4" s="10"/>
      <c r="C4" s="10"/>
      <c r="D4" s="10"/>
      <c r="E4" s="11"/>
    </row>
    <row r="5" spans="1:5" x14ac:dyDescent="0.4">
      <c r="A5" s="12" t="s">
        <v>36</v>
      </c>
      <c r="B5" s="13"/>
      <c r="C5" s="13"/>
      <c r="D5" s="13"/>
      <c r="E5" s="14"/>
    </row>
    <row r="6" spans="1:5" x14ac:dyDescent="0.4">
      <c r="A6" s="15" t="s">
        <v>550</v>
      </c>
      <c r="B6" s="15" t="s">
        <v>551</v>
      </c>
      <c r="C6" s="15" t="s">
        <v>552</v>
      </c>
      <c r="D6" s="15" t="s">
        <v>553</v>
      </c>
      <c r="E6" s="19"/>
    </row>
    <row r="7" spans="1:5" x14ac:dyDescent="0.4">
      <c r="A7" s="20" t="s">
        <v>554</v>
      </c>
      <c r="B7" s="20" t="s">
        <v>551</v>
      </c>
      <c r="C7" s="20" t="s">
        <v>552</v>
      </c>
      <c r="D7" s="20" t="s">
        <v>555</v>
      </c>
      <c r="E7" s="24"/>
    </row>
    <row r="8" spans="1:5" x14ac:dyDescent="0.4">
      <c r="A8" s="20" t="s">
        <v>556</v>
      </c>
      <c r="B8" s="20" t="s">
        <v>551</v>
      </c>
      <c r="C8" s="20" t="s">
        <v>552</v>
      </c>
      <c r="D8" s="20" t="s">
        <v>557</v>
      </c>
      <c r="E8" s="24"/>
    </row>
    <row r="9" spans="1:5" x14ac:dyDescent="0.4">
      <c r="A9" s="20" t="s">
        <v>558</v>
      </c>
      <c r="B9" s="20" t="s">
        <v>551</v>
      </c>
      <c r="C9" s="20" t="s">
        <v>552</v>
      </c>
      <c r="D9" s="20" t="s">
        <v>559</v>
      </c>
      <c r="E9" s="24"/>
    </row>
    <row r="10" spans="1:5" x14ac:dyDescent="0.4">
      <c r="A10" s="20" t="s">
        <v>560</v>
      </c>
      <c r="B10" s="20" t="s">
        <v>561</v>
      </c>
      <c r="C10" s="20" t="s">
        <v>552</v>
      </c>
      <c r="D10" s="20" t="s">
        <v>553</v>
      </c>
      <c r="E10" s="24"/>
    </row>
    <row r="11" spans="1:5" x14ac:dyDescent="0.4">
      <c r="A11" s="20" t="s">
        <v>562</v>
      </c>
      <c r="B11" s="20" t="s">
        <v>561</v>
      </c>
      <c r="C11" s="20" t="s">
        <v>552</v>
      </c>
      <c r="D11" s="20" t="s">
        <v>555</v>
      </c>
      <c r="E11" s="24"/>
    </row>
    <row r="12" spans="1:5" x14ac:dyDescent="0.4">
      <c r="A12" s="20" t="s">
        <v>563</v>
      </c>
      <c r="B12" s="20" t="s">
        <v>561</v>
      </c>
      <c r="C12" s="20" t="s">
        <v>552</v>
      </c>
      <c r="D12" s="20" t="s">
        <v>557</v>
      </c>
      <c r="E12" s="24"/>
    </row>
    <row r="13" spans="1:5" x14ac:dyDescent="0.4">
      <c r="A13" s="20" t="s">
        <v>564</v>
      </c>
      <c r="B13" s="20" t="s">
        <v>561</v>
      </c>
      <c r="C13" s="20" t="s">
        <v>552</v>
      </c>
      <c r="D13" s="20" t="s">
        <v>559</v>
      </c>
      <c r="E13" s="24"/>
    </row>
    <row r="14" spans="1:5" x14ac:dyDescent="0.4">
      <c r="A14" s="20" t="s">
        <v>565</v>
      </c>
      <c r="B14" s="20" t="s">
        <v>566</v>
      </c>
      <c r="C14" s="20" t="s">
        <v>552</v>
      </c>
      <c r="D14" s="20" t="s">
        <v>553</v>
      </c>
      <c r="E14" s="24"/>
    </row>
    <row r="15" spans="1:5" x14ac:dyDescent="0.4">
      <c r="A15" s="20" t="s">
        <v>567</v>
      </c>
      <c r="B15" s="20" t="s">
        <v>566</v>
      </c>
      <c r="C15" s="20" t="s">
        <v>552</v>
      </c>
      <c r="D15" s="20" t="s">
        <v>555</v>
      </c>
      <c r="E15" s="24"/>
    </row>
    <row r="16" spans="1:5" x14ac:dyDescent="0.4">
      <c r="A16" s="20" t="s">
        <v>568</v>
      </c>
      <c r="B16" s="20" t="s">
        <v>566</v>
      </c>
      <c r="C16" s="20" t="s">
        <v>552</v>
      </c>
      <c r="D16" s="20" t="s">
        <v>557</v>
      </c>
      <c r="E16" s="24"/>
    </row>
    <row r="17" spans="1:5" x14ac:dyDescent="0.4">
      <c r="A17" s="20" t="s">
        <v>569</v>
      </c>
      <c r="B17" s="20" t="s">
        <v>566</v>
      </c>
      <c r="C17" s="20" t="s">
        <v>552</v>
      </c>
      <c r="D17" s="20" t="s">
        <v>559</v>
      </c>
      <c r="E17" s="24"/>
    </row>
    <row r="18" spans="1:5" x14ac:dyDescent="0.4">
      <c r="A18" s="20" t="s">
        <v>570</v>
      </c>
      <c r="B18" s="20" t="s">
        <v>571</v>
      </c>
      <c r="C18" s="20" t="s">
        <v>572</v>
      </c>
      <c r="D18" s="20" t="s">
        <v>573</v>
      </c>
      <c r="E18" s="24"/>
    </row>
    <row r="19" spans="1:5" x14ac:dyDescent="0.4">
      <c r="A19" s="20" t="s">
        <v>574</v>
      </c>
      <c r="B19" s="20" t="s">
        <v>571</v>
      </c>
      <c r="C19" s="20" t="s">
        <v>572</v>
      </c>
      <c r="D19" s="20" t="s">
        <v>575</v>
      </c>
      <c r="E19" s="24"/>
    </row>
    <row r="20" spans="1:5" x14ac:dyDescent="0.4">
      <c r="A20" s="20" t="s">
        <v>576</v>
      </c>
      <c r="B20" s="20" t="s">
        <v>571</v>
      </c>
      <c r="C20" s="20" t="s">
        <v>572</v>
      </c>
      <c r="D20" s="20" t="s">
        <v>577</v>
      </c>
      <c r="E20" s="24"/>
    </row>
    <row r="21" spans="1:5" x14ac:dyDescent="0.4">
      <c r="A21" s="20" t="s">
        <v>578</v>
      </c>
      <c r="B21" s="20" t="s">
        <v>571</v>
      </c>
      <c r="C21" s="20" t="s">
        <v>572</v>
      </c>
      <c r="D21" s="20" t="s">
        <v>579</v>
      </c>
      <c r="E21" s="24"/>
    </row>
    <row r="22" spans="1:5" x14ac:dyDescent="0.4">
      <c r="A22" s="20" t="s">
        <v>580</v>
      </c>
      <c r="B22" s="20" t="s">
        <v>581</v>
      </c>
      <c r="C22" s="20" t="s">
        <v>572</v>
      </c>
      <c r="D22" s="20" t="s">
        <v>573</v>
      </c>
      <c r="E22" s="24"/>
    </row>
    <row r="23" spans="1:5" x14ac:dyDescent="0.4">
      <c r="A23" s="20" t="s">
        <v>582</v>
      </c>
      <c r="B23" s="20" t="s">
        <v>581</v>
      </c>
      <c r="C23" s="20" t="s">
        <v>572</v>
      </c>
      <c r="D23" s="20" t="s">
        <v>575</v>
      </c>
      <c r="E23" s="24"/>
    </row>
    <row r="24" spans="1:5" x14ac:dyDescent="0.4">
      <c r="A24" s="20" t="s">
        <v>583</v>
      </c>
      <c r="B24" s="20" t="s">
        <v>581</v>
      </c>
      <c r="C24" s="20" t="s">
        <v>572</v>
      </c>
      <c r="D24" s="20" t="s">
        <v>577</v>
      </c>
      <c r="E24" s="24"/>
    </row>
    <row r="25" spans="1:5" x14ac:dyDescent="0.4">
      <c r="A25" s="20" t="s">
        <v>584</v>
      </c>
      <c r="B25" s="20" t="s">
        <v>581</v>
      </c>
      <c r="C25" s="20" t="s">
        <v>572</v>
      </c>
      <c r="D25" s="20" t="s">
        <v>579</v>
      </c>
      <c r="E25" s="24"/>
    </row>
    <row r="26" spans="1:5" x14ac:dyDescent="0.4">
      <c r="A26" s="20" t="s">
        <v>585</v>
      </c>
      <c r="B26" s="20" t="s">
        <v>586</v>
      </c>
      <c r="C26" s="20" t="s">
        <v>572</v>
      </c>
      <c r="D26" s="20" t="s">
        <v>573</v>
      </c>
      <c r="E26" s="24"/>
    </row>
    <row r="27" spans="1:5" x14ac:dyDescent="0.4">
      <c r="A27" s="20" t="s">
        <v>587</v>
      </c>
      <c r="B27" s="20" t="s">
        <v>586</v>
      </c>
      <c r="C27" s="20" t="s">
        <v>572</v>
      </c>
      <c r="D27" s="20" t="s">
        <v>575</v>
      </c>
      <c r="E27" s="24"/>
    </row>
    <row r="28" spans="1:5" x14ac:dyDescent="0.4">
      <c r="A28" s="20" t="s">
        <v>588</v>
      </c>
      <c r="B28" s="20" t="s">
        <v>586</v>
      </c>
      <c r="C28" s="20" t="s">
        <v>572</v>
      </c>
      <c r="D28" s="20" t="s">
        <v>577</v>
      </c>
      <c r="E28" s="24"/>
    </row>
    <row r="29" spans="1:5" x14ac:dyDescent="0.4">
      <c r="A29" s="20" t="s">
        <v>589</v>
      </c>
      <c r="B29" s="20" t="s">
        <v>586</v>
      </c>
      <c r="C29" s="20" t="s">
        <v>572</v>
      </c>
      <c r="D29" s="20" t="s">
        <v>579</v>
      </c>
      <c r="E29" s="24"/>
    </row>
    <row r="30" spans="1:5" x14ac:dyDescent="0.4">
      <c r="A30" s="20" t="s">
        <v>590</v>
      </c>
      <c r="B30" s="20" t="s">
        <v>591</v>
      </c>
      <c r="C30" s="20" t="s">
        <v>572</v>
      </c>
      <c r="D30" s="20" t="s">
        <v>535</v>
      </c>
      <c r="E30" s="24"/>
    </row>
    <row r="31" spans="1:5" x14ac:dyDescent="0.4">
      <c r="A31" s="20" t="s">
        <v>592</v>
      </c>
      <c r="B31" s="20" t="s">
        <v>593</v>
      </c>
      <c r="C31" s="20" t="s">
        <v>594</v>
      </c>
      <c r="D31" s="20" t="s">
        <v>535</v>
      </c>
      <c r="E31" s="24"/>
    </row>
    <row r="32" spans="1:5" x14ac:dyDescent="0.4">
      <c r="A32" s="20" t="s">
        <v>595</v>
      </c>
      <c r="B32" s="20" t="s">
        <v>596</v>
      </c>
      <c r="C32" s="20" t="s">
        <v>572</v>
      </c>
      <c r="D32" s="20" t="s">
        <v>597</v>
      </c>
      <c r="E32" s="24"/>
    </row>
    <row r="33" spans="1:5" x14ac:dyDescent="0.4">
      <c r="A33" s="20" t="s">
        <v>598</v>
      </c>
      <c r="B33" s="20" t="s">
        <v>596</v>
      </c>
      <c r="C33" s="20" t="s">
        <v>572</v>
      </c>
      <c r="D33" s="20" t="s">
        <v>599</v>
      </c>
      <c r="E33" s="24"/>
    </row>
    <row r="34" spans="1:5" x14ac:dyDescent="0.4">
      <c r="A34" s="20" t="s">
        <v>600</v>
      </c>
      <c r="B34" s="20" t="s">
        <v>596</v>
      </c>
      <c r="C34" s="20" t="s">
        <v>572</v>
      </c>
      <c r="D34" s="20" t="s">
        <v>601</v>
      </c>
      <c r="E34" s="24"/>
    </row>
    <row r="35" spans="1:5" x14ac:dyDescent="0.4">
      <c r="A35" s="20" t="s">
        <v>602</v>
      </c>
      <c r="B35" s="20" t="s">
        <v>596</v>
      </c>
      <c r="C35" s="20" t="s">
        <v>572</v>
      </c>
      <c r="D35" s="20" t="s">
        <v>603</v>
      </c>
      <c r="E35" s="24"/>
    </row>
    <row r="36" spans="1:5" x14ac:dyDescent="0.4">
      <c r="A36" s="20" t="s">
        <v>604</v>
      </c>
      <c r="B36" s="20" t="s">
        <v>605</v>
      </c>
      <c r="C36" s="20" t="s">
        <v>572</v>
      </c>
      <c r="D36" s="20" t="s">
        <v>597</v>
      </c>
      <c r="E36" s="24"/>
    </row>
    <row r="37" spans="1:5" x14ac:dyDescent="0.4">
      <c r="A37" s="20" t="s">
        <v>606</v>
      </c>
      <c r="B37" s="20" t="s">
        <v>605</v>
      </c>
      <c r="C37" s="20" t="s">
        <v>572</v>
      </c>
      <c r="D37" s="20" t="s">
        <v>599</v>
      </c>
      <c r="E37" s="24"/>
    </row>
    <row r="38" spans="1:5" x14ac:dyDescent="0.4">
      <c r="A38" s="20" t="s">
        <v>607</v>
      </c>
      <c r="B38" s="20" t="s">
        <v>605</v>
      </c>
      <c r="C38" s="20" t="s">
        <v>572</v>
      </c>
      <c r="D38" s="20" t="s">
        <v>601</v>
      </c>
      <c r="E38" s="24"/>
    </row>
    <row r="39" spans="1:5" x14ac:dyDescent="0.4">
      <c r="A39" s="20" t="s">
        <v>608</v>
      </c>
      <c r="B39" s="20" t="s">
        <v>605</v>
      </c>
      <c r="C39" s="20" t="s">
        <v>572</v>
      </c>
      <c r="D39" s="20" t="s">
        <v>603</v>
      </c>
      <c r="E39" s="24"/>
    </row>
    <row r="40" spans="1:5" x14ac:dyDescent="0.4">
      <c r="A40" s="20" t="s">
        <v>609</v>
      </c>
      <c r="B40" s="20" t="s">
        <v>610</v>
      </c>
      <c r="C40" s="20" t="s">
        <v>572</v>
      </c>
      <c r="D40" s="20" t="s">
        <v>597</v>
      </c>
      <c r="E40" s="24"/>
    </row>
    <row r="41" spans="1:5" x14ac:dyDescent="0.4">
      <c r="A41" s="20" t="s">
        <v>611</v>
      </c>
      <c r="B41" s="20" t="s">
        <v>610</v>
      </c>
      <c r="C41" s="20" t="s">
        <v>572</v>
      </c>
      <c r="D41" s="20" t="s">
        <v>599</v>
      </c>
      <c r="E41" s="24"/>
    </row>
    <row r="42" spans="1:5" x14ac:dyDescent="0.4">
      <c r="A42" s="20" t="s">
        <v>612</v>
      </c>
      <c r="B42" s="20" t="s">
        <v>610</v>
      </c>
      <c r="C42" s="20" t="s">
        <v>572</v>
      </c>
      <c r="D42" s="20" t="s">
        <v>601</v>
      </c>
      <c r="E42" s="24"/>
    </row>
    <row r="43" spans="1:5" x14ac:dyDescent="0.4">
      <c r="A43" s="20" t="s">
        <v>613</v>
      </c>
      <c r="B43" s="20" t="s">
        <v>610</v>
      </c>
      <c r="C43" s="20" t="s">
        <v>572</v>
      </c>
      <c r="D43" s="20" t="s">
        <v>603</v>
      </c>
      <c r="E43" s="24"/>
    </row>
    <row r="44" spans="1:5" x14ac:dyDescent="0.4">
      <c r="A44" s="20" t="s">
        <v>614</v>
      </c>
      <c r="B44" s="20" t="s">
        <v>615</v>
      </c>
      <c r="C44" s="20" t="s">
        <v>572</v>
      </c>
      <c r="D44" s="20" t="s">
        <v>597</v>
      </c>
      <c r="E44" s="24"/>
    </row>
    <row r="45" spans="1:5" x14ac:dyDescent="0.4">
      <c r="A45" s="20" t="s">
        <v>616</v>
      </c>
      <c r="B45" s="20" t="s">
        <v>615</v>
      </c>
      <c r="C45" s="20" t="s">
        <v>572</v>
      </c>
      <c r="D45" s="20" t="s">
        <v>599</v>
      </c>
      <c r="E45" s="24"/>
    </row>
    <row r="46" spans="1:5" x14ac:dyDescent="0.4">
      <c r="A46" s="20" t="s">
        <v>617</v>
      </c>
      <c r="B46" s="20" t="s">
        <v>615</v>
      </c>
      <c r="C46" s="20" t="s">
        <v>572</v>
      </c>
      <c r="D46" s="20" t="s">
        <v>601</v>
      </c>
      <c r="E46" s="24"/>
    </row>
    <row r="47" spans="1:5" x14ac:dyDescent="0.4">
      <c r="A47" s="20" t="s">
        <v>618</v>
      </c>
      <c r="B47" s="20" t="s">
        <v>615</v>
      </c>
      <c r="C47" s="20" t="s">
        <v>572</v>
      </c>
      <c r="D47" s="20" t="s">
        <v>603</v>
      </c>
      <c r="E47" s="24"/>
    </row>
    <row r="48" spans="1:5" x14ac:dyDescent="0.4">
      <c r="A48" s="20" t="s">
        <v>619</v>
      </c>
      <c r="B48" s="20" t="s">
        <v>620</v>
      </c>
      <c r="C48" s="20" t="s">
        <v>572</v>
      </c>
      <c r="D48" s="20" t="s">
        <v>597</v>
      </c>
      <c r="E48" s="24"/>
    </row>
    <row r="49" spans="1:5" x14ac:dyDescent="0.4">
      <c r="A49" s="20" t="s">
        <v>621</v>
      </c>
      <c r="B49" s="20" t="s">
        <v>620</v>
      </c>
      <c r="C49" s="20" t="s">
        <v>572</v>
      </c>
      <c r="D49" s="20" t="s">
        <v>599</v>
      </c>
      <c r="E49" s="24"/>
    </row>
    <row r="50" spans="1:5" x14ac:dyDescent="0.4">
      <c r="A50" s="20" t="s">
        <v>622</v>
      </c>
      <c r="B50" s="20" t="s">
        <v>620</v>
      </c>
      <c r="C50" s="20" t="s">
        <v>572</v>
      </c>
      <c r="D50" s="20" t="s">
        <v>601</v>
      </c>
      <c r="E50" s="24"/>
    </row>
    <row r="51" spans="1:5" x14ac:dyDescent="0.4">
      <c r="A51" s="20" t="s">
        <v>623</v>
      </c>
      <c r="B51" s="20" t="s">
        <v>620</v>
      </c>
      <c r="C51" s="20" t="s">
        <v>572</v>
      </c>
      <c r="D51" s="20" t="s">
        <v>603</v>
      </c>
      <c r="E51" s="24"/>
    </row>
    <row r="52" spans="1:5" x14ac:dyDescent="0.4">
      <c r="A52" s="20" t="s">
        <v>624</v>
      </c>
      <c r="B52" s="20" t="s">
        <v>625</v>
      </c>
      <c r="C52" s="20" t="s">
        <v>572</v>
      </c>
      <c r="D52" s="20" t="s">
        <v>597</v>
      </c>
      <c r="E52" s="24"/>
    </row>
    <row r="53" spans="1:5" x14ac:dyDescent="0.4">
      <c r="A53" s="20" t="s">
        <v>626</v>
      </c>
      <c r="B53" s="20" t="s">
        <v>625</v>
      </c>
      <c r="C53" s="20" t="s">
        <v>572</v>
      </c>
      <c r="D53" s="20" t="s">
        <v>599</v>
      </c>
      <c r="E53" s="24"/>
    </row>
    <row r="54" spans="1:5" x14ac:dyDescent="0.4">
      <c r="A54" s="20" t="s">
        <v>627</v>
      </c>
      <c r="B54" s="20" t="s">
        <v>625</v>
      </c>
      <c r="C54" s="20" t="s">
        <v>572</v>
      </c>
      <c r="D54" s="20" t="s">
        <v>601</v>
      </c>
      <c r="E54" s="24"/>
    </row>
    <row r="55" spans="1:5" x14ac:dyDescent="0.4">
      <c r="A55" s="20" t="s">
        <v>628</v>
      </c>
      <c r="B55" s="20" t="s">
        <v>625</v>
      </c>
      <c r="C55" s="20" t="s">
        <v>572</v>
      </c>
      <c r="D55" s="20" t="s">
        <v>603</v>
      </c>
      <c r="E55" s="24"/>
    </row>
    <row r="56" spans="1:5" x14ac:dyDescent="0.4">
      <c r="A56" s="20" t="s">
        <v>629</v>
      </c>
      <c r="B56" s="20" t="s">
        <v>630</v>
      </c>
      <c r="C56" s="20" t="s">
        <v>572</v>
      </c>
      <c r="D56" s="20" t="s">
        <v>597</v>
      </c>
      <c r="E56" s="24"/>
    </row>
    <row r="57" spans="1:5" x14ac:dyDescent="0.4">
      <c r="A57" s="20" t="s">
        <v>631</v>
      </c>
      <c r="B57" s="20" t="s">
        <v>630</v>
      </c>
      <c r="C57" s="20" t="s">
        <v>572</v>
      </c>
      <c r="D57" s="20" t="s">
        <v>599</v>
      </c>
      <c r="E57" s="24"/>
    </row>
    <row r="58" spans="1:5" x14ac:dyDescent="0.4">
      <c r="A58" s="20" t="s">
        <v>632</v>
      </c>
      <c r="B58" s="20" t="s">
        <v>630</v>
      </c>
      <c r="C58" s="20" t="s">
        <v>572</v>
      </c>
      <c r="D58" s="20" t="s">
        <v>601</v>
      </c>
      <c r="E58" s="24"/>
    </row>
    <row r="59" spans="1:5" x14ac:dyDescent="0.4">
      <c r="A59" s="20" t="s">
        <v>633</v>
      </c>
      <c r="B59" s="20" t="s">
        <v>630</v>
      </c>
      <c r="C59" s="20" t="s">
        <v>572</v>
      </c>
      <c r="D59" s="20" t="s">
        <v>603</v>
      </c>
      <c r="E59" s="24"/>
    </row>
    <row r="60" spans="1:5" x14ac:dyDescent="0.4">
      <c r="A60" s="20" t="s">
        <v>634</v>
      </c>
      <c r="B60" s="20" t="s">
        <v>635</v>
      </c>
      <c r="C60" s="20" t="s">
        <v>572</v>
      </c>
      <c r="D60" s="20" t="s">
        <v>597</v>
      </c>
      <c r="E60" s="24"/>
    </row>
    <row r="61" spans="1:5" x14ac:dyDescent="0.4">
      <c r="A61" s="20" t="s">
        <v>636</v>
      </c>
      <c r="B61" s="20" t="s">
        <v>635</v>
      </c>
      <c r="C61" s="20" t="s">
        <v>572</v>
      </c>
      <c r="D61" s="20" t="s">
        <v>599</v>
      </c>
      <c r="E61" s="24"/>
    </row>
    <row r="62" spans="1:5" x14ac:dyDescent="0.4">
      <c r="A62" s="20" t="s">
        <v>637</v>
      </c>
      <c r="B62" s="20" t="s">
        <v>635</v>
      </c>
      <c r="C62" s="20" t="s">
        <v>572</v>
      </c>
      <c r="D62" s="20" t="s">
        <v>601</v>
      </c>
      <c r="E62" s="24"/>
    </row>
    <row r="63" spans="1:5" x14ac:dyDescent="0.4">
      <c r="A63" s="20" t="s">
        <v>638</v>
      </c>
      <c r="B63" s="20" t="s">
        <v>635</v>
      </c>
      <c r="C63" s="20" t="s">
        <v>572</v>
      </c>
      <c r="D63" s="20" t="s">
        <v>603</v>
      </c>
      <c r="E63" s="24"/>
    </row>
    <row r="64" spans="1:5" x14ac:dyDescent="0.4">
      <c r="A64" s="20" t="s">
        <v>639</v>
      </c>
      <c r="B64" s="20" t="s">
        <v>640</v>
      </c>
      <c r="C64" s="20" t="s">
        <v>572</v>
      </c>
      <c r="D64" s="20" t="s">
        <v>597</v>
      </c>
      <c r="E64" s="24"/>
    </row>
    <row r="65" spans="1:5" x14ac:dyDescent="0.4">
      <c r="A65" s="20" t="s">
        <v>641</v>
      </c>
      <c r="B65" s="20" t="s">
        <v>640</v>
      </c>
      <c r="C65" s="20" t="s">
        <v>572</v>
      </c>
      <c r="D65" s="20" t="s">
        <v>599</v>
      </c>
      <c r="E65" s="24"/>
    </row>
    <row r="66" spans="1:5" x14ac:dyDescent="0.4">
      <c r="A66" s="20" t="s">
        <v>642</v>
      </c>
      <c r="B66" s="20" t="s">
        <v>640</v>
      </c>
      <c r="C66" s="20" t="s">
        <v>572</v>
      </c>
      <c r="D66" s="20" t="s">
        <v>601</v>
      </c>
      <c r="E66" s="24"/>
    </row>
    <row r="67" spans="1:5" x14ac:dyDescent="0.4">
      <c r="A67" s="20" t="s">
        <v>643</v>
      </c>
      <c r="B67" s="20" t="s">
        <v>640</v>
      </c>
      <c r="C67" s="20" t="s">
        <v>572</v>
      </c>
      <c r="D67" s="20" t="s">
        <v>603</v>
      </c>
      <c r="E67" s="24"/>
    </row>
    <row r="68" spans="1:5" x14ac:dyDescent="0.4">
      <c r="A68" s="20" t="s">
        <v>644</v>
      </c>
      <c r="B68" s="20" t="s">
        <v>645</v>
      </c>
      <c r="C68" s="20" t="s">
        <v>572</v>
      </c>
      <c r="D68" s="20" t="s">
        <v>597</v>
      </c>
      <c r="E68" s="24"/>
    </row>
    <row r="69" spans="1:5" x14ac:dyDescent="0.4">
      <c r="A69" s="20" t="s">
        <v>646</v>
      </c>
      <c r="B69" s="20" t="s">
        <v>645</v>
      </c>
      <c r="C69" s="20" t="s">
        <v>572</v>
      </c>
      <c r="D69" s="20" t="s">
        <v>599</v>
      </c>
      <c r="E69" s="24"/>
    </row>
    <row r="70" spans="1:5" x14ac:dyDescent="0.4">
      <c r="A70" s="20" t="s">
        <v>647</v>
      </c>
      <c r="B70" s="20" t="s">
        <v>645</v>
      </c>
      <c r="C70" s="20" t="s">
        <v>572</v>
      </c>
      <c r="D70" s="20" t="s">
        <v>601</v>
      </c>
      <c r="E70" s="24"/>
    </row>
    <row r="71" spans="1:5" x14ac:dyDescent="0.4">
      <c r="A71" s="20" t="s">
        <v>648</v>
      </c>
      <c r="B71" s="20" t="s">
        <v>645</v>
      </c>
      <c r="C71" s="20" t="s">
        <v>572</v>
      </c>
      <c r="D71" s="20" t="s">
        <v>603</v>
      </c>
      <c r="E71" s="24"/>
    </row>
    <row r="72" spans="1:5" x14ac:dyDescent="0.4">
      <c r="A72" s="20" t="s">
        <v>649</v>
      </c>
      <c r="B72" s="20" t="s">
        <v>650</v>
      </c>
      <c r="C72" s="20" t="s">
        <v>572</v>
      </c>
      <c r="D72" s="20" t="s">
        <v>597</v>
      </c>
      <c r="E72" s="24"/>
    </row>
    <row r="73" spans="1:5" x14ac:dyDescent="0.4">
      <c r="A73" s="20" t="s">
        <v>651</v>
      </c>
      <c r="B73" s="20" t="s">
        <v>650</v>
      </c>
      <c r="C73" s="20" t="s">
        <v>572</v>
      </c>
      <c r="D73" s="20" t="s">
        <v>599</v>
      </c>
      <c r="E73" s="24"/>
    </row>
    <row r="74" spans="1:5" x14ac:dyDescent="0.4">
      <c r="A74" s="20" t="s">
        <v>652</v>
      </c>
      <c r="B74" s="20" t="s">
        <v>650</v>
      </c>
      <c r="C74" s="20" t="s">
        <v>572</v>
      </c>
      <c r="D74" s="20" t="s">
        <v>601</v>
      </c>
      <c r="E74" s="24"/>
    </row>
    <row r="75" spans="1:5" x14ac:dyDescent="0.4">
      <c r="A75" s="25" t="s">
        <v>653</v>
      </c>
      <c r="B75" s="25" t="s">
        <v>650</v>
      </c>
      <c r="C75" s="25" t="s">
        <v>572</v>
      </c>
      <c r="D75" s="25" t="s">
        <v>603</v>
      </c>
      <c r="E75" s="29"/>
    </row>
    <row r="76" spans="1:5" x14ac:dyDescent="0.4">
      <c r="A76" s="43" t="s">
        <v>189</v>
      </c>
      <c r="B76" s="44"/>
      <c r="C76" s="44"/>
      <c r="D76" s="44"/>
      <c r="E76" s="104"/>
    </row>
    <row r="78" spans="1:5" x14ac:dyDescent="0.4">
      <c r="A78" s="43" t="s">
        <v>654</v>
      </c>
      <c r="B78" s="44"/>
      <c r="C78" s="44"/>
      <c r="D78" s="44"/>
      <c r="E78" s="104"/>
    </row>
  </sheetData>
  <pageMargins left="0.7" right="0.7" top="0.75" bottom="0.75" header="0.3" footer="0.3"/>
  <pageSetup paperSize="9" scale="65" orientation="landscape" r:id="rId1"/>
  <headerFooter>
    <oddFooter>&amp;LOns Middelbaar Onderwijs                                    
CONCEPT PER 01-09-2023&amp;ROpmaakdatum: 14-11-2022
Intexso - De Start 5 -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8" ma:contentTypeDescription="Een nieuw document maken." ma:contentTypeScope="" ma:versionID="b4a71e7f67f87a48ec47061d979d1dd5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74f30dade4881ee98ee68f1bbac9a54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2229ee27-d777-417d-abe4-2dc6b9d333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4508b0b9-c779-417b-b6f0-2fe57f6cd8b3}" ma:internalName="TaxCatchAll" ma:showField="CatchAllData" ma:web="d53c3cd5-66ae-4a6a-a38f-0a937aa2f0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d0541b-cb2b-4235-b290-540da7b5c814">
      <Terms xmlns="http://schemas.microsoft.com/office/infopath/2007/PartnerControls"/>
    </lcf76f155ced4ddcb4097134ff3c332f>
    <TaxCatchAll xmlns="d53c3cd5-66ae-4a6a-a38f-0a937aa2f05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1AA0E86-35A6-4D78-8FFD-ED238822AF91}"/>
</file>

<file path=customXml/itemProps2.xml><?xml version="1.0" encoding="utf-8"?>
<ds:datastoreItem xmlns:ds="http://schemas.openxmlformats.org/officeDocument/2006/customXml" ds:itemID="{EF46F822-F0D5-4964-B90E-162D1EB7A40C}"/>
</file>

<file path=customXml/itemProps3.xml><?xml version="1.0" encoding="utf-8"?>
<ds:datastoreItem xmlns:ds="http://schemas.openxmlformats.org/officeDocument/2006/customXml" ds:itemID="{FCBAD489-F55A-45F5-BFFD-CCA691675F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346</vt:i4>
      </vt:variant>
    </vt:vector>
  </HeadingPairs>
  <TitlesOfParts>
    <vt:vector size="357" baseType="lpstr"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Afroep incidenteel</vt:lpstr>
      <vt:lpstr>Regiewerk</vt:lpstr>
      <vt:lpstr>Totaal</vt:lpstr>
      <vt:lpstr>'Afroep incidenteel'!Afdruktitels</vt:lpstr>
      <vt:lpstr>Categorienormen!Afdruktitels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catdw_1_BKHB_1</vt:lpstr>
      <vt:lpstr>catdw_1_BKHV_43</vt:lpstr>
      <vt:lpstr>catdw_1_BKZB_1</vt:lpstr>
      <vt:lpstr>catdw_1_BKZV_43</vt:lpstr>
      <vt:lpstr>catdw_1_GFHB_1</vt:lpstr>
      <vt:lpstr>catdw_1_GFHV_43</vt:lpstr>
      <vt:lpstr>catdw_1_GSHB_1</vt:lpstr>
      <vt:lpstr>catdw_1_GSHV_43</vt:lpstr>
      <vt:lpstr>catdw_1_KAHB_1</vt:lpstr>
      <vt:lpstr>catdw_1_KAHV_43</vt:lpstr>
      <vt:lpstr>catdw_1_KDHB_1</vt:lpstr>
      <vt:lpstr>catdw_1_KDHV_43</vt:lpstr>
      <vt:lpstr>catdw_1_KKHB_1</vt:lpstr>
      <vt:lpstr>catdw_1_KKHV_43</vt:lpstr>
      <vt:lpstr>catdw_1_LAHB_1</vt:lpstr>
      <vt:lpstr>catdw_1_LAHV_43</vt:lpstr>
      <vt:lpstr>catdw_1_LLHB_1</vt:lpstr>
      <vt:lpstr>catdw_1_LLHV_43</vt:lpstr>
      <vt:lpstr>catdw_1_LLZB_1</vt:lpstr>
      <vt:lpstr>catdw_1_LLZV_43</vt:lpstr>
      <vt:lpstr>catdw_1_LOHB_1</vt:lpstr>
      <vt:lpstr>catdw_1_LOHV_43</vt:lpstr>
      <vt:lpstr>catdw_1_OAHB_1</vt:lpstr>
      <vt:lpstr>catdw_1_OAHV_12</vt:lpstr>
      <vt:lpstr>catdw_1_PAHB_1</vt:lpstr>
      <vt:lpstr>catdw_1_PAHV_43</vt:lpstr>
      <vt:lpstr>catdw_1_PLHB_1</vt:lpstr>
      <vt:lpstr>catdw_1_PLHV_43</vt:lpstr>
      <vt:lpstr>catdw_1_PSHB_1</vt:lpstr>
      <vt:lpstr>catdw_1_PSHV_43</vt:lpstr>
      <vt:lpstr>catdw_1_SDHB_1</vt:lpstr>
      <vt:lpstr>catdw_1_SDHV_43</vt:lpstr>
      <vt:lpstr>catdw_1_SKHB_1</vt:lpstr>
      <vt:lpstr>catdw_1_SKHV_43</vt:lpstr>
      <vt:lpstr>catdw_1_STHB_1</vt:lpstr>
      <vt:lpstr>catdw_1_STHV_43</vt:lpstr>
      <vt:lpstr>catdw_1_VAHB_1</vt:lpstr>
      <vt:lpstr>catdw_1_VAHV_12</vt:lpstr>
      <vt:lpstr>catdw_1_VAHV_43</vt:lpstr>
      <vt:lpstr>catdw_1_VEHB_1</vt:lpstr>
      <vt:lpstr>catdw_1_VEHV_43</vt:lpstr>
      <vt:lpstr>catdw_1_VEZB_1</vt:lpstr>
      <vt:lpstr>catdw_1_VEZV_43</vt:lpstr>
      <vt:lpstr>catdw_1_VOHB_1</vt:lpstr>
      <vt:lpstr>catdw_1_VOHV_43</vt:lpstr>
      <vt:lpstr>catdw_1_VTHB_1</vt:lpstr>
      <vt:lpstr>catdw_1_VTHV_43</vt:lpstr>
      <vt:lpstr>catfd_1_BKHB_1</vt:lpstr>
      <vt:lpstr>catfd_1_BKHV_43</vt:lpstr>
      <vt:lpstr>catfd_1_BKZB_1</vt:lpstr>
      <vt:lpstr>catfd_1_BKZV_43</vt:lpstr>
      <vt:lpstr>catfd_1_GFHB_1</vt:lpstr>
      <vt:lpstr>catfd_1_GFHV_43</vt:lpstr>
      <vt:lpstr>catfd_1_GSHB_1</vt:lpstr>
      <vt:lpstr>catfd_1_GSHV_43</vt:lpstr>
      <vt:lpstr>catfd_1_KAHB_1</vt:lpstr>
      <vt:lpstr>catfd_1_KAHV_43</vt:lpstr>
      <vt:lpstr>catfd_1_KDHB_1</vt:lpstr>
      <vt:lpstr>catfd_1_KDHV_43</vt:lpstr>
      <vt:lpstr>catfd_1_KKHB_1</vt:lpstr>
      <vt:lpstr>catfd_1_KKHV_43</vt:lpstr>
      <vt:lpstr>catfd_1_LAHB_1</vt:lpstr>
      <vt:lpstr>catfd_1_LAHV_43</vt:lpstr>
      <vt:lpstr>catfd_1_LLHB_1</vt:lpstr>
      <vt:lpstr>catfd_1_LLHV_43</vt:lpstr>
      <vt:lpstr>catfd_1_LLZB_1</vt:lpstr>
      <vt:lpstr>catfd_1_LLZV_43</vt:lpstr>
      <vt:lpstr>catfd_1_LOHB_1</vt:lpstr>
      <vt:lpstr>catfd_1_LOHV_43</vt:lpstr>
      <vt:lpstr>catfd_1_OAHB_1</vt:lpstr>
      <vt:lpstr>catfd_1_OAHV_12</vt:lpstr>
      <vt:lpstr>catfd_1_PAHB_1</vt:lpstr>
      <vt:lpstr>catfd_1_PAHV_43</vt:lpstr>
      <vt:lpstr>catfd_1_PLHB_1</vt:lpstr>
      <vt:lpstr>catfd_1_PLHV_43</vt:lpstr>
      <vt:lpstr>catfd_1_PSHB_1</vt:lpstr>
      <vt:lpstr>catfd_1_PSHV_43</vt:lpstr>
      <vt:lpstr>catfd_1_SDHB_1</vt:lpstr>
      <vt:lpstr>catfd_1_SDHV_43</vt:lpstr>
      <vt:lpstr>catfd_1_SKHB_1</vt:lpstr>
      <vt:lpstr>catfd_1_SKHV_43</vt:lpstr>
      <vt:lpstr>catfd_1_STHB_1</vt:lpstr>
      <vt:lpstr>catfd_1_STHV_43</vt:lpstr>
      <vt:lpstr>catfd_1_VAHB_1</vt:lpstr>
      <vt:lpstr>catfd_1_VAHV_12</vt:lpstr>
      <vt:lpstr>catfd_1_VAHV_43</vt:lpstr>
      <vt:lpstr>catfd_1_VEHB_1</vt:lpstr>
      <vt:lpstr>catfd_1_VEHV_43</vt:lpstr>
      <vt:lpstr>catfd_1_VEZB_1</vt:lpstr>
      <vt:lpstr>catfd_1_VEZV_43</vt:lpstr>
      <vt:lpstr>catfd_1_VOHB_1</vt:lpstr>
      <vt:lpstr>catfd_1_VOHV_43</vt:lpstr>
      <vt:lpstr>catfd_1_VTHB_1</vt:lpstr>
      <vt:lpstr>catfd_1_VTHV_43</vt:lpstr>
      <vt:lpstr>catpn_1_BKHB_1</vt:lpstr>
      <vt:lpstr>catpn_1_BKHV_43</vt:lpstr>
      <vt:lpstr>catpn_1_BKZB_1</vt:lpstr>
      <vt:lpstr>catpn_1_BKZV_43</vt:lpstr>
      <vt:lpstr>catpn_1_GFHB_1</vt:lpstr>
      <vt:lpstr>catpn_1_GFHV_43</vt:lpstr>
      <vt:lpstr>catpn_1_GSHB_1</vt:lpstr>
      <vt:lpstr>catpn_1_GSHV_43</vt:lpstr>
      <vt:lpstr>catpn_1_KAHB_1</vt:lpstr>
      <vt:lpstr>catpn_1_KAHV_43</vt:lpstr>
      <vt:lpstr>catpn_1_KDHB_1</vt:lpstr>
      <vt:lpstr>catpn_1_KDHV_43</vt:lpstr>
      <vt:lpstr>catpn_1_KKHB_1</vt:lpstr>
      <vt:lpstr>catpn_1_KKHV_43</vt:lpstr>
      <vt:lpstr>catpn_1_LAHB_1</vt:lpstr>
      <vt:lpstr>catpn_1_LAHV_43</vt:lpstr>
      <vt:lpstr>catpn_1_LLHB_1</vt:lpstr>
      <vt:lpstr>catpn_1_LLHV_43</vt:lpstr>
      <vt:lpstr>catpn_1_LLZB_1</vt:lpstr>
      <vt:lpstr>catpn_1_LLZV_43</vt:lpstr>
      <vt:lpstr>catpn_1_LOHB_1</vt:lpstr>
      <vt:lpstr>catpn_1_LOHV_43</vt:lpstr>
      <vt:lpstr>catpn_1_OAHB_1</vt:lpstr>
      <vt:lpstr>catpn_1_OAHV_12</vt:lpstr>
      <vt:lpstr>catpn_1_PAHB_1</vt:lpstr>
      <vt:lpstr>catpn_1_PAHV_43</vt:lpstr>
      <vt:lpstr>catpn_1_PLHB_1</vt:lpstr>
      <vt:lpstr>catpn_1_PLHV_43</vt:lpstr>
      <vt:lpstr>catpn_1_PSHB_1</vt:lpstr>
      <vt:lpstr>catpn_1_PSHV_43</vt:lpstr>
      <vt:lpstr>catpn_1_SDHB_1</vt:lpstr>
      <vt:lpstr>catpn_1_SDHV_43</vt:lpstr>
      <vt:lpstr>catpn_1_SKHB_1</vt:lpstr>
      <vt:lpstr>catpn_1_SKHV_43</vt:lpstr>
      <vt:lpstr>catpn_1_STHB_1</vt:lpstr>
      <vt:lpstr>catpn_1_STHV_43</vt:lpstr>
      <vt:lpstr>catpn_1_VAHB_1</vt:lpstr>
      <vt:lpstr>catpn_1_VAHV_12</vt:lpstr>
      <vt:lpstr>catpn_1_VAHV_43</vt:lpstr>
      <vt:lpstr>catpn_1_VEHB_1</vt:lpstr>
      <vt:lpstr>catpn_1_VEHV_43</vt:lpstr>
      <vt:lpstr>catpn_1_VEZB_1</vt:lpstr>
      <vt:lpstr>catpn_1_VEZV_43</vt:lpstr>
      <vt:lpstr>catpn_1_VOHB_1</vt:lpstr>
      <vt:lpstr>catpn_1_VOHV_43</vt:lpstr>
      <vt:lpstr>catpn_1_VTHB_1</vt:lpstr>
      <vt:lpstr>catpn_1_VTHV_43</vt:lpstr>
      <vt:lpstr>cattf_1_BKHB_1</vt:lpstr>
      <vt:lpstr>cattf_1_BKHV_43</vt:lpstr>
      <vt:lpstr>cattf_1_BKZB_1</vt:lpstr>
      <vt:lpstr>cattf_1_BKZV_43</vt:lpstr>
      <vt:lpstr>cattf_1_GFHB_1</vt:lpstr>
      <vt:lpstr>cattf_1_GFHV_43</vt:lpstr>
      <vt:lpstr>cattf_1_GSHB_1</vt:lpstr>
      <vt:lpstr>cattf_1_GSHV_43</vt:lpstr>
      <vt:lpstr>cattf_1_KAHB_1</vt:lpstr>
      <vt:lpstr>cattf_1_KAHV_43</vt:lpstr>
      <vt:lpstr>cattf_1_KDHB_1</vt:lpstr>
      <vt:lpstr>cattf_1_KDHV_43</vt:lpstr>
      <vt:lpstr>cattf_1_KKHB_1</vt:lpstr>
      <vt:lpstr>cattf_1_KKHV_43</vt:lpstr>
      <vt:lpstr>cattf_1_LAHB_1</vt:lpstr>
      <vt:lpstr>cattf_1_LAHV_43</vt:lpstr>
      <vt:lpstr>cattf_1_LLHB_1</vt:lpstr>
      <vt:lpstr>cattf_1_LLHV_43</vt:lpstr>
      <vt:lpstr>cattf_1_LLZB_1</vt:lpstr>
      <vt:lpstr>cattf_1_LLZV_43</vt:lpstr>
      <vt:lpstr>cattf_1_LOHB_1</vt:lpstr>
      <vt:lpstr>cattf_1_LOHV_43</vt:lpstr>
      <vt:lpstr>cattf_1_OAHB_1</vt:lpstr>
      <vt:lpstr>cattf_1_OAHV_12</vt:lpstr>
      <vt:lpstr>cattf_1_PAHB_1</vt:lpstr>
      <vt:lpstr>cattf_1_PAHV_43</vt:lpstr>
      <vt:lpstr>cattf_1_PLHB_1</vt:lpstr>
      <vt:lpstr>cattf_1_PLHV_43</vt:lpstr>
      <vt:lpstr>cattf_1_PSHB_1</vt:lpstr>
      <vt:lpstr>cattf_1_PSHV_43</vt:lpstr>
      <vt:lpstr>cattf_1_SDHB_1</vt:lpstr>
      <vt:lpstr>cattf_1_SDHV_43</vt:lpstr>
      <vt:lpstr>cattf_1_SKHB_1</vt:lpstr>
      <vt:lpstr>cattf_1_SKHV_43</vt:lpstr>
      <vt:lpstr>cattf_1_STHB_1</vt:lpstr>
      <vt:lpstr>cattf_1_STHV_43</vt:lpstr>
      <vt:lpstr>cattf_1_VAHB_1</vt:lpstr>
      <vt:lpstr>cattf_1_VAHV_12</vt:lpstr>
      <vt:lpstr>cattf_1_VAHV_43</vt:lpstr>
      <vt:lpstr>cattf_1_VEHB_1</vt:lpstr>
      <vt:lpstr>cattf_1_VEHV_43</vt:lpstr>
      <vt:lpstr>cattf_1_VEZB_1</vt:lpstr>
      <vt:lpstr>cattf_1_VEZV_43</vt:lpstr>
      <vt:lpstr>cattf_1_VOHB_1</vt:lpstr>
      <vt:lpstr>cattf_1_VOHV_43</vt:lpstr>
      <vt:lpstr>cattf_1_VTHB_1</vt:lpstr>
      <vt:lpstr>cattf_1_VTHV_43</vt:lpstr>
      <vt:lpstr>dagenperjaar1</vt:lpstr>
      <vt:lpstr>dagenperjaar2</vt:lpstr>
      <vt:lpstr>dagenperjaar3</vt:lpstr>
      <vt:lpstr>dagenperjaar4</vt:lpstr>
      <vt:lpstr>dagenperweek1</vt:lpstr>
      <vt:lpstr>dagenperweek2</vt:lpstr>
      <vt:lpstr>dagenperweek3</vt:lpstr>
      <vt:lpstr>dagenperweek4</vt:lpstr>
      <vt:lpstr>dagsoorttabel1</vt:lpstr>
      <vt:lpstr>dagsoorttabel2</vt:lpstr>
      <vt:lpstr>dagsoorttabel3</vt:lpstr>
      <vt:lpstr>dagsoorttabel4</vt:lpstr>
      <vt:lpstr>dagwerk1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</vt:lpstr>
      <vt:lpstr>dagwerk30</vt:lpstr>
      <vt:lpstr>dagwerk4</vt:lpstr>
      <vt:lpstr>dagwerk5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objectprijs1_1</vt:lpstr>
      <vt:lpstr>objecturen1_1</vt:lpstr>
      <vt:lpstr>objecturenhf1_1</vt:lpstr>
      <vt:lpstr>prijsdag1</vt:lpstr>
      <vt:lpstr>prijsjaar</vt:lpstr>
      <vt:lpstr>prijsjaar1</vt:lpstr>
      <vt:lpstr>prijsjaarnietmeewerkend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tzpmt1</vt:lpstr>
      <vt:lpstr>tzpmt1_1</vt:lpstr>
      <vt:lpstr>tzujt1</vt:lpstr>
      <vt:lpstr>tzujt1_1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uurtarief4</vt:lpstr>
      <vt:lpstr>uurtarief5</vt:lpstr>
      <vt:lpstr>uurtarief6</vt:lpstr>
      <vt:lpstr>uurtarief7</vt:lpstr>
      <vt:lpstr>uurtarief8</vt:lpstr>
      <vt:lpstr>uurtarief9</vt:lpstr>
      <vt:lpstr>vp_leiding</vt:lpstr>
      <vt:lpstr>vp_regie</vt:lpstr>
      <vt:lpstr>vp_regulier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Boomsma</dc:creator>
  <cp:lastModifiedBy>Eric Boomsma</cp:lastModifiedBy>
  <dcterms:created xsi:type="dcterms:W3CDTF">2022-11-14T13:01:49Z</dcterms:created>
  <dcterms:modified xsi:type="dcterms:W3CDTF">2022-11-14T13:04:48Z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0x0101001B5C35F16EF4C54B96803324A85FA369</vt:lpwstr>
  </property>
</Properties>
</file>