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jn documenten\L&amp;C Consult\Regio Gooi en Vechtstreek\"/>
    </mc:Choice>
  </mc:AlternateContent>
  <xr:revisionPtr revIDLastSave="0" documentId="8_{BEEEDB1A-2040-42B1-9F4D-8AC83972C89D}" xr6:coauthVersionLast="47" xr6:coauthVersionMax="47" xr10:uidLastSave="{00000000-0000-0000-0000-000000000000}"/>
  <bookViews>
    <workbookView xWindow="705" yWindow="2445" windowWidth="21600" windowHeight="11385" tabRatio="601" firstSheet="7" activeTab="7" xr2:uid="{00000000-000D-0000-FFFF-FFFF00000000}"/>
  </bookViews>
  <sheets>
    <sheet name="C1" sheetId="32" r:id="rId1"/>
    <sheet name="C2" sheetId="33" r:id="rId2"/>
    <sheet name="C3" sheetId="34" r:id="rId3"/>
    <sheet name="C4" sheetId="35" r:id="rId4"/>
    <sheet name="C5" sheetId="36" r:id="rId5"/>
    <sheet name="C6a" sheetId="37" r:id="rId6"/>
    <sheet name="C6b" sheetId="38" r:id="rId7"/>
    <sheet name="C7" sheetId="39" r:id="rId8"/>
    <sheet name="C8" sheetId="40" r:id="rId9"/>
    <sheet name="C9" sheetId="41" r:id="rId10"/>
    <sheet name="C10" sheetId="42" r:id="rId11"/>
    <sheet name="C11" sheetId="43" r:id="rId12"/>
    <sheet name="C12" sheetId="44" r:id="rId13"/>
    <sheet name="C13" sheetId="45" r:id="rId14"/>
    <sheet name="C14" sheetId="46" r:id="rId15"/>
    <sheet name="C15" sheetId="47" r:id="rId16"/>
    <sheet name="C16" sheetId="48" r:id="rId17"/>
    <sheet name="C17" sheetId="49" r:id="rId18"/>
    <sheet name="C18" sheetId="50" r:id="rId19"/>
    <sheet name="C19" sheetId="51" r:id="rId20"/>
    <sheet name="C20" sheetId="52" r:id="rId21"/>
    <sheet name="C21" sheetId="53" r:id="rId22"/>
    <sheet name="C22" sheetId="54" r:id="rId23"/>
    <sheet name="C23" sheetId="55" r:id="rId24"/>
  </sheets>
  <calcPr calcId="181029"/>
</workbook>
</file>

<file path=xl/calcChain.xml><?xml version="1.0" encoding="utf-8"?>
<calcChain xmlns="http://schemas.openxmlformats.org/spreadsheetml/2006/main">
  <c r="J11" i="55" l="1"/>
  <c r="L11" i="55" s="1"/>
  <c r="J10" i="55"/>
  <c r="J8" i="55"/>
  <c r="H10" i="55"/>
  <c r="H9" i="55"/>
  <c r="G9" i="55"/>
  <c r="C9" i="55"/>
  <c r="H7" i="55"/>
  <c r="F7" i="55"/>
  <c r="E7" i="55"/>
  <c r="C7" i="55"/>
  <c r="E6" i="55"/>
  <c r="C6" i="55"/>
  <c r="F6" i="55" s="1"/>
  <c r="L13" i="54"/>
  <c r="J13" i="54"/>
  <c r="J12" i="54"/>
  <c r="J9" i="54"/>
  <c r="H11" i="54"/>
  <c r="G11" i="54"/>
  <c r="C11" i="54"/>
  <c r="H10" i="54"/>
  <c r="H12" i="54" s="1"/>
  <c r="G10" i="54"/>
  <c r="C10" i="54"/>
  <c r="F8" i="54"/>
  <c r="H8" i="54" s="1"/>
  <c r="E8" i="54"/>
  <c r="C8" i="54"/>
  <c r="E7" i="54"/>
  <c r="C7" i="54"/>
  <c r="F7" i="54" s="1"/>
  <c r="H7" i="54" s="1"/>
  <c r="F6" i="54"/>
  <c r="H6" i="54" s="1"/>
  <c r="H9" i="54" s="1"/>
  <c r="H13" i="54" s="1"/>
  <c r="E6" i="54"/>
  <c r="C6" i="54"/>
  <c r="J22" i="53"/>
  <c r="J23" i="53"/>
  <c r="L23" i="53"/>
  <c r="J17" i="53"/>
  <c r="G21" i="53"/>
  <c r="C21" i="53"/>
  <c r="H21" i="53" s="1"/>
  <c r="H20" i="53"/>
  <c r="G20" i="53"/>
  <c r="C20" i="53"/>
  <c r="G19" i="53"/>
  <c r="C19" i="53"/>
  <c r="H19" i="53" s="1"/>
  <c r="H18" i="53"/>
  <c r="H22" i="53" s="1"/>
  <c r="G18" i="53"/>
  <c r="C18" i="53"/>
  <c r="F16" i="53"/>
  <c r="H16" i="53" s="1"/>
  <c r="E16" i="53"/>
  <c r="C16" i="53"/>
  <c r="E15" i="53"/>
  <c r="C15" i="53"/>
  <c r="F15" i="53" s="1"/>
  <c r="H15" i="53" s="1"/>
  <c r="E14" i="53"/>
  <c r="C14" i="53"/>
  <c r="F14" i="53" s="1"/>
  <c r="H14" i="53" s="1"/>
  <c r="F13" i="53"/>
  <c r="H13" i="53" s="1"/>
  <c r="E13" i="53"/>
  <c r="C13" i="53"/>
  <c r="E12" i="53"/>
  <c r="C12" i="53"/>
  <c r="F12" i="53" s="1"/>
  <c r="H12" i="53" s="1"/>
  <c r="E11" i="53"/>
  <c r="C11" i="53"/>
  <c r="F11" i="53" s="1"/>
  <c r="H11" i="53" s="1"/>
  <c r="F10" i="53"/>
  <c r="H10" i="53" s="1"/>
  <c r="E10" i="53"/>
  <c r="C10" i="53"/>
  <c r="E9" i="53"/>
  <c r="C9" i="53"/>
  <c r="F9" i="53" s="1"/>
  <c r="H9" i="53" s="1"/>
  <c r="E8" i="53"/>
  <c r="C8" i="53"/>
  <c r="F8" i="53" s="1"/>
  <c r="H8" i="53" s="1"/>
  <c r="F7" i="53"/>
  <c r="H7" i="53" s="1"/>
  <c r="E7" i="53"/>
  <c r="C7" i="53"/>
  <c r="E6" i="53"/>
  <c r="C6" i="53"/>
  <c r="F6" i="53" s="1"/>
  <c r="J21" i="52"/>
  <c r="L21" i="52" s="1"/>
  <c r="J20" i="52"/>
  <c r="J16" i="52"/>
  <c r="H19" i="52"/>
  <c r="G19" i="52"/>
  <c r="C19" i="52"/>
  <c r="H18" i="52"/>
  <c r="G18" i="52"/>
  <c r="C18" i="52"/>
  <c r="G17" i="52"/>
  <c r="C17" i="52"/>
  <c r="H17" i="52" s="1"/>
  <c r="H20" i="52" s="1"/>
  <c r="E15" i="52"/>
  <c r="C15" i="52"/>
  <c r="F15" i="52" s="1"/>
  <c r="H15" i="52" s="1"/>
  <c r="E14" i="52"/>
  <c r="C14" i="52"/>
  <c r="F14" i="52" s="1"/>
  <c r="H14" i="52" s="1"/>
  <c r="E13" i="52"/>
  <c r="F13" i="52" s="1"/>
  <c r="H13" i="52" s="1"/>
  <c r="C13" i="52"/>
  <c r="E12" i="52"/>
  <c r="C12" i="52"/>
  <c r="F12" i="52" s="1"/>
  <c r="H12" i="52" s="1"/>
  <c r="E11" i="52"/>
  <c r="C11" i="52"/>
  <c r="F11" i="52" s="1"/>
  <c r="H11" i="52" s="1"/>
  <c r="E10" i="52"/>
  <c r="F10" i="52" s="1"/>
  <c r="H10" i="52" s="1"/>
  <c r="C10" i="52"/>
  <c r="E9" i="52"/>
  <c r="C9" i="52"/>
  <c r="F9" i="52" s="1"/>
  <c r="H9" i="52" s="1"/>
  <c r="E8" i="52"/>
  <c r="C8" i="52"/>
  <c r="F8" i="52" s="1"/>
  <c r="H8" i="52" s="1"/>
  <c r="E7" i="52"/>
  <c r="F7" i="52" s="1"/>
  <c r="H7" i="52" s="1"/>
  <c r="C7" i="52"/>
  <c r="E6" i="52"/>
  <c r="C6" i="52"/>
  <c r="F6" i="52" s="1"/>
  <c r="L26" i="51"/>
  <c r="J26" i="51"/>
  <c r="J25" i="51"/>
  <c r="J16" i="51"/>
  <c r="G24" i="51"/>
  <c r="C24" i="51"/>
  <c r="H24" i="51" s="1"/>
  <c r="H23" i="51"/>
  <c r="G23" i="51"/>
  <c r="C23" i="51"/>
  <c r="G22" i="51"/>
  <c r="C22" i="51"/>
  <c r="H22" i="51" s="1"/>
  <c r="H21" i="51"/>
  <c r="G21" i="51"/>
  <c r="C21" i="51"/>
  <c r="G20" i="51"/>
  <c r="C20" i="51"/>
  <c r="H20" i="51" s="1"/>
  <c r="H19" i="51"/>
  <c r="G19" i="51"/>
  <c r="C19" i="51"/>
  <c r="G18" i="51"/>
  <c r="C18" i="51"/>
  <c r="H18" i="51" s="1"/>
  <c r="H17" i="51"/>
  <c r="G17" i="51"/>
  <c r="C17" i="51"/>
  <c r="F15" i="51"/>
  <c r="H15" i="51" s="1"/>
  <c r="E15" i="51"/>
  <c r="C15" i="51"/>
  <c r="E14" i="51"/>
  <c r="C14" i="51"/>
  <c r="F14" i="51" s="1"/>
  <c r="H14" i="51" s="1"/>
  <c r="F13" i="51"/>
  <c r="H13" i="51" s="1"/>
  <c r="E13" i="51"/>
  <c r="C13" i="51"/>
  <c r="F12" i="51"/>
  <c r="H12" i="51" s="1"/>
  <c r="E12" i="51"/>
  <c r="C12" i="51"/>
  <c r="E11" i="51"/>
  <c r="C11" i="51"/>
  <c r="F11" i="51" s="1"/>
  <c r="H11" i="51" s="1"/>
  <c r="F10" i="51"/>
  <c r="H10" i="51" s="1"/>
  <c r="E10" i="51"/>
  <c r="C10" i="51"/>
  <c r="F9" i="51"/>
  <c r="H9" i="51" s="1"/>
  <c r="E9" i="51"/>
  <c r="C9" i="51"/>
  <c r="E8" i="51"/>
  <c r="C8" i="51"/>
  <c r="F8" i="51" s="1"/>
  <c r="H8" i="51" s="1"/>
  <c r="F7" i="51"/>
  <c r="H7" i="51" s="1"/>
  <c r="E7" i="51"/>
  <c r="C7" i="51"/>
  <c r="F6" i="51"/>
  <c r="E6" i="51"/>
  <c r="C6" i="51"/>
  <c r="J32" i="50"/>
  <c r="L32" i="50" s="1"/>
  <c r="J31" i="50"/>
  <c r="J19" i="50"/>
  <c r="G30" i="50"/>
  <c r="C30" i="50"/>
  <c r="H30" i="50" s="1"/>
  <c r="H29" i="50"/>
  <c r="G29" i="50"/>
  <c r="C29" i="50"/>
  <c r="G28" i="50"/>
  <c r="C28" i="50"/>
  <c r="H28" i="50" s="1"/>
  <c r="H27" i="50"/>
  <c r="G27" i="50"/>
  <c r="C27" i="50"/>
  <c r="G26" i="50"/>
  <c r="C26" i="50"/>
  <c r="H26" i="50" s="1"/>
  <c r="H25" i="50"/>
  <c r="G25" i="50"/>
  <c r="C25" i="50"/>
  <c r="G24" i="50"/>
  <c r="C24" i="50"/>
  <c r="H24" i="50" s="1"/>
  <c r="H23" i="50"/>
  <c r="G23" i="50"/>
  <c r="C23" i="50"/>
  <c r="G22" i="50"/>
  <c r="C22" i="50"/>
  <c r="H22" i="50" s="1"/>
  <c r="H21" i="50"/>
  <c r="G21" i="50"/>
  <c r="C21" i="50"/>
  <c r="G20" i="50"/>
  <c r="C20" i="50"/>
  <c r="H20" i="50" s="1"/>
  <c r="H31" i="50" s="1"/>
  <c r="E18" i="50"/>
  <c r="C18" i="50"/>
  <c r="F18" i="50" s="1"/>
  <c r="H18" i="50" s="1"/>
  <c r="E17" i="50"/>
  <c r="C17" i="50"/>
  <c r="F17" i="50" s="1"/>
  <c r="H17" i="50" s="1"/>
  <c r="E16" i="50"/>
  <c r="F16" i="50" s="1"/>
  <c r="H16" i="50" s="1"/>
  <c r="C16" i="50"/>
  <c r="E15" i="50"/>
  <c r="C15" i="50"/>
  <c r="F15" i="50" s="1"/>
  <c r="H15" i="50" s="1"/>
  <c r="E14" i="50"/>
  <c r="C14" i="50"/>
  <c r="F14" i="50" s="1"/>
  <c r="H14" i="50" s="1"/>
  <c r="E13" i="50"/>
  <c r="F13" i="50" s="1"/>
  <c r="H13" i="50" s="1"/>
  <c r="C13" i="50"/>
  <c r="E12" i="50"/>
  <c r="C12" i="50"/>
  <c r="F12" i="50" s="1"/>
  <c r="H12" i="50" s="1"/>
  <c r="E11" i="50"/>
  <c r="C11" i="50"/>
  <c r="F11" i="50" s="1"/>
  <c r="H11" i="50" s="1"/>
  <c r="E10" i="50"/>
  <c r="F10" i="50" s="1"/>
  <c r="H10" i="50" s="1"/>
  <c r="C10" i="50"/>
  <c r="E9" i="50"/>
  <c r="C9" i="50"/>
  <c r="F9" i="50" s="1"/>
  <c r="H9" i="50" s="1"/>
  <c r="E8" i="50"/>
  <c r="C8" i="50"/>
  <c r="F8" i="50" s="1"/>
  <c r="H8" i="50" s="1"/>
  <c r="E7" i="50"/>
  <c r="F7" i="50" s="1"/>
  <c r="H7" i="50" s="1"/>
  <c r="C7" i="50"/>
  <c r="E6" i="50"/>
  <c r="C6" i="50"/>
  <c r="F6" i="50" s="1"/>
  <c r="J30" i="49"/>
  <c r="L30" i="49" s="1"/>
  <c r="J29" i="49"/>
  <c r="J19" i="49"/>
  <c r="G28" i="49"/>
  <c r="H28" i="49" s="1"/>
  <c r="C28" i="49"/>
  <c r="G27" i="49"/>
  <c r="H27" i="49" s="1"/>
  <c r="C27" i="49"/>
  <c r="G26" i="49"/>
  <c r="H26" i="49" s="1"/>
  <c r="C26" i="49"/>
  <c r="G25" i="49"/>
  <c r="H25" i="49" s="1"/>
  <c r="C25" i="49"/>
  <c r="G24" i="49"/>
  <c r="H24" i="49" s="1"/>
  <c r="C24" i="49"/>
  <c r="H23" i="49"/>
  <c r="G23" i="49"/>
  <c r="C23" i="49"/>
  <c r="G22" i="49"/>
  <c r="H22" i="49" s="1"/>
  <c r="C22" i="49"/>
  <c r="G21" i="49"/>
  <c r="H21" i="49" s="1"/>
  <c r="C21" i="49"/>
  <c r="G20" i="49"/>
  <c r="H20" i="49" s="1"/>
  <c r="H29" i="49" s="1"/>
  <c r="C20" i="49"/>
  <c r="E18" i="49"/>
  <c r="F18" i="49" s="1"/>
  <c r="H18" i="49" s="1"/>
  <c r="C18" i="49"/>
  <c r="F17" i="49"/>
  <c r="H17" i="49" s="1"/>
  <c r="E17" i="49"/>
  <c r="C17" i="49"/>
  <c r="E16" i="49"/>
  <c r="C16" i="49"/>
  <c r="F16" i="49" s="1"/>
  <c r="H16" i="49" s="1"/>
  <c r="E15" i="49"/>
  <c r="F15" i="49" s="1"/>
  <c r="H15" i="49" s="1"/>
  <c r="C15" i="49"/>
  <c r="F14" i="49"/>
  <c r="H14" i="49" s="1"/>
  <c r="E14" i="49"/>
  <c r="C14" i="49"/>
  <c r="E13" i="49"/>
  <c r="C13" i="49"/>
  <c r="F13" i="49" s="1"/>
  <c r="H13" i="49" s="1"/>
  <c r="E12" i="49"/>
  <c r="F12" i="49" s="1"/>
  <c r="H12" i="49" s="1"/>
  <c r="C12" i="49"/>
  <c r="F11" i="49"/>
  <c r="H11" i="49" s="1"/>
  <c r="E11" i="49"/>
  <c r="C11" i="49"/>
  <c r="E10" i="49"/>
  <c r="C10" i="49"/>
  <c r="F10" i="49" s="1"/>
  <c r="H10" i="49" s="1"/>
  <c r="E9" i="49"/>
  <c r="F9" i="49" s="1"/>
  <c r="H9" i="49" s="1"/>
  <c r="C9" i="49"/>
  <c r="F8" i="49"/>
  <c r="H8" i="49" s="1"/>
  <c r="E8" i="49"/>
  <c r="C8" i="49"/>
  <c r="E7" i="49"/>
  <c r="C7" i="49"/>
  <c r="F7" i="49" s="1"/>
  <c r="H7" i="49" s="1"/>
  <c r="E6" i="49"/>
  <c r="F6" i="49" s="1"/>
  <c r="C6" i="49"/>
  <c r="J34" i="48"/>
  <c r="L34" i="48" s="1"/>
  <c r="J33" i="48"/>
  <c r="J21" i="48"/>
  <c r="H32" i="48"/>
  <c r="G32" i="48"/>
  <c r="C32" i="48"/>
  <c r="H31" i="48"/>
  <c r="G31" i="48"/>
  <c r="C31" i="48"/>
  <c r="H30" i="48"/>
  <c r="G30" i="48"/>
  <c r="C30" i="48"/>
  <c r="H29" i="48"/>
  <c r="G29" i="48"/>
  <c r="C29" i="48"/>
  <c r="H28" i="48"/>
  <c r="G28" i="48"/>
  <c r="C28" i="48"/>
  <c r="H27" i="48"/>
  <c r="G27" i="48"/>
  <c r="C27" i="48"/>
  <c r="H26" i="48"/>
  <c r="G26" i="48"/>
  <c r="C26" i="48"/>
  <c r="H25" i="48"/>
  <c r="G25" i="48"/>
  <c r="C25" i="48"/>
  <c r="H24" i="48"/>
  <c r="G24" i="48"/>
  <c r="C24" i="48"/>
  <c r="H23" i="48"/>
  <c r="H33" i="48" s="1"/>
  <c r="G23" i="48"/>
  <c r="C23" i="48"/>
  <c r="H22" i="48"/>
  <c r="G22" i="48"/>
  <c r="C22" i="48"/>
  <c r="H20" i="48"/>
  <c r="F20" i="48"/>
  <c r="E20" i="48"/>
  <c r="C20" i="48"/>
  <c r="E19" i="48"/>
  <c r="C19" i="48"/>
  <c r="F19" i="48" s="1"/>
  <c r="H19" i="48" s="1"/>
  <c r="E18" i="48"/>
  <c r="C18" i="48"/>
  <c r="F18" i="48" s="1"/>
  <c r="H18" i="48" s="1"/>
  <c r="H17" i="48"/>
  <c r="F17" i="48"/>
  <c r="E17" i="48"/>
  <c r="C17" i="48"/>
  <c r="H16" i="48"/>
  <c r="G16" i="48"/>
  <c r="F16" i="48"/>
  <c r="E16" i="48"/>
  <c r="C16" i="48"/>
  <c r="G15" i="48"/>
  <c r="E15" i="48"/>
  <c r="C15" i="48"/>
  <c r="F15" i="48" s="1"/>
  <c r="H15" i="48" s="1"/>
  <c r="G14" i="48"/>
  <c r="F14" i="48"/>
  <c r="H14" i="48" s="1"/>
  <c r="E14" i="48"/>
  <c r="C14" i="48"/>
  <c r="G13" i="48"/>
  <c r="E13" i="48"/>
  <c r="C13" i="48"/>
  <c r="F13" i="48" s="1"/>
  <c r="H13" i="48" s="1"/>
  <c r="G12" i="48"/>
  <c r="E12" i="48"/>
  <c r="C12" i="48"/>
  <c r="F12" i="48" s="1"/>
  <c r="H12" i="48" s="1"/>
  <c r="G11" i="48"/>
  <c r="F11" i="48"/>
  <c r="H11" i="48" s="1"/>
  <c r="E11" i="48"/>
  <c r="C11" i="48"/>
  <c r="H10" i="48"/>
  <c r="G10" i="48"/>
  <c r="F10" i="48"/>
  <c r="E10" i="48"/>
  <c r="C10" i="48"/>
  <c r="G9" i="48"/>
  <c r="E9" i="48"/>
  <c r="C9" i="48"/>
  <c r="F9" i="48" s="1"/>
  <c r="H9" i="48" s="1"/>
  <c r="G8" i="48"/>
  <c r="F8" i="48"/>
  <c r="H8" i="48" s="1"/>
  <c r="E8" i="48"/>
  <c r="C8" i="48"/>
  <c r="G7" i="48"/>
  <c r="E7" i="48"/>
  <c r="C7" i="48"/>
  <c r="F7" i="48" s="1"/>
  <c r="H7" i="48" s="1"/>
  <c r="G6" i="48"/>
  <c r="E6" i="48"/>
  <c r="C6" i="48"/>
  <c r="F6" i="48" s="1"/>
  <c r="J32" i="47"/>
  <c r="L32" i="47" s="1"/>
  <c r="J31" i="47"/>
  <c r="J21" i="47"/>
  <c r="G30" i="47"/>
  <c r="C30" i="47"/>
  <c r="H30" i="47" s="1"/>
  <c r="H29" i="47"/>
  <c r="G29" i="47"/>
  <c r="C29" i="47"/>
  <c r="G28" i="47"/>
  <c r="C28" i="47"/>
  <c r="H28" i="47" s="1"/>
  <c r="H27" i="47"/>
  <c r="G27" i="47"/>
  <c r="C27" i="47"/>
  <c r="G26" i="47"/>
  <c r="C26" i="47"/>
  <c r="H26" i="47" s="1"/>
  <c r="H25" i="47"/>
  <c r="G25" i="47"/>
  <c r="C25" i="47"/>
  <c r="G24" i="47"/>
  <c r="C24" i="47"/>
  <c r="H24" i="47" s="1"/>
  <c r="H23" i="47"/>
  <c r="G23" i="47"/>
  <c r="C23" i="47"/>
  <c r="G22" i="47"/>
  <c r="C22" i="47"/>
  <c r="H22" i="47" s="1"/>
  <c r="E20" i="47"/>
  <c r="C20" i="47"/>
  <c r="F20" i="47" s="1"/>
  <c r="H20" i="47" s="1"/>
  <c r="E19" i="47"/>
  <c r="C19" i="47"/>
  <c r="F19" i="47" s="1"/>
  <c r="H19" i="47" s="1"/>
  <c r="E18" i="47"/>
  <c r="F18" i="47" s="1"/>
  <c r="H18" i="47" s="1"/>
  <c r="C18" i="47"/>
  <c r="E17" i="47"/>
  <c r="C17" i="47"/>
  <c r="F17" i="47" s="1"/>
  <c r="H17" i="47" s="1"/>
  <c r="E16" i="47"/>
  <c r="C16" i="47"/>
  <c r="F16" i="47" s="1"/>
  <c r="H16" i="47" s="1"/>
  <c r="E15" i="47"/>
  <c r="F15" i="47" s="1"/>
  <c r="H15" i="47" s="1"/>
  <c r="C15" i="47"/>
  <c r="E14" i="47"/>
  <c r="C14" i="47"/>
  <c r="F14" i="47" s="1"/>
  <c r="H14" i="47" s="1"/>
  <c r="E13" i="47"/>
  <c r="C13" i="47"/>
  <c r="F13" i="47" s="1"/>
  <c r="H13" i="47" s="1"/>
  <c r="E12" i="47"/>
  <c r="F12" i="47" s="1"/>
  <c r="H12" i="47" s="1"/>
  <c r="C12" i="47"/>
  <c r="E11" i="47"/>
  <c r="C11" i="47"/>
  <c r="F11" i="47" s="1"/>
  <c r="H11" i="47" s="1"/>
  <c r="E10" i="47"/>
  <c r="C10" i="47"/>
  <c r="F10" i="47" s="1"/>
  <c r="H10" i="47" s="1"/>
  <c r="E9" i="47"/>
  <c r="F9" i="47" s="1"/>
  <c r="H9" i="47" s="1"/>
  <c r="C9" i="47"/>
  <c r="E8" i="47"/>
  <c r="C8" i="47"/>
  <c r="F8" i="47" s="1"/>
  <c r="H8" i="47" s="1"/>
  <c r="E7" i="47"/>
  <c r="C7" i="47"/>
  <c r="F7" i="47" s="1"/>
  <c r="H7" i="47" s="1"/>
  <c r="E6" i="47"/>
  <c r="F6" i="47" s="1"/>
  <c r="C6" i="47"/>
  <c r="J26" i="46"/>
  <c r="L26" i="46" s="1"/>
  <c r="J25" i="46"/>
  <c r="J17" i="46"/>
  <c r="G24" i="46"/>
  <c r="C24" i="46"/>
  <c r="H24" i="46" s="1"/>
  <c r="H23" i="46"/>
  <c r="G23" i="46"/>
  <c r="C23" i="46"/>
  <c r="G22" i="46"/>
  <c r="C22" i="46"/>
  <c r="H22" i="46" s="1"/>
  <c r="H21" i="46"/>
  <c r="G21" i="46"/>
  <c r="C21" i="46"/>
  <c r="G20" i="46"/>
  <c r="C20" i="46"/>
  <c r="H20" i="46" s="1"/>
  <c r="H19" i="46"/>
  <c r="G19" i="46"/>
  <c r="C19" i="46"/>
  <c r="G18" i="46"/>
  <c r="C18" i="46"/>
  <c r="H18" i="46" s="1"/>
  <c r="E16" i="46"/>
  <c r="C16" i="46"/>
  <c r="F16" i="46" s="1"/>
  <c r="H16" i="46" s="1"/>
  <c r="E15" i="46"/>
  <c r="F15" i="46" s="1"/>
  <c r="H15" i="46" s="1"/>
  <c r="C15" i="46"/>
  <c r="E14" i="46"/>
  <c r="F14" i="46" s="1"/>
  <c r="H14" i="46" s="1"/>
  <c r="C14" i="46"/>
  <c r="E13" i="46"/>
  <c r="C13" i="46"/>
  <c r="F13" i="46" s="1"/>
  <c r="H13" i="46" s="1"/>
  <c r="E12" i="46"/>
  <c r="F12" i="46" s="1"/>
  <c r="H12" i="46" s="1"/>
  <c r="C12" i="46"/>
  <c r="E11" i="46"/>
  <c r="F11" i="46" s="1"/>
  <c r="H11" i="46" s="1"/>
  <c r="C11" i="46"/>
  <c r="E10" i="46"/>
  <c r="C10" i="46"/>
  <c r="F10" i="46" s="1"/>
  <c r="H10" i="46" s="1"/>
  <c r="E9" i="46"/>
  <c r="F9" i="46" s="1"/>
  <c r="H9" i="46" s="1"/>
  <c r="C9" i="46"/>
  <c r="E8" i="46"/>
  <c r="F8" i="46" s="1"/>
  <c r="H8" i="46" s="1"/>
  <c r="C8" i="46"/>
  <c r="E7" i="46"/>
  <c r="C7" i="46"/>
  <c r="F7" i="46" s="1"/>
  <c r="H7" i="46" s="1"/>
  <c r="E6" i="46"/>
  <c r="F6" i="46" s="1"/>
  <c r="C6" i="46"/>
  <c r="J32" i="45"/>
  <c r="L32" i="45" s="1"/>
  <c r="J31" i="45"/>
  <c r="J21" i="45"/>
  <c r="G30" i="45"/>
  <c r="C30" i="45"/>
  <c r="H30" i="45" s="1"/>
  <c r="H29" i="45"/>
  <c r="G29" i="45"/>
  <c r="C29" i="45"/>
  <c r="G28" i="45"/>
  <c r="C28" i="45"/>
  <c r="H28" i="45" s="1"/>
  <c r="H27" i="45"/>
  <c r="G27" i="45"/>
  <c r="C27" i="45"/>
  <c r="G26" i="45"/>
  <c r="C26" i="45"/>
  <c r="H26" i="45" s="1"/>
  <c r="H25" i="45"/>
  <c r="G25" i="45"/>
  <c r="C25" i="45"/>
  <c r="G24" i="45"/>
  <c r="C24" i="45"/>
  <c r="H24" i="45" s="1"/>
  <c r="H23" i="45"/>
  <c r="G23" i="45"/>
  <c r="C23" i="45"/>
  <c r="G22" i="45"/>
  <c r="C22" i="45"/>
  <c r="H22" i="45" s="1"/>
  <c r="E20" i="45"/>
  <c r="C20" i="45"/>
  <c r="F20" i="45" s="1"/>
  <c r="H20" i="45" s="1"/>
  <c r="E19" i="45"/>
  <c r="C19" i="45"/>
  <c r="F19" i="45" s="1"/>
  <c r="H19" i="45" s="1"/>
  <c r="E18" i="45"/>
  <c r="F18" i="45" s="1"/>
  <c r="H18" i="45" s="1"/>
  <c r="C18" i="45"/>
  <c r="E17" i="45"/>
  <c r="C17" i="45"/>
  <c r="F17" i="45" s="1"/>
  <c r="H17" i="45" s="1"/>
  <c r="E16" i="45"/>
  <c r="C16" i="45"/>
  <c r="F16" i="45" s="1"/>
  <c r="H16" i="45" s="1"/>
  <c r="E15" i="45"/>
  <c r="F15" i="45" s="1"/>
  <c r="H15" i="45" s="1"/>
  <c r="C15" i="45"/>
  <c r="E14" i="45"/>
  <c r="C14" i="45"/>
  <c r="F14" i="45" s="1"/>
  <c r="H14" i="45" s="1"/>
  <c r="E13" i="45"/>
  <c r="C13" i="45"/>
  <c r="F13" i="45" s="1"/>
  <c r="H13" i="45" s="1"/>
  <c r="E12" i="45"/>
  <c r="F12" i="45" s="1"/>
  <c r="H12" i="45" s="1"/>
  <c r="C12" i="45"/>
  <c r="E11" i="45"/>
  <c r="C11" i="45"/>
  <c r="F11" i="45" s="1"/>
  <c r="H11" i="45" s="1"/>
  <c r="E10" i="45"/>
  <c r="C10" i="45"/>
  <c r="F10" i="45" s="1"/>
  <c r="H10" i="45" s="1"/>
  <c r="E9" i="45"/>
  <c r="F9" i="45" s="1"/>
  <c r="H9" i="45" s="1"/>
  <c r="C9" i="45"/>
  <c r="E8" i="45"/>
  <c r="C8" i="45"/>
  <c r="F8" i="45" s="1"/>
  <c r="H8" i="45" s="1"/>
  <c r="E7" i="45"/>
  <c r="C7" i="45"/>
  <c r="F7" i="45" s="1"/>
  <c r="H7" i="45" s="1"/>
  <c r="E6" i="45"/>
  <c r="F6" i="45" s="1"/>
  <c r="C6" i="45"/>
  <c r="L26" i="44"/>
  <c r="J26" i="44"/>
  <c r="J25" i="44"/>
  <c r="J17" i="44"/>
  <c r="G24" i="44"/>
  <c r="C24" i="44"/>
  <c r="H24" i="44" s="1"/>
  <c r="H23" i="44"/>
  <c r="G23" i="44"/>
  <c r="C23" i="44"/>
  <c r="G22" i="44"/>
  <c r="C22" i="44"/>
  <c r="H22" i="44" s="1"/>
  <c r="H21" i="44"/>
  <c r="G21" i="44"/>
  <c r="C21" i="44"/>
  <c r="G20" i="44"/>
  <c r="C20" i="44"/>
  <c r="H20" i="44" s="1"/>
  <c r="H19" i="44"/>
  <c r="G19" i="44"/>
  <c r="C19" i="44"/>
  <c r="G18" i="44"/>
  <c r="C18" i="44"/>
  <c r="H18" i="44" s="1"/>
  <c r="E16" i="44"/>
  <c r="C16" i="44"/>
  <c r="F16" i="44" s="1"/>
  <c r="H16" i="44" s="1"/>
  <c r="E15" i="44"/>
  <c r="C15" i="44"/>
  <c r="F15" i="44" s="1"/>
  <c r="H15" i="44" s="1"/>
  <c r="E14" i="44"/>
  <c r="F14" i="44" s="1"/>
  <c r="H14" i="44" s="1"/>
  <c r="C14" i="44"/>
  <c r="E13" i="44"/>
  <c r="C13" i="44"/>
  <c r="F13" i="44" s="1"/>
  <c r="H13" i="44" s="1"/>
  <c r="E12" i="44"/>
  <c r="C12" i="44"/>
  <c r="F12" i="44" s="1"/>
  <c r="H12" i="44" s="1"/>
  <c r="E11" i="44"/>
  <c r="F11" i="44" s="1"/>
  <c r="H11" i="44" s="1"/>
  <c r="C11" i="44"/>
  <c r="E10" i="44"/>
  <c r="C10" i="44"/>
  <c r="F10" i="44" s="1"/>
  <c r="H10" i="44" s="1"/>
  <c r="E9" i="44"/>
  <c r="C9" i="44"/>
  <c r="F9" i="44" s="1"/>
  <c r="H9" i="44" s="1"/>
  <c r="E8" i="44"/>
  <c r="F8" i="44" s="1"/>
  <c r="H8" i="44" s="1"/>
  <c r="C8" i="44"/>
  <c r="E7" i="44"/>
  <c r="C7" i="44"/>
  <c r="F7" i="44" s="1"/>
  <c r="H7" i="44" s="1"/>
  <c r="E6" i="44"/>
  <c r="C6" i="44"/>
  <c r="F6" i="44" s="1"/>
  <c r="L13" i="43"/>
  <c r="J13" i="43"/>
  <c r="J12" i="43"/>
  <c r="J9" i="43"/>
  <c r="G11" i="43"/>
  <c r="C11" i="43"/>
  <c r="H11" i="43" s="1"/>
  <c r="G10" i="43"/>
  <c r="C10" i="43"/>
  <c r="H10" i="43" s="1"/>
  <c r="H12" i="43" s="1"/>
  <c r="E8" i="43"/>
  <c r="C8" i="43"/>
  <c r="F8" i="43" s="1"/>
  <c r="H8" i="43" s="1"/>
  <c r="F7" i="43"/>
  <c r="H7" i="43" s="1"/>
  <c r="E7" i="43"/>
  <c r="C7" i="43"/>
  <c r="E6" i="43"/>
  <c r="C6" i="43"/>
  <c r="F6" i="43" s="1"/>
  <c r="J52" i="42"/>
  <c r="L52" i="42" s="1"/>
  <c r="J51" i="42"/>
  <c r="J31" i="42"/>
  <c r="G50" i="42"/>
  <c r="H50" i="42" s="1"/>
  <c r="C50" i="42"/>
  <c r="H49" i="42"/>
  <c r="G49" i="42"/>
  <c r="C49" i="42"/>
  <c r="G48" i="42"/>
  <c r="H48" i="42" s="1"/>
  <c r="C48" i="42"/>
  <c r="H47" i="42"/>
  <c r="G47" i="42"/>
  <c r="C47" i="42"/>
  <c r="G46" i="42"/>
  <c r="H46" i="42" s="1"/>
  <c r="C46" i="42"/>
  <c r="H45" i="42"/>
  <c r="G45" i="42"/>
  <c r="C45" i="42"/>
  <c r="G44" i="42"/>
  <c r="H44" i="42" s="1"/>
  <c r="C44" i="42"/>
  <c r="H43" i="42"/>
  <c r="G43" i="42"/>
  <c r="C43" i="42"/>
  <c r="G42" i="42"/>
  <c r="H42" i="42" s="1"/>
  <c r="C42" i="42"/>
  <c r="H41" i="42"/>
  <c r="G41" i="42"/>
  <c r="C41" i="42"/>
  <c r="G40" i="42"/>
  <c r="H40" i="42" s="1"/>
  <c r="C40" i="42"/>
  <c r="H39" i="42"/>
  <c r="G39" i="42"/>
  <c r="C39" i="42"/>
  <c r="G38" i="42"/>
  <c r="H38" i="42" s="1"/>
  <c r="C38" i="42"/>
  <c r="H37" i="42"/>
  <c r="G37" i="42"/>
  <c r="C37" i="42"/>
  <c r="G36" i="42"/>
  <c r="H36" i="42" s="1"/>
  <c r="C36" i="42"/>
  <c r="H35" i="42"/>
  <c r="G35" i="42"/>
  <c r="C35" i="42"/>
  <c r="G34" i="42"/>
  <c r="H34" i="42" s="1"/>
  <c r="C34" i="42"/>
  <c r="H33" i="42"/>
  <c r="G33" i="42"/>
  <c r="C33" i="42"/>
  <c r="G32" i="42"/>
  <c r="H32" i="42" s="1"/>
  <c r="C32" i="42"/>
  <c r="E30" i="42"/>
  <c r="F30" i="42" s="1"/>
  <c r="H30" i="42" s="1"/>
  <c r="C30" i="42"/>
  <c r="E29" i="42"/>
  <c r="C29" i="42"/>
  <c r="F29" i="42" s="1"/>
  <c r="H29" i="42" s="1"/>
  <c r="E28" i="42"/>
  <c r="C28" i="42"/>
  <c r="F28" i="42" s="1"/>
  <c r="H28" i="42" s="1"/>
  <c r="E27" i="42"/>
  <c r="F27" i="42" s="1"/>
  <c r="H27" i="42" s="1"/>
  <c r="C27" i="42"/>
  <c r="E26" i="42"/>
  <c r="C26" i="42"/>
  <c r="F26" i="42" s="1"/>
  <c r="H26" i="42" s="1"/>
  <c r="E25" i="42"/>
  <c r="C25" i="42"/>
  <c r="F25" i="42" s="1"/>
  <c r="H25" i="42" s="1"/>
  <c r="E24" i="42"/>
  <c r="F24" i="42" s="1"/>
  <c r="H24" i="42" s="1"/>
  <c r="C24" i="42"/>
  <c r="E23" i="42"/>
  <c r="C23" i="42"/>
  <c r="F23" i="42" s="1"/>
  <c r="H23" i="42" s="1"/>
  <c r="E22" i="42"/>
  <c r="C22" i="42"/>
  <c r="F22" i="42" s="1"/>
  <c r="H22" i="42" s="1"/>
  <c r="E21" i="42"/>
  <c r="F21" i="42" s="1"/>
  <c r="H21" i="42" s="1"/>
  <c r="C21" i="42"/>
  <c r="E20" i="42"/>
  <c r="C20" i="42"/>
  <c r="F20" i="42" s="1"/>
  <c r="H20" i="42" s="1"/>
  <c r="E19" i="42"/>
  <c r="C19" i="42"/>
  <c r="F19" i="42" s="1"/>
  <c r="H19" i="42" s="1"/>
  <c r="E18" i="42"/>
  <c r="F18" i="42" s="1"/>
  <c r="H18" i="42" s="1"/>
  <c r="C18" i="42"/>
  <c r="E17" i="42"/>
  <c r="C17" i="42"/>
  <c r="F17" i="42" s="1"/>
  <c r="H17" i="42" s="1"/>
  <c r="E16" i="42"/>
  <c r="C16" i="42"/>
  <c r="F16" i="42" s="1"/>
  <c r="H16" i="42" s="1"/>
  <c r="E15" i="42"/>
  <c r="F15" i="42" s="1"/>
  <c r="H15" i="42" s="1"/>
  <c r="C15" i="42"/>
  <c r="E14" i="42"/>
  <c r="C14" i="42"/>
  <c r="F14" i="42" s="1"/>
  <c r="H14" i="42" s="1"/>
  <c r="E13" i="42"/>
  <c r="C13" i="42"/>
  <c r="F13" i="42" s="1"/>
  <c r="H13" i="42" s="1"/>
  <c r="E12" i="42"/>
  <c r="F12" i="42" s="1"/>
  <c r="H12" i="42" s="1"/>
  <c r="C12" i="42"/>
  <c r="E11" i="42"/>
  <c r="C11" i="42"/>
  <c r="F11" i="42" s="1"/>
  <c r="H11" i="42" s="1"/>
  <c r="E10" i="42"/>
  <c r="C10" i="42"/>
  <c r="F10" i="42" s="1"/>
  <c r="H10" i="42" s="1"/>
  <c r="E9" i="42"/>
  <c r="F9" i="42" s="1"/>
  <c r="H9" i="42" s="1"/>
  <c r="C9" i="42"/>
  <c r="E8" i="42"/>
  <c r="C8" i="42"/>
  <c r="F8" i="42" s="1"/>
  <c r="H8" i="42" s="1"/>
  <c r="E7" i="42"/>
  <c r="C7" i="42"/>
  <c r="F7" i="42" s="1"/>
  <c r="H7" i="42" s="1"/>
  <c r="E6" i="42"/>
  <c r="F6" i="42" s="1"/>
  <c r="C6" i="42"/>
  <c r="J50" i="41"/>
  <c r="L50" i="41" s="1"/>
  <c r="J49" i="41"/>
  <c r="J29" i="41"/>
  <c r="H48" i="41"/>
  <c r="G48" i="41"/>
  <c r="C48" i="41"/>
  <c r="H47" i="41"/>
  <c r="G47" i="41"/>
  <c r="C47" i="41"/>
  <c r="H46" i="41"/>
  <c r="G46" i="41"/>
  <c r="C46" i="41"/>
  <c r="H45" i="41"/>
  <c r="G45" i="41"/>
  <c r="C45" i="41"/>
  <c r="H44" i="41"/>
  <c r="G44" i="41"/>
  <c r="C44" i="41"/>
  <c r="H43" i="41"/>
  <c r="G43" i="41"/>
  <c r="C43" i="41"/>
  <c r="H42" i="41"/>
  <c r="G42" i="41"/>
  <c r="C42" i="41"/>
  <c r="H41" i="41"/>
  <c r="G41" i="41"/>
  <c r="C41" i="41"/>
  <c r="H40" i="41"/>
  <c r="G40" i="41"/>
  <c r="C40" i="41"/>
  <c r="H39" i="41"/>
  <c r="G39" i="41"/>
  <c r="C39" i="41"/>
  <c r="H38" i="41"/>
  <c r="G38" i="41"/>
  <c r="C38" i="41"/>
  <c r="H37" i="41"/>
  <c r="G37" i="41"/>
  <c r="C37" i="41"/>
  <c r="H36" i="41"/>
  <c r="G36" i="41"/>
  <c r="C36" i="41"/>
  <c r="H35" i="41"/>
  <c r="G35" i="41"/>
  <c r="C35" i="41"/>
  <c r="H34" i="41"/>
  <c r="G34" i="41"/>
  <c r="C34" i="41"/>
  <c r="H33" i="41"/>
  <c r="G33" i="41"/>
  <c r="C33" i="41"/>
  <c r="H32" i="41"/>
  <c r="G32" i="41"/>
  <c r="C32" i="41"/>
  <c r="H31" i="41"/>
  <c r="G31" i="41"/>
  <c r="C31" i="41"/>
  <c r="H30" i="41"/>
  <c r="H49" i="41" s="1"/>
  <c r="G30" i="41"/>
  <c r="C30" i="41"/>
  <c r="H28" i="41"/>
  <c r="F28" i="41"/>
  <c r="E28" i="41"/>
  <c r="C28" i="41"/>
  <c r="E27" i="41"/>
  <c r="C27" i="41"/>
  <c r="F27" i="41" s="1"/>
  <c r="H27" i="41" s="1"/>
  <c r="E26" i="41"/>
  <c r="C26" i="41"/>
  <c r="F26" i="41" s="1"/>
  <c r="H26" i="41" s="1"/>
  <c r="H25" i="41"/>
  <c r="F25" i="41"/>
  <c r="E25" i="41"/>
  <c r="C25" i="41"/>
  <c r="E24" i="41"/>
  <c r="C24" i="41"/>
  <c r="F24" i="41" s="1"/>
  <c r="H24" i="41" s="1"/>
  <c r="E23" i="41"/>
  <c r="C23" i="41"/>
  <c r="F23" i="41" s="1"/>
  <c r="H23" i="41" s="1"/>
  <c r="H22" i="41"/>
  <c r="F22" i="41"/>
  <c r="E22" i="41"/>
  <c r="C22" i="41"/>
  <c r="E21" i="41"/>
  <c r="C21" i="41"/>
  <c r="F21" i="41" s="1"/>
  <c r="H21" i="41" s="1"/>
  <c r="E20" i="41"/>
  <c r="C20" i="41"/>
  <c r="F20" i="41" s="1"/>
  <c r="H20" i="41" s="1"/>
  <c r="F19" i="41"/>
  <c r="H19" i="41" s="1"/>
  <c r="E19" i="41"/>
  <c r="C19" i="41"/>
  <c r="E18" i="41"/>
  <c r="C18" i="41"/>
  <c r="F18" i="41" s="1"/>
  <c r="H18" i="41" s="1"/>
  <c r="E17" i="41"/>
  <c r="C17" i="41"/>
  <c r="F17" i="41" s="1"/>
  <c r="H17" i="41" s="1"/>
  <c r="F16" i="41"/>
  <c r="H16" i="41" s="1"/>
  <c r="E16" i="41"/>
  <c r="C16" i="41"/>
  <c r="E15" i="41"/>
  <c r="C15" i="41"/>
  <c r="F15" i="41" s="1"/>
  <c r="H15" i="41" s="1"/>
  <c r="E14" i="41"/>
  <c r="C14" i="41"/>
  <c r="F14" i="41" s="1"/>
  <c r="H14" i="41" s="1"/>
  <c r="F13" i="41"/>
  <c r="H13" i="41" s="1"/>
  <c r="E13" i="41"/>
  <c r="C13" i="41"/>
  <c r="E12" i="41"/>
  <c r="C12" i="41"/>
  <c r="F12" i="41" s="1"/>
  <c r="H12" i="41" s="1"/>
  <c r="E11" i="41"/>
  <c r="C11" i="41"/>
  <c r="F11" i="41" s="1"/>
  <c r="H11" i="41" s="1"/>
  <c r="F10" i="41"/>
  <c r="H10" i="41" s="1"/>
  <c r="E10" i="41"/>
  <c r="C10" i="41"/>
  <c r="E9" i="41"/>
  <c r="C9" i="41"/>
  <c r="F9" i="41" s="1"/>
  <c r="H9" i="41" s="1"/>
  <c r="E8" i="41"/>
  <c r="C8" i="41"/>
  <c r="F8" i="41" s="1"/>
  <c r="H8" i="41" s="1"/>
  <c r="F7" i="41"/>
  <c r="H7" i="41" s="1"/>
  <c r="E7" i="41"/>
  <c r="C7" i="41"/>
  <c r="E6" i="41"/>
  <c r="C6" i="41"/>
  <c r="F6" i="41" s="1"/>
  <c r="J56" i="40"/>
  <c r="L56" i="40" s="1"/>
  <c r="J55" i="40"/>
  <c r="G54" i="40"/>
  <c r="C54" i="40"/>
  <c r="G53" i="40"/>
  <c r="C53" i="40"/>
  <c r="G52" i="40"/>
  <c r="C52" i="40"/>
  <c r="H52" i="40" s="1"/>
  <c r="G51" i="40"/>
  <c r="C51" i="40"/>
  <c r="G50" i="40"/>
  <c r="C50" i="40"/>
  <c r="G49" i="40"/>
  <c r="C49" i="40"/>
  <c r="H49" i="40" s="1"/>
  <c r="G48" i="40"/>
  <c r="C48" i="40"/>
  <c r="G47" i="40"/>
  <c r="C47" i="40"/>
  <c r="G46" i="40"/>
  <c r="C46" i="40"/>
  <c r="H46" i="40" s="1"/>
  <c r="G45" i="40"/>
  <c r="C45" i="40"/>
  <c r="G44" i="40"/>
  <c r="C44" i="40"/>
  <c r="G43" i="40"/>
  <c r="C43" i="40"/>
  <c r="H43" i="40" s="1"/>
  <c r="G42" i="40"/>
  <c r="C42" i="40"/>
  <c r="G41" i="40"/>
  <c r="C41" i="40"/>
  <c r="G40" i="40"/>
  <c r="C40" i="40"/>
  <c r="H40" i="40" s="1"/>
  <c r="G39" i="40"/>
  <c r="C39" i="40"/>
  <c r="G38" i="40"/>
  <c r="C38" i="40"/>
  <c r="G37" i="40"/>
  <c r="C37" i="40"/>
  <c r="H37" i="40" s="1"/>
  <c r="G36" i="40"/>
  <c r="C36" i="40"/>
  <c r="G35" i="40"/>
  <c r="C35" i="40"/>
  <c r="G34" i="40"/>
  <c r="C34" i="40"/>
  <c r="H34" i="40" s="1"/>
  <c r="E32" i="40"/>
  <c r="C32" i="40"/>
  <c r="E31" i="40"/>
  <c r="C31" i="40"/>
  <c r="E30" i="40"/>
  <c r="C30" i="40"/>
  <c r="F30" i="40" s="1"/>
  <c r="H30" i="40" s="1"/>
  <c r="E29" i="40"/>
  <c r="C29" i="40"/>
  <c r="E28" i="40"/>
  <c r="C28" i="40"/>
  <c r="E27" i="40"/>
  <c r="C27" i="40"/>
  <c r="F27" i="40" s="1"/>
  <c r="H27" i="40" s="1"/>
  <c r="E26" i="40"/>
  <c r="C26" i="40"/>
  <c r="E25" i="40"/>
  <c r="C25" i="40"/>
  <c r="E24" i="40"/>
  <c r="C24" i="40"/>
  <c r="F24" i="40" s="1"/>
  <c r="H24" i="40" s="1"/>
  <c r="E23" i="40"/>
  <c r="C23" i="40"/>
  <c r="E22" i="40"/>
  <c r="C22" i="40"/>
  <c r="E21" i="40"/>
  <c r="C21" i="40"/>
  <c r="E20" i="40"/>
  <c r="C20" i="40"/>
  <c r="E19" i="40"/>
  <c r="C19" i="40"/>
  <c r="E18" i="40"/>
  <c r="C18" i="40"/>
  <c r="F18" i="40" s="1"/>
  <c r="H18" i="40" s="1"/>
  <c r="E17" i="40"/>
  <c r="C17" i="40"/>
  <c r="F17" i="40" s="1"/>
  <c r="H17" i="40" s="1"/>
  <c r="E16" i="40"/>
  <c r="C16" i="40"/>
  <c r="F16" i="40" s="1"/>
  <c r="H16" i="40" s="1"/>
  <c r="E15" i="40"/>
  <c r="C15" i="40"/>
  <c r="E14" i="40"/>
  <c r="C14" i="40"/>
  <c r="F14" i="40" s="1"/>
  <c r="H14" i="40" s="1"/>
  <c r="E13" i="40"/>
  <c r="C13" i="40"/>
  <c r="E12" i="40"/>
  <c r="C12" i="40"/>
  <c r="E11" i="40"/>
  <c r="C11" i="40"/>
  <c r="F11" i="40" s="1"/>
  <c r="H11" i="40" s="1"/>
  <c r="E10" i="40"/>
  <c r="C10" i="40"/>
  <c r="E9" i="40"/>
  <c r="C9" i="40"/>
  <c r="E8" i="40"/>
  <c r="C8" i="40"/>
  <c r="E7" i="40"/>
  <c r="C7" i="40"/>
  <c r="F7" i="40" s="1"/>
  <c r="H7" i="40" s="1"/>
  <c r="E6" i="40"/>
  <c r="C6" i="40"/>
  <c r="G49" i="39"/>
  <c r="C49" i="39"/>
  <c r="H49" i="39" s="1"/>
  <c r="H48" i="39"/>
  <c r="G48" i="39"/>
  <c r="C48" i="39"/>
  <c r="G47" i="39"/>
  <c r="C47" i="39"/>
  <c r="H47" i="39" s="1"/>
  <c r="H46" i="39"/>
  <c r="G46" i="39"/>
  <c r="C46" i="39"/>
  <c r="G45" i="39"/>
  <c r="C45" i="39"/>
  <c r="H45" i="39" s="1"/>
  <c r="H44" i="39"/>
  <c r="G44" i="39"/>
  <c r="C44" i="39"/>
  <c r="G43" i="39"/>
  <c r="C43" i="39"/>
  <c r="H43" i="39" s="1"/>
  <c r="H42" i="39"/>
  <c r="G42" i="39"/>
  <c r="C42" i="39"/>
  <c r="G41" i="39"/>
  <c r="C41" i="39"/>
  <c r="H41" i="39" s="1"/>
  <c r="H40" i="39"/>
  <c r="G40" i="39"/>
  <c r="G39" i="39"/>
  <c r="C39" i="39"/>
  <c r="H39" i="39" s="1"/>
  <c r="H38" i="39"/>
  <c r="G38" i="39"/>
  <c r="C38" i="39"/>
  <c r="G37" i="39"/>
  <c r="C37" i="39"/>
  <c r="H37" i="39" s="1"/>
  <c r="H36" i="39"/>
  <c r="G36" i="39"/>
  <c r="C36" i="39"/>
  <c r="G35" i="39"/>
  <c r="C35" i="39"/>
  <c r="H35" i="39" s="1"/>
  <c r="H34" i="39"/>
  <c r="G34" i="39"/>
  <c r="C34" i="39"/>
  <c r="G33" i="39"/>
  <c r="C33" i="39"/>
  <c r="H33" i="39" s="1"/>
  <c r="H32" i="39"/>
  <c r="G32" i="39"/>
  <c r="C32" i="39"/>
  <c r="G31" i="39"/>
  <c r="C31" i="39"/>
  <c r="H31" i="39" s="1"/>
  <c r="E29" i="39"/>
  <c r="C29" i="39"/>
  <c r="F29" i="39" s="1"/>
  <c r="H29" i="39" s="1"/>
  <c r="E28" i="39"/>
  <c r="C28" i="39"/>
  <c r="F28" i="39" s="1"/>
  <c r="H28" i="39" s="1"/>
  <c r="E27" i="39"/>
  <c r="F27" i="39" s="1"/>
  <c r="H27" i="39" s="1"/>
  <c r="C27" i="39"/>
  <c r="E26" i="39"/>
  <c r="C26" i="39"/>
  <c r="F26" i="39" s="1"/>
  <c r="H26" i="39" s="1"/>
  <c r="E25" i="39"/>
  <c r="C25" i="39"/>
  <c r="F25" i="39" s="1"/>
  <c r="H25" i="39" s="1"/>
  <c r="E24" i="39"/>
  <c r="F24" i="39" s="1"/>
  <c r="H24" i="39" s="1"/>
  <c r="E23" i="39"/>
  <c r="F23" i="39"/>
  <c r="H23" i="39" s="1"/>
  <c r="E22" i="39"/>
  <c r="C22" i="39"/>
  <c r="F22" i="39" s="1"/>
  <c r="H22" i="39" s="1"/>
  <c r="E21" i="39"/>
  <c r="F21" i="39" s="1"/>
  <c r="H21" i="39" s="1"/>
  <c r="C21" i="39"/>
  <c r="E20" i="39"/>
  <c r="C20" i="39"/>
  <c r="F20" i="39" s="1"/>
  <c r="H20" i="39" s="1"/>
  <c r="E19" i="39"/>
  <c r="C19" i="39"/>
  <c r="F19" i="39" s="1"/>
  <c r="H19" i="39" s="1"/>
  <c r="E18" i="39"/>
  <c r="F18" i="39" s="1"/>
  <c r="H18" i="39" s="1"/>
  <c r="E17" i="39"/>
  <c r="F17" i="39"/>
  <c r="H17" i="39" s="1"/>
  <c r="E16" i="39"/>
  <c r="C16" i="39"/>
  <c r="F16" i="39" s="1"/>
  <c r="H16" i="39" s="1"/>
  <c r="E15" i="39"/>
  <c r="F15" i="39" s="1"/>
  <c r="H15" i="39" s="1"/>
  <c r="C15" i="39"/>
  <c r="E14" i="39"/>
  <c r="C14" i="39"/>
  <c r="F14" i="39" s="1"/>
  <c r="H14" i="39" s="1"/>
  <c r="E13" i="39"/>
  <c r="C13" i="39"/>
  <c r="F13" i="39" s="1"/>
  <c r="H13" i="39" s="1"/>
  <c r="E12" i="39"/>
  <c r="F12" i="39" s="1"/>
  <c r="H12" i="39" s="1"/>
  <c r="E11" i="39"/>
  <c r="F11" i="39"/>
  <c r="H11" i="39" s="1"/>
  <c r="E10" i="39"/>
  <c r="C10" i="39"/>
  <c r="F10" i="39" s="1"/>
  <c r="H10" i="39" s="1"/>
  <c r="E9" i="39"/>
  <c r="F9" i="39" s="1"/>
  <c r="H9" i="39" s="1"/>
  <c r="C9" i="39"/>
  <c r="E8" i="39"/>
  <c r="C8" i="39"/>
  <c r="F8" i="39" s="1"/>
  <c r="H8" i="39" s="1"/>
  <c r="E7" i="39"/>
  <c r="C7" i="39"/>
  <c r="F7" i="39" s="1"/>
  <c r="H7" i="39" s="1"/>
  <c r="E6" i="39"/>
  <c r="F6" i="39" s="1"/>
  <c r="C6" i="39"/>
  <c r="J11" i="38"/>
  <c r="L11" i="38" s="1"/>
  <c r="J10" i="38"/>
  <c r="J8" i="38"/>
  <c r="G9" i="38"/>
  <c r="C9" i="38"/>
  <c r="H9" i="38" s="1"/>
  <c r="H10" i="38" s="1"/>
  <c r="E7" i="38"/>
  <c r="C7" i="38"/>
  <c r="F7" i="38" s="1"/>
  <c r="H7" i="38" s="1"/>
  <c r="E6" i="38"/>
  <c r="C6" i="38"/>
  <c r="F6" i="38" s="1"/>
  <c r="J11" i="37"/>
  <c r="L11" i="37" s="1"/>
  <c r="J10" i="37"/>
  <c r="J8" i="37"/>
  <c r="G9" i="37"/>
  <c r="C9" i="37"/>
  <c r="H9" i="37" s="1"/>
  <c r="H10" i="37" s="1"/>
  <c r="E7" i="37"/>
  <c r="C7" i="37"/>
  <c r="F7" i="37" s="1"/>
  <c r="H7" i="37" s="1"/>
  <c r="E6" i="37"/>
  <c r="C6" i="37"/>
  <c r="F6" i="37" s="1"/>
  <c r="J11" i="36"/>
  <c r="L11" i="36" s="1"/>
  <c r="J10" i="36"/>
  <c r="J7" i="36"/>
  <c r="G9" i="36"/>
  <c r="H9" i="36" s="1"/>
  <c r="C9" i="36"/>
  <c r="H8" i="36"/>
  <c r="H10" i="36" s="1"/>
  <c r="G8" i="36"/>
  <c r="C8" i="36"/>
  <c r="F6" i="36"/>
  <c r="F7" i="36" s="1"/>
  <c r="E6" i="36"/>
  <c r="C6" i="36"/>
  <c r="J11" i="35"/>
  <c r="L11" i="35" s="1"/>
  <c r="J10" i="35"/>
  <c r="J7" i="35"/>
  <c r="G9" i="35"/>
  <c r="C9" i="35"/>
  <c r="H9" i="35" s="1"/>
  <c r="H8" i="35"/>
  <c r="H10" i="35" s="1"/>
  <c r="G8" i="35"/>
  <c r="C8" i="35"/>
  <c r="F6" i="35"/>
  <c r="H6" i="35" s="1"/>
  <c r="H7" i="35" s="1"/>
  <c r="E6" i="35"/>
  <c r="C6" i="35"/>
  <c r="J13" i="34"/>
  <c r="L13" i="34" s="1"/>
  <c r="J12" i="34"/>
  <c r="J8" i="34"/>
  <c r="G11" i="34"/>
  <c r="C11" i="34"/>
  <c r="H11" i="34" s="1"/>
  <c r="H10" i="34"/>
  <c r="G10" i="34"/>
  <c r="C10" i="34"/>
  <c r="G9" i="34"/>
  <c r="C9" i="34"/>
  <c r="H9" i="34" s="1"/>
  <c r="G7" i="34"/>
  <c r="E7" i="34"/>
  <c r="C7" i="34"/>
  <c r="F7" i="34" s="1"/>
  <c r="H7" i="34" s="1"/>
  <c r="G6" i="34"/>
  <c r="E6" i="34"/>
  <c r="C6" i="34"/>
  <c r="F6" i="34" s="1"/>
  <c r="L13" i="33"/>
  <c r="J13" i="33"/>
  <c r="J12" i="33"/>
  <c r="J8" i="33"/>
  <c r="G11" i="33"/>
  <c r="H11" i="33" s="1"/>
  <c r="C11" i="33"/>
  <c r="H10" i="33"/>
  <c r="G10" i="33"/>
  <c r="C10" i="33"/>
  <c r="G9" i="33"/>
  <c r="H9" i="33" s="1"/>
  <c r="C9" i="33"/>
  <c r="E7" i="33"/>
  <c r="F7" i="33" s="1"/>
  <c r="H7" i="33" s="1"/>
  <c r="C7" i="33"/>
  <c r="E6" i="33"/>
  <c r="F6" i="33" s="1"/>
  <c r="C6" i="33"/>
  <c r="J13" i="32"/>
  <c r="L13" i="32" s="1"/>
  <c r="J12" i="32"/>
  <c r="J8" i="32"/>
  <c r="H11" i="32"/>
  <c r="G11" i="32"/>
  <c r="C11" i="32"/>
  <c r="H10" i="32"/>
  <c r="G10" i="32"/>
  <c r="C10" i="32"/>
  <c r="H9" i="32"/>
  <c r="H12" i="32" s="1"/>
  <c r="G9" i="32"/>
  <c r="C9" i="32"/>
  <c r="F7" i="32"/>
  <c r="H7" i="32" s="1"/>
  <c r="E7" i="32"/>
  <c r="C7" i="32"/>
  <c r="E6" i="32"/>
  <c r="C6" i="32"/>
  <c r="F6" i="32" s="1"/>
  <c r="F8" i="55" l="1"/>
  <c r="H6" i="55"/>
  <c r="H8" i="55" s="1"/>
  <c r="H11" i="55" s="1"/>
  <c r="F9" i="54"/>
  <c r="H6" i="53"/>
  <c r="H17" i="53" s="1"/>
  <c r="H23" i="53" s="1"/>
  <c r="F17" i="53"/>
  <c r="F16" i="52"/>
  <c r="H6" i="52"/>
  <c r="H16" i="52" s="1"/>
  <c r="H21" i="52" s="1"/>
  <c r="F16" i="51"/>
  <c r="H25" i="51"/>
  <c r="H6" i="51"/>
  <c r="H16" i="51" s="1"/>
  <c r="H26" i="51" s="1"/>
  <c r="F19" i="50"/>
  <c r="H6" i="50"/>
  <c r="H19" i="50" s="1"/>
  <c r="H32" i="50" s="1"/>
  <c r="H6" i="49"/>
  <c r="H19" i="49" s="1"/>
  <c r="H30" i="49" s="1"/>
  <c r="F19" i="49"/>
  <c r="F21" i="48"/>
  <c r="H6" i="48"/>
  <c r="H21" i="48" s="1"/>
  <c r="H34" i="48" s="1"/>
  <c r="H31" i="47"/>
  <c r="F21" i="47"/>
  <c r="H6" i="47"/>
  <c r="H21" i="47" s="1"/>
  <c r="H32" i="47" s="1"/>
  <c r="F17" i="46"/>
  <c r="H6" i="46"/>
  <c r="H17" i="46" s="1"/>
  <c r="H26" i="46" s="1"/>
  <c r="H25" i="46"/>
  <c r="H31" i="45"/>
  <c r="F21" i="45"/>
  <c r="H6" i="45"/>
  <c r="H21" i="45" s="1"/>
  <c r="H32" i="45" s="1"/>
  <c r="F17" i="44"/>
  <c r="H6" i="44"/>
  <c r="H17" i="44" s="1"/>
  <c r="H26" i="44" s="1"/>
  <c r="H25" i="44"/>
  <c r="H6" i="43"/>
  <c r="H9" i="43" s="1"/>
  <c r="H13" i="43" s="1"/>
  <c r="F9" i="43"/>
  <c r="F31" i="42"/>
  <c r="H6" i="42"/>
  <c r="H31" i="42" s="1"/>
  <c r="H51" i="42"/>
  <c r="F29" i="41"/>
  <c r="H6" i="41"/>
  <c r="H29" i="41" s="1"/>
  <c r="H50" i="41" s="1"/>
  <c r="F21" i="40"/>
  <c r="H21" i="40" s="1"/>
  <c r="F19" i="40"/>
  <c r="H19" i="40" s="1"/>
  <c r="F22" i="40"/>
  <c r="H22" i="40" s="1"/>
  <c r="F25" i="40"/>
  <c r="H25" i="40" s="1"/>
  <c r="F20" i="40"/>
  <c r="H20" i="40" s="1"/>
  <c r="F29" i="40"/>
  <c r="H29" i="40" s="1"/>
  <c r="F32" i="40"/>
  <c r="H32" i="40" s="1"/>
  <c r="H36" i="40"/>
  <c r="H39" i="40"/>
  <c r="H42" i="40"/>
  <c r="H45" i="40"/>
  <c r="H48" i="40"/>
  <c r="H51" i="40"/>
  <c r="H54" i="40"/>
  <c r="F6" i="40"/>
  <c r="F9" i="40"/>
  <c r="H9" i="40" s="1"/>
  <c r="F12" i="40"/>
  <c r="H12" i="40" s="1"/>
  <c r="F15" i="40"/>
  <c r="H15" i="40" s="1"/>
  <c r="F10" i="40"/>
  <c r="H10" i="40" s="1"/>
  <c r="F23" i="40"/>
  <c r="H23" i="40" s="1"/>
  <c r="F28" i="40"/>
  <c r="H28" i="40" s="1"/>
  <c r="F8" i="40"/>
  <c r="H8" i="40" s="1"/>
  <c r="F13" i="40"/>
  <c r="H13" i="40" s="1"/>
  <c r="F26" i="40"/>
  <c r="H26" i="40" s="1"/>
  <c r="F31" i="40"/>
  <c r="H31" i="40" s="1"/>
  <c r="H35" i="40"/>
  <c r="H38" i="40"/>
  <c r="H41" i="40"/>
  <c r="H44" i="40"/>
  <c r="H47" i="40"/>
  <c r="H50" i="40"/>
  <c r="H53" i="40"/>
  <c r="H6" i="40"/>
  <c r="H50" i="39"/>
  <c r="J50" i="39" s="1"/>
  <c r="F30" i="39"/>
  <c r="H6" i="39"/>
  <c r="H30" i="39" s="1"/>
  <c r="F8" i="38"/>
  <c r="H6" i="38"/>
  <c r="H8" i="38" s="1"/>
  <c r="H11" i="38" s="1"/>
  <c r="F8" i="37"/>
  <c r="H6" i="37"/>
  <c r="H8" i="37" s="1"/>
  <c r="H11" i="37" s="1"/>
  <c r="H6" i="36"/>
  <c r="H7" i="36" s="1"/>
  <c r="H11" i="36" s="1"/>
  <c r="H11" i="35"/>
  <c r="F7" i="35"/>
  <c r="F8" i="34"/>
  <c r="H6" i="34"/>
  <c r="H8" i="34" s="1"/>
  <c r="H12" i="34"/>
  <c r="H12" i="33"/>
  <c r="F8" i="33"/>
  <c r="H6" i="33"/>
  <c r="H8" i="33" s="1"/>
  <c r="H13" i="33" s="1"/>
  <c r="F8" i="32"/>
  <c r="H6" i="32"/>
  <c r="H8" i="32" s="1"/>
  <c r="H13" i="32" s="1"/>
  <c r="H51" i="39" l="1"/>
  <c r="J51" i="39" s="1"/>
  <c r="L51" i="39" s="1"/>
  <c r="J30" i="39"/>
  <c r="H52" i="42"/>
  <c r="H55" i="40"/>
  <c r="F33" i="40"/>
  <c r="H33" i="40"/>
  <c r="H13" i="34"/>
  <c r="H56" i="40" l="1"/>
  <c r="J33" i="40"/>
</calcChain>
</file>

<file path=xl/sharedStrings.xml><?xml version="1.0" encoding="utf-8"?>
<sst xmlns="http://schemas.openxmlformats.org/spreadsheetml/2006/main" count="1574" uniqueCount="186">
  <si>
    <t>stk</t>
  </si>
  <si>
    <t>Kostencomponent</t>
  </si>
  <si>
    <t>Omschrijving</t>
  </si>
  <si>
    <t>Hoeveelheid</t>
  </si>
  <si>
    <t>Verbruik eenheid</t>
  </si>
  <si>
    <t>Norm per eenheid</t>
  </si>
  <si>
    <t>Totaal uren</t>
  </si>
  <si>
    <t>Kosten per uur / eenheid</t>
  </si>
  <si>
    <t>Totaal Kosten</t>
  </si>
  <si>
    <t>Loonkosten</t>
  </si>
  <si>
    <t>Bestaande waterleiding aanpassen/verleggen</t>
  </si>
  <si>
    <t>Hoofdkraan waterleiding openen en geheel onder druk brengen</t>
  </si>
  <si>
    <t>Waterleiding en afvoer controleren op waterdichtheid</t>
  </si>
  <si>
    <t>m</t>
  </si>
  <si>
    <t>Werkplek opruimen en afkomend materiaal afvoeren</t>
  </si>
  <si>
    <t>post</t>
  </si>
  <si>
    <t>Subtotaal loonkosten</t>
  </si>
  <si>
    <t>Materialkosten</t>
  </si>
  <si>
    <t/>
  </si>
  <si>
    <t>Toebehoren koperen buis ø 12 mm, gemiddeld per meter</t>
  </si>
  <si>
    <t>Koperen buis, halfhard, wanddikte 1 mm, diameter 12 mm</t>
  </si>
  <si>
    <t>Toeslag (klein) materiaal, materieel en diversen</t>
  </si>
  <si>
    <t>Subtotaal materiaalkosten</t>
  </si>
  <si>
    <t>Directe kosten</t>
  </si>
  <si>
    <t>Eindtotaal directe kosten</t>
  </si>
  <si>
    <t>Waterleiding afsluiten en aftappen</t>
  </si>
  <si>
    <t>Aanpassing waterleiding en afvoer</t>
  </si>
  <si>
    <t>Waterleiding aansluiten</t>
  </si>
  <si>
    <t>Waterleiding en afvoer los koppelen</t>
  </si>
  <si>
    <t>Stucwerk en/of tegelwerk plaatselijk herstellen</t>
  </si>
  <si>
    <t>Post voor (klein) materiaal, materieel en diversen</t>
  </si>
  <si>
    <t>Demontage en herstelwerk</t>
  </si>
  <si>
    <t>uur</t>
  </si>
  <si>
    <t>Schoonmaken en in herverstrekbare staat brengen</t>
  </si>
  <si>
    <t>set</t>
  </si>
  <si>
    <t>Contraplaat voor sanitaire hulpmiddel aanbrengen</t>
  </si>
  <si>
    <t>Post (klein) materiaal, materieel en diversen</t>
  </si>
  <si>
    <t>Hulppootset voor sanitaire hulpmiddel aanbrengen</t>
  </si>
  <si>
    <t>Bevestigingsmateriaal hulppootset</t>
  </si>
  <si>
    <t>Waterleiding verlengen (in het zicht) vanaf bestaande punt</t>
  </si>
  <si>
    <t>Afvoer verlengen (in het zicht) vanaf bestaande punt</t>
  </si>
  <si>
    <t>Douchezitting aanbrengen, opklapbaar, zonder rugleuning en armliggers, Handicare Linido, 625 x 405 mm, kunststof, wit</t>
  </si>
  <si>
    <t>Douchezitting monteren</t>
  </si>
  <si>
    <t>Douchezitting, opklapbaar, zonder rugleuning en armleggers, Handicare Linido, 625 x 405 mm, kunststof, wit</t>
  </si>
  <si>
    <t>Bevestigingsset douchezitting, RVS</t>
  </si>
  <si>
    <t>Douchezitting aanbrengen, opklapbaar, met rugleuning, Handicare Linido, 625 x 530 mm, kunststof, wit</t>
  </si>
  <si>
    <t>Douchezitting, opklapbaar, met rugleuning, zonder armlegger, Handicare Linido, 625 x 530 mm, kunststof, wit</t>
  </si>
  <si>
    <t>Douchezitting aanbrengen, opklapbaar, met rugleuning en armleggers, Handicare Linido, kunststof, wit</t>
  </si>
  <si>
    <t>Douchezitting, opklapbaar, met rugleuning en armsteunen, Handicare Linido, 625 x 530 mm, kunststof, wit</t>
  </si>
  <si>
    <t>Hulppootset voor onder douchezitting aanbrengen, Handicare Linido, hoogte verstelbaar, wit</t>
  </si>
  <si>
    <t>Hulppootset voor onder douchezitting, Handicare Linido, hoogte verstelbaar, staal gecoat wit</t>
  </si>
  <si>
    <t>Contraplaat voor douchezitting, Handicare Linido, aanbrengen</t>
  </si>
  <si>
    <t>Contraplaat voor douchezitting, Handicare Linido, RVS gecoat</t>
  </si>
  <si>
    <t>Douchezitting en contraplaat, demontage, herstelwerk, schoonmaken en in herverstrekbare staat brengen - C1/C2/C3/C5</t>
  </si>
  <si>
    <t>Toebehoren douchezitting, demontage, herstelwerk, schoonmaken en in herverstrekbare staat brengen - C4</t>
  </si>
  <si>
    <t>Bad wijzigen in douchehoek, vloer op afschot, met douchecombinatie, 1-greeps mengkraan en glijstang 600 mm met kunststof handdouche</t>
  </si>
  <si>
    <t>ruimte</t>
  </si>
  <si>
    <t>Beschermende U-profielen aanbrengen</t>
  </si>
  <si>
    <t>Looppad afplakken (binnen)</t>
  </si>
  <si>
    <t>Curtain Wall Doorkit aanbrengen en verwijderen</t>
  </si>
  <si>
    <t>Kraan demonteren</t>
  </si>
  <si>
    <t>Bad verwijderen, inclusief badomranding</t>
  </si>
  <si>
    <t>Vloertegels verwijderen, inclusief cementdekvloer</t>
  </si>
  <si>
    <t>m2</t>
  </si>
  <si>
    <t>Wandtegels slopen/verwijderen</t>
  </si>
  <si>
    <t>Tegels rechthakken, incl. schoonbikken voegen</t>
  </si>
  <si>
    <t>Waterleiding t.b.v. douchehoek aanpassen (opbouw)</t>
  </si>
  <si>
    <t>Riolering t.b.v. douchehoek aanpassen</t>
  </si>
  <si>
    <t>Doucheputje aanbrengen</t>
  </si>
  <si>
    <t>Aardnet in vloer aanbrengen, ø 3-150</t>
  </si>
  <si>
    <t>Vloer uitvlakken (afschot)</t>
  </si>
  <si>
    <t>Kimband of hoekband aanbrengen</t>
  </si>
  <si>
    <t>Wand uitvlakken en voorlijmen</t>
  </si>
  <si>
    <t>Wandtegels aanbrengen</t>
  </si>
  <si>
    <t>Afvoegen tegelwerk op wand</t>
  </si>
  <si>
    <t>Vloertegels aanbrengen in specie, inclusief voorstrijk</t>
  </si>
  <si>
    <t>Afvoegen tegelwerk op vloer</t>
  </si>
  <si>
    <t>Kitvoeg tegelwerk aanbrengen</t>
  </si>
  <si>
    <t>Kraan monteren en aansluiten</t>
  </si>
  <si>
    <t>Glijstangset/-combinatie monteren</t>
  </si>
  <si>
    <t>Puin of afgekomen materiaal afvoeren en deponeren in container</t>
  </si>
  <si>
    <t>m3</t>
  </si>
  <si>
    <t>Easydek Frame Cover, schuim U-profiel, blauw, 120 mm x 2 m1</t>
  </si>
  <si>
    <t>Easydek Floor Cover, zelfklevende folie, 100 mµ, blank, rol 0,6 x 60 m1</t>
  </si>
  <si>
    <t>Curtain Wall doorkit 1,20 m1</t>
  </si>
  <si>
    <t>keer</t>
  </si>
  <si>
    <t>Kimband en elastische coating, Schönox afdichtingsset</t>
  </si>
  <si>
    <t>Mapei voorstrijkmiddel, Primer G</t>
  </si>
  <si>
    <t>kg</t>
  </si>
  <si>
    <t>Mapei egalisatiemortel, Ultraplan Eco Xtra, voor dikte 1 - 10 mm</t>
  </si>
  <si>
    <t>Tegellijm, Eurocol 686, supercol</t>
  </si>
  <si>
    <t>Aardingsmat, verzinkt, maaswijdte 50 mm, afmeting 1.000 x 2.000 mm</t>
  </si>
  <si>
    <t>Keramische wandtegel, 150x200 mm, Mosa Casa, mat, lichtgrijs</t>
  </si>
  <si>
    <t>Keramische vloertegel, anti-slip R11/B, Mosa softgrip, mat grijs, 150x150 mm</t>
  </si>
  <si>
    <t>Voegmortel, Eurocol 706 WD, kleur grijs</t>
  </si>
  <si>
    <t>Doucheputje 150 x 150 mm, RVS, met zij-aansluiting, diameter 40 mm</t>
  </si>
  <si>
    <t>Sanitairkit Siliconen N, afdichtingskit, diverse kleuren, 310 ml</t>
  </si>
  <si>
    <t>koker</t>
  </si>
  <si>
    <t>Stelpost voor PVC afvoerbuis, bochten en toebehoren</t>
  </si>
  <si>
    <t>Stelpost voor koud- en warmwaterleiding (opbouw)</t>
  </si>
  <si>
    <t>Douchemengkraan met glijstang en handdouche, Venlo Nimbus New, wandmontage, 1-greeps, chroom</t>
  </si>
  <si>
    <t>Post onvoorzien</t>
  </si>
  <si>
    <t>Bouw- en sloopafval in container, inclusief transport en stortkosten</t>
  </si>
  <si>
    <t>Bad wijzigen in douchehoek, verlaagde douchebak, met douchecombinatie, 1-greeps mengkraan en glijstang 600 mm met kunststof handdouche</t>
  </si>
  <si>
    <t>Aardingsmat t.b.v. sanitaire ruimte aanbrengen</t>
  </si>
  <si>
    <t>Douchebak ondersteuning (indien noodzakelijk) aanbrengen</t>
  </si>
  <si>
    <t>Sifon / plug voormonteren onder douchebak</t>
  </si>
  <si>
    <t>Douchebak plaatsen en waterpas stellen</t>
  </si>
  <si>
    <t>Aansluiten op afvoer</t>
  </si>
  <si>
    <t>Douchebak ondersteuning, De Beer douchebakdrager, breedte en hoogte verstelbaar, staal</t>
  </si>
  <si>
    <t>Sifon voor douchebak/bad, Viega Tempoplex, kunststof (PP) verchroomd, diameter afvoer 40 mm</t>
  </si>
  <si>
    <t>Douchebak, Bette super vlak, anti-slip, plaatstaal/geëmailleerd, vierkant, 900 x 900 x 35 mm, wit</t>
  </si>
  <si>
    <t>Douchebak wijzigen in douchehoek met doucheputje 150 x 150 mm, bestaande douchecombinatie blijft gehandhaafd</t>
  </si>
  <si>
    <t>Douchebak verwijderen</t>
  </si>
  <si>
    <t>Hak- en breekwerk</t>
  </si>
  <si>
    <t>Voorstrijk aanbrengen t.b.v. waterdichte afwerking</t>
  </si>
  <si>
    <t>Waterdichte afdichtingscoating aanbrengen (2-laags)</t>
  </si>
  <si>
    <t>Vloertegels aanbrengen, inclusief voorstrijk</t>
  </si>
  <si>
    <t>Voorstrijkmiddel voor wand en vloer, dispersieprimer Eurocol 099</t>
  </si>
  <si>
    <t>ltr</t>
  </si>
  <si>
    <t>Afdichtingspasta Eurocol Eurocoat 685</t>
  </si>
  <si>
    <t>Hoge douchebak vervangen door verlaagde douchebak Bette super vlak anti-slip, 900 x 900 x 25 mm</t>
  </si>
  <si>
    <t>Montage douchebak voorbereiden (hoogte aftekenen, e.d.)</t>
  </si>
  <si>
    <t>Dragers voormonteren onder douchebak</t>
  </si>
  <si>
    <t>Zelfdragende zwaluwstaartplaten met lichtgewicht beton aanbrengen, vloerdikte 16 + 20 mm, oppervlakte tot 25 m2</t>
  </si>
  <si>
    <t>Zwaluwstaartplaten aanbrengen</t>
  </si>
  <si>
    <t>Fijn grindbeton of spramex aanbrengen, handmatig</t>
  </si>
  <si>
    <t>Vloer vlak en glad afwerken</t>
  </si>
  <si>
    <t>Zelfdragende zwaluwstaartplaat, breedte 630 mm, profielhoogte 16 mm</t>
  </si>
  <si>
    <t>Fijn grindbeton</t>
  </si>
  <si>
    <t>Bestaande wastafel verplaatsen, leidingen in het zicht</t>
  </si>
  <si>
    <t>Montage voorbereiden (aftekenen, boren, draadpennen bevestigen)</t>
  </si>
  <si>
    <t>Wastafel verwijderen en verplaatsen</t>
  </si>
  <si>
    <t>Wastafelkraan voormonteren</t>
  </si>
  <si>
    <t>Sifon aanbrengen</t>
  </si>
  <si>
    <t>PVC buis, Wavin binnenriolering, diameter 40 mm, Ultra-3, grijs</t>
  </si>
  <si>
    <t>Toebehoren PVC buis, diameter 40 mm, Ultra-3, grijs</t>
  </si>
  <si>
    <t>Bekersyfon, Viega, messing verchroomd, diameter 32 mm</t>
  </si>
  <si>
    <t>Schroefbevestigingsset plugbouten, verzinkt, M10 x 120 mm</t>
  </si>
  <si>
    <t>Bestaande wastafel verplaatsen, afvoer lager plaatsen, leidingen in het zicht, inclusief herstel tegelwerk</t>
  </si>
  <si>
    <t>Aanbrengen raaplaag t.b.v. tegelwerk</t>
  </si>
  <si>
    <t>Voorstrijkmiddel aanbrengen voor tegelwerk</t>
  </si>
  <si>
    <t>Keramische wandtegel, Mosa Holland, roomwit mat, afmeting 150 x 150 mm</t>
  </si>
  <si>
    <t>Post materiaal tegelwerk, lijm en voegwerk</t>
  </si>
  <si>
    <t>Bestaande fontein verplaatsen, leidingen in het zicht</t>
  </si>
  <si>
    <t>Fontein verwijderen en verplaatsen</t>
  </si>
  <si>
    <t>Fonteinkraan voormonteren op fontein</t>
  </si>
  <si>
    <t>Bestaande fontein verplaatsen, afvoer lager plaatsen, leidingen in het zicht, inclusief herstel tegelwerk</t>
  </si>
  <si>
    <t>Nieuwe wastafel plaatsen, leidingen in het zicht, exclusief planchet, spiegel en tegelwerk</t>
  </si>
  <si>
    <t>Bestaande ruimte geschikt maken voor wastafelcombinatie</t>
  </si>
  <si>
    <t>Wastafel monteren</t>
  </si>
  <si>
    <t>Wastafelkraan op wastafel(blad) monteren</t>
  </si>
  <si>
    <t>Wastafel, Geberit 300 Basic, 600 x 475 mm, keramiek, wit</t>
  </si>
  <si>
    <t>Wastafelmengkraan, Grohe Eurosmart S-Size, ééngreeps, verchroomd, met inzinkbare ketting</t>
  </si>
  <si>
    <t>Onderrijdbare wastafel aanbrengen, Ideal Standard Contour 21, kleur wit, met Venlo Nimbus New kraan en speciale afvoersyfon, bestaande situatie</t>
  </si>
  <si>
    <t>Wastafel verwijderen</t>
  </si>
  <si>
    <t>Onderrijdbare wastafel, Ideal Standard Contour 21, 650 x 555 x 175 mm, keramiek, wit</t>
  </si>
  <si>
    <t>Mengkraan wastafel, Venlo Nimbus New, eengreeps, messing verchroomd</t>
  </si>
  <si>
    <t>P- en S-sifon, speciaalsifon, Viega, messing, chroom, aansluitmaat 1.1/4 " (32 mm)</t>
  </si>
  <si>
    <t>Onderrijdbare wastafel aanbrengen, Ideal Standard Contour 21, kleur wit, met Venlo Nimbus New kraan en speciale afvoersyfon, nieuwe situatie</t>
  </si>
  <si>
    <t>Wastafel-module met wastafel en afvoerset aanbrengen, Handicare Linido Module met wastafel Geberit 300 Basic, t.p.v. bestaand wastafel</t>
  </si>
  <si>
    <t>Wastafel-module aanbrengen</t>
  </si>
  <si>
    <t>Water- en afvoerleidingen aanpassen en aansluiten</t>
  </si>
  <si>
    <t>Wastafel-module, Handicare Linido Module voor verstelling wastafel</t>
  </si>
  <si>
    <t>Aan-/afvoerset voor wastafel-module, Handicare Linido</t>
  </si>
  <si>
    <t>Muurkraan lager plaatsen, bestaande kraan behouden, wandopbouw</t>
  </si>
  <si>
    <t>Mengkraan en S-koppeling verwijderen</t>
  </si>
  <si>
    <t>Muurplaat op beugels t.b.v. wandmengkraan monteren</t>
  </si>
  <si>
    <t>S-koppeling monteren, inclusief waterpas stellen</t>
  </si>
  <si>
    <t>Mengkraan, opbouw, op wand monteren</t>
  </si>
  <si>
    <t>Kraan controleren op waterdichtheid</t>
  </si>
  <si>
    <t>S-koppeling met rozet, Raminex, messing verchroomd, 1/2" x 3/4"</t>
  </si>
  <si>
    <t>Muurplaat op beugel, Wavin Hep2O, messing 1/2"</t>
  </si>
  <si>
    <t xml:space="preserve">Stomatoilettafel aanbrengen inclusief reservoir, kraan, handdouche en spiegel, Sanmedi STOMA SA-175, opbouw met boveninlaat, kunststof </t>
  </si>
  <si>
    <t>Reservoir stomatoilettafel monteren</t>
  </si>
  <si>
    <t>Stomatoilettafel monteren</t>
  </si>
  <si>
    <t>Kraan stomatoilettafel monteren</t>
  </si>
  <si>
    <t>Stomatoilettafel, Sanmedi SA-175, opbouw met boveninlaat, met reservoir, mengkraan, handdouche en spiegel, kunststof</t>
  </si>
  <si>
    <t>Bekersifon, Viega afvoer, kunststof, wit, diameter afvoer 32 mm</t>
  </si>
  <si>
    <t>Verlengbuis muur, Viega, kunststof, wit, diameter 32 mm</t>
  </si>
  <si>
    <t>Kantelbare spiegelhouder met spiegel aanbrengen, compleet, Ideal Standard Contour 21, afmeting 500 x 700 mm (bxh)</t>
  </si>
  <si>
    <t>Beslag voor kantelspiegel aanbrengen</t>
  </si>
  <si>
    <t>Spiegel in kantelgarnituur aanbrengen</t>
  </si>
  <si>
    <t>Kantelspiegel, compleet, Ideal Standard Contour 21, afmeting 500 x 700 mm (bxh)</t>
  </si>
  <si>
    <t>Bevestigingsmateriaal voor kantelspiegel</t>
  </si>
  <si>
    <t xml:space="preserve">Wastafels en toebehoren, demontage, herstelwerk, schoonmaken en in herverstrekbare staat brengen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</si>
</sst>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4" fontId="1" fillId="0" borderId="0" xfId="0" applyNumberFormat="1" applyFont="1"/>
    <xf numFmtId="4" fontId="2" fillId="0" borderId="0" xfId="0" applyNumberFormat="1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8BA0-8892-4498-AB2F-23683FD7304A}">
  <dimension ref="A1:L13"/>
  <sheetViews>
    <sheetView topLeftCell="G1" workbookViewId="0">
      <selection activeCell="K8" sqref="K8"/>
    </sheetView>
  </sheetViews>
  <sheetFormatPr defaultRowHeight="15"/>
  <cols>
    <col min="1" max="1" width="17.85546875" customWidth="1"/>
    <col min="2" max="2" width="96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41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42</v>
      </c>
      <c r="C6" s="2">
        <f>A3/1*1000/1000</f>
        <v>1</v>
      </c>
      <c r="D6" t="s">
        <v>0</v>
      </c>
      <c r="E6" s="3">
        <f>7500/10000</f>
        <v>0.75</v>
      </c>
      <c r="F6" s="2">
        <f>C6*E6</f>
        <v>0.75</v>
      </c>
      <c r="G6" s="2">
        <v>52.2</v>
      </c>
      <c r="H6" s="2">
        <f>F6*G6</f>
        <v>39.150000000000006</v>
      </c>
    </row>
    <row r="7" spans="1:12">
      <c r="B7" t="s">
        <v>14</v>
      </c>
      <c r="C7" s="2">
        <f>A3/1*1000/1000</f>
        <v>1</v>
      </c>
      <c r="D7" t="s">
        <v>15</v>
      </c>
      <c r="E7" s="3">
        <f>1000/10000</f>
        <v>0.1</v>
      </c>
      <c r="F7" s="2">
        <f>C7*E7</f>
        <v>0.1</v>
      </c>
      <c r="G7" s="2">
        <v>52.2</v>
      </c>
      <c r="H7" s="2">
        <f>F7*G7</f>
        <v>5.2200000000000006</v>
      </c>
    </row>
    <row r="8" spans="1:12">
      <c r="B8" s="1" t="s">
        <v>16</v>
      </c>
      <c r="F8" s="4">
        <f>SUM(F6:F7)</f>
        <v>0.85</v>
      </c>
      <c r="H8" s="4">
        <f>SUM(H6:H7)</f>
        <v>44.370000000000005</v>
      </c>
      <c r="J8" s="5">
        <f>H8*1.17</f>
        <v>51.9129</v>
      </c>
      <c r="L8" s="2"/>
    </row>
    <row r="9" spans="1:12">
      <c r="A9" s="1" t="s">
        <v>17</v>
      </c>
      <c r="B9" t="s">
        <v>43</v>
      </c>
      <c r="C9" s="2">
        <f>A3/1*1</f>
        <v>1</v>
      </c>
      <c r="D9" t="s">
        <v>0</v>
      </c>
      <c r="E9" s="3" t="s">
        <v>18</v>
      </c>
      <c r="F9" s="2" t="s">
        <v>18</v>
      </c>
      <c r="G9" s="2">
        <f>(1464/10)</f>
        <v>146.4</v>
      </c>
      <c r="H9" s="2">
        <f>C9*G9</f>
        <v>146.4</v>
      </c>
      <c r="L9" s="2"/>
    </row>
    <row r="10" spans="1:12">
      <c r="B10" t="s">
        <v>44</v>
      </c>
      <c r="C10" s="2">
        <f>A3/1*1</f>
        <v>1</v>
      </c>
      <c r="D10" t="s">
        <v>34</v>
      </c>
      <c r="E10" s="3" t="s">
        <v>18</v>
      </c>
      <c r="F10" s="2" t="s">
        <v>18</v>
      </c>
      <c r="G10" s="2">
        <f>(1248/100)</f>
        <v>12.48</v>
      </c>
      <c r="H10" s="2">
        <f>C10*G10</f>
        <v>12.48</v>
      </c>
      <c r="J10" s="5"/>
      <c r="L10" s="2"/>
    </row>
    <row r="11" spans="1:12">
      <c r="B11" t="s">
        <v>36</v>
      </c>
      <c r="C11" s="2">
        <f>A3/1*1</f>
        <v>1</v>
      </c>
      <c r="D11" t="s">
        <v>15</v>
      </c>
      <c r="E11" s="3" t="s">
        <v>18</v>
      </c>
      <c r="F11" s="2" t="s">
        <v>18</v>
      </c>
      <c r="G11" s="2">
        <f>2</f>
        <v>2</v>
      </c>
      <c r="H11" s="2">
        <f>C11*G11</f>
        <v>2</v>
      </c>
      <c r="J11" s="5"/>
      <c r="L11" s="5"/>
    </row>
    <row r="12" spans="1:12">
      <c r="B12" s="1" t="s">
        <v>22</v>
      </c>
      <c r="H12" s="4">
        <f>SUM(H9:H11)</f>
        <v>160.88</v>
      </c>
      <c r="J12" s="5">
        <f>H12*1.17</f>
        <v>188.22959999999998</v>
      </c>
      <c r="L12" s="2"/>
    </row>
    <row r="13" spans="1:12">
      <c r="A13" s="1" t="s">
        <v>23</v>
      </c>
      <c r="B13" s="1" t="s">
        <v>24</v>
      </c>
      <c r="H13" s="4">
        <f>H8+H12</f>
        <v>205.25</v>
      </c>
      <c r="J13" s="5">
        <f>H13*1.17</f>
        <v>240.14249999999998</v>
      </c>
      <c r="L13" s="5">
        <f>J13*1.21</f>
        <v>290.57242499999995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DBA6-3304-4630-A69E-CA32C83E039B}">
  <dimension ref="A1:L52"/>
  <sheetViews>
    <sheetView topLeftCell="C19" workbookViewId="0">
      <selection activeCell="J29" sqref="J29:L50"/>
    </sheetView>
  </sheetViews>
  <sheetFormatPr defaultRowHeight="15"/>
  <cols>
    <col min="1" max="1" width="17.85546875" customWidth="1"/>
    <col min="2" max="2" width="69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112</v>
      </c>
    </row>
    <row r="3" spans="1:8">
      <c r="A3">
        <v>1</v>
      </c>
      <c r="B3" t="s">
        <v>56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57</v>
      </c>
      <c r="C6" s="2">
        <f>A3/1*2000/1000</f>
        <v>2</v>
      </c>
      <c r="D6" t="s">
        <v>0</v>
      </c>
      <c r="E6" s="3">
        <f>200/10000</f>
        <v>0.02</v>
      </c>
      <c r="F6" s="2">
        <f t="shared" ref="F6:F28" si="0">C6*E6</f>
        <v>0.04</v>
      </c>
      <c r="G6" s="2">
        <v>48.72</v>
      </c>
      <c r="H6" s="2">
        <f t="shared" ref="H6:H28" si="1">F6*G6</f>
        <v>1.9488000000000001</v>
      </c>
    </row>
    <row r="7" spans="1:8">
      <c r="B7" t="s">
        <v>58</v>
      </c>
      <c r="C7" s="2">
        <f>A3/1*5000/1000</f>
        <v>5</v>
      </c>
      <c r="D7" t="s">
        <v>13</v>
      </c>
      <c r="E7" s="3">
        <f>1500/10000</f>
        <v>0.15</v>
      </c>
      <c r="F7" s="2">
        <f t="shared" si="0"/>
        <v>0.75</v>
      </c>
      <c r="G7" s="2">
        <v>48.72</v>
      </c>
      <c r="H7" s="2">
        <f t="shared" si="1"/>
        <v>36.54</v>
      </c>
    </row>
    <row r="8" spans="1:8">
      <c r="B8" t="s">
        <v>59</v>
      </c>
      <c r="C8" s="2">
        <f>A3/1*1000/1000</f>
        <v>1</v>
      </c>
      <c r="D8" t="s">
        <v>0</v>
      </c>
      <c r="E8" s="3">
        <f>5000/10000</f>
        <v>0.5</v>
      </c>
      <c r="F8" s="2">
        <f t="shared" si="0"/>
        <v>0.5</v>
      </c>
      <c r="G8" s="2">
        <v>48.72</v>
      </c>
      <c r="H8" s="2">
        <f t="shared" si="1"/>
        <v>24.36</v>
      </c>
    </row>
    <row r="9" spans="1:8">
      <c r="B9" t="s">
        <v>113</v>
      </c>
      <c r="C9" s="2">
        <f>A3/1*1000/1000</f>
        <v>1</v>
      </c>
      <c r="D9" t="s">
        <v>0</v>
      </c>
      <c r="E9" s="3">
        <f>6000/10000</f>
        <v>0.6</v>
      </c>
      <c r="F9" s="2">
        <f t="shared" si="0"/>
        <v>0.6</v>
      </c>
      <c r="G9" s="2">
        <v>52.2</v>
      </c>
      <c r="H9" s="2">
        <f t="shared" si="1"/>
        <v>31.32</v>
      </c>
    </row>
    <row r="10" spans="1:8">
      <c r="B10" t="s">
        <v>62</v>
      </c>
      <c r="C10" s="2">
        <f>A3/1*1500/1000</f>
        <v>1.5</v>
      </c>
      <c r="D10" t="s">
        <v>63</v>
      </c>
      <c r="E10" s="3">
        <f>10000/10000</f>
        <v>1</v>
      </c>
      <c r="F10" s="2">
        <f t="shared" si="0"/>
        <v>1.5</v>
      </c>
      <c r="G10" s="2">
        <v>48.72</v>
      </c>
      <c r="H10" s="2">
        <f t="shared" si="1"/>
        <v>73.08</v>
      </c>
    </row>
    <row r="11" spans="1:8">
      <c r="B11" t="s">
        <v>64</v>
      </c>
      <c r="C11" s="2">
        <f>A3/1*1500/1000</f>
        <v>1.5</v>
      </c>
      <c r="D11" t="s">
        <v>63</v>
      </c>
      <c r="E11" s="3">
        <f>5000/10000</f>
        <v>0.5</v>
      </c>
      <c r="F11" s="2">
        <f t="shared" si="0"/>
        <v>0.75</v>
      </c>
      <c r="G11" s="2">
        <v>48.72</v>
      </c>
      <c r="H11" s="2">
        <f t="shared" si="1"/>
        <v>36.54</v>
      </c>
    </row>
    <row r="12" spans="1:8">
      <c r="B12" t="s">
        <v>114</v>
      </c>
      <c r="C12" s="2">
        <f>A3/1*1000/1000</f>
        <v>1</v>
      </c>
      <c r="D12" t="s">
        <v>15</v>
      </c>
      <c r="E12" s="3">
        <f>20000/10000</f>
        <v>2</v>
      </c>
      <c r="F12" s="2">
        <f t="shared" si="0"/>
        <v>2</v>
      </c>
      <c r="G12" s="2">
        <v>48.72</v>
      </c>
      <c r="H12" s="2">
        <f t="shared" si="1"/>
        <v>97.44</v>
      </c>
    </row>
    <row r="13" spans="1:8">
      <c r="B13" t="s">
        <v>65</v>
      </c>
      <c r="C13" s="2">
        <f>A3/1*6000/1000</f>
        <v>6</v>
      </c>
      <c r="D13" t="s">
        <v>13</v>
      </c>
      <c r="E13" s="3">
        <f>2500/10000</f>
        <v>0.25</v>
      </c>
      <c r="F13" s="2">
        <f t="shared" si="0"/>
        <v>1.5</v>
      </c>
      <c r="G13" s="2">
        <v>48.72</v>
      </c>
      <c r="H13" s="2">
        <f t="shared" si="1"/>
        <v>73.08</v>
      </c>
    </row>
    <row r="14" spans="1:8">
      <c r="B14" t="s">
        <v>67</v>
      </c>
      <c r="C14" s="2">
        <f>A3/1*1000/1000</f>
        <v>1</v>
      </c>
      <c r="D14" t="s">
        <v>15</v>
      </c>
      <c r="E14" s="3">
        <f>15000/10000</f>
        <v>1.5</v>
      </c>
      <c r="F14" s="2">
        <f t="shared" si="0"/>
        <v>1.5</v>
      </c>
      <c r="G14" s="2">
        <v>52.2</v>
      </c>
      <c r="H14" s="2">
        <f t="shared" si="1"/>
        <v>78.300000000000011</v>
      </c>
    </row>
    <row r="15" spans="1:8">
      <c r="B15" t="s">
        <v>68</v>
      </c>
      <c r="C15" s="2">
        <f>A3/1*1000/1000</f>
        <v>1</v>
      </c>
      <c r="D15" t="s">
        <v>0</v>
      </c>
      <c r="E15" s="3">
        <f>10000/10000</f>
        <v>1</v>
      </c>
      <c r="F15" s="2">
        <f t="shared" si="0"/>
        <v>1</v>
      </c>
      <c r="G15" s="2">
        <v>52.2</v>
      </c>
      <c r="H15" s="2">
        <f t="shared" si="1"/>
        <v>52.2</v>
      </c>
    </row>
    <row r="16" spans="1:8">
      <c r="B16" t="s">
        <v>104</v>
      </c>
      <c r="C16" s="2">
        <f>A3/1*1000/1000</f>
        <v>1</v>
      </c>
      <c r="D16" t="s">
        <v>63</v>
      </c>
      <c r="E16" s="3">
        <f>1200/10000</f>
        <v>0.12</v>
      </c>
      <c r="F16" s="2">
        <f t="shared" si="0"/>
        <v>0.12</v>
      </c>
      <c r="G16" s="2">
        <v>52.2</v>
      </c>
      <c r="H16" s="2">
        <f t="shared" si="1"/>
        <v>6.2640000000000002</v>
      </c>
    </row>
    <row r="17" spans="1:12">
      <c r="B17" t="s">
        <v>70</v>
      </c>
      <c r="C17" s="2">
        <f>A3/1*1500/1000</f>
        <v>1.5</v>
      </c>
      <c r="D17" t="s">
        <v>63</v>
      </c>
      <c r="E17" s="3">
        <f>5000/10000</f>
        <v>0.5</v>
      </c>
      <c r="F17" s="2">
        <f t="shared" si="0"/>
        <v>0.75</v>
      </c>
      <c r="G17" s="2">
        <v>48.72</v>
      </c>
      <c r="H17" s="2">
        <f t="shared" si="1"/>
        <v>36.54</v>
      </c>
    </row>
    <row r="18" spans="1:12">
      <c r="B18" t="s">
        <v>115</v>
      </c>
      <c r="C18" s="2">
        <f>A3/1*3000/1000</f>
        <v>3</v>
      </c>
      <c r="D18" t="s">
        <v>63</v>
      </c>
      <c r="E18" s="3">
        <f>1500/10000</f>
        <v>0.15</v>
      </c>
      <c r="F18" s="2">
        <f t="shared" si="0"/>
        <v>0.44999999999999996</v>
      </c>
      <c r="G18" s="2">
        <v>48.72</v>
      </c>
      <c r="H18" s="2">
        <f t="shared" si="1"/>
        <v>21.923999999999996</v>
      </c>
    </row>
    <row r="19" spans="1:12">
      <c r="B19" t="s">
        <v>116</v>
      </c>
      <c r="C19" s="2">
        <f>A3/1*6000/1000</f>
        <v>6</v>
      </c>
      <c r="D19" t="s">
        <v>63</v>
      </c>
      <c r="E19" s="3">
        <f>2000/10000</f>
        <v>0.2</v>
      </c>
      <c r="F19" s="2">
        <f t="shared" si="0"/>
        <v>1.2000000000000002</v>
      </c>
      <c r="G19" s="2">
        <v>48.72</v>
      </c>
      <c r="H19" s="2">
        <f t="shared" si="1"/>
        <v>58.464000000000006</v>
      </c>
    </row>
    <row r="20" spans="1:12">
      <c r="B20" t="s">
        <v>71</v>
      </c>
      <c r="C20" s="2">
        <f>A3/1*4000/1000</f>
        <v>4</v>
      </c>
      <c r="D20" t="s">
        <v>13</v>
      </c>
      <c r="E20" s="3">
        <f>1000/10000</f>
        <v>0.1</v>
      </c>
      <c r="F20" s="2">
        <f t="shared" si="0"/>
        <v>0.4</v>
      </c>
      <c r="G20" s="2">
        <v>48.72</v>
      </c>
      <c r="H20" s="2">
        <f t="shared" si="1"/>
        <v>19.488</v>
      </c>
    </row>
    <row r="21" spans="1:12">
      <c r="B21" t="s">
        <v>72</v>
      </c>
      <c r="C21" s="2">
        <f>A3/1*1500/1000</f>
        <v>1.5</v>
      </c>
      <c r="D21" t="s">
        <v>63</v>
      </c>
      <c r="E21" s="3">
        <f>3500/10000</f>
        <v>0.35</v>
      </c>
      <c r="F21" s="2">
        <f t="shared" si="0"/>
        <v>0.52499999999999991</v>
      </c>
      <c r="G21" s="2">
        <v>48.72</v>
      </c>
      <c r="H21" s="2">
        <f t="shared" si="1"/>
        <v>25.577999999999996</v>
      </c>
    </row>
    <row r="22" spans="1:12">
      <c r="B22" t="s">
        <v>73</v>
      </c>
      <c r="C22" s="2">
        <f>A3/1*1500/1000</f>
        <v>1.5</v>
      </c>
      <c r="D22" t="s">
        <v>63</v>
      </c>
      <c r="E22" s="3">
        <f>10000/10000</f>
        <v>1</v>
      </c>
      <c r="F22" s="2">
        <f t="shared" si="0"/>
        <v>1.5</v>
      </c>
      <c r="G22" s="2">
        <v>48.72</v>
      </c>
      <c r="H22" s="2">
        <f t="shared" si="1"/>
        <v>73.08</v>
      </c>
    </row>
    <row r="23" spans="1:12">
      <c r="B23" t="s">
        <v>74</v>
      </c>
      <c r="C23" s="2">
        <f>A3/1*1500/1000</f>
        <v>1.5</v>
      </c>
      <c r="D23" t="s">
        <v>63</v>
      </c>
      <c r="E23" s="3">
        <f>1500/10000</f>
        <v>0.15</v>
      </c>
      <c r="F23" s="2">
        <f t="shared" si="0"/>
        <v>0.22499999999999998</v>
      </c>
      <c r="G23" s="2">
        <v>48.72</v>
      </c>
      <c r="H23" s="2">
        <f t="shared" si="1"/>
        <v>10.961999999999998</v>
      </c>
    </row>
    <row r="24" spans="1:12">
      <c r="B24" t="s">
        <v>117</v>
      </c>
      <c r="C24" s="2">
        <f>A3/1*1500/1000</f>
        <v>1.5</v>
      </c>
      <c r="D24" t="s">
        <v>63</v>
      </c>
      <c r="E24" s="3">
        <f>13500/10000</f>
        <v>1.35</v>
      </c>
      <c r="F24" s="2">
        <f t="shared" si="0"/>
        <v>2.0250000000000004</v>
      </c>
      <c r="G24" s="2">
        <v>48.72</v>
      </c>
      <c r="H24" s="2">
        <f t="shared" si="1"/>
        <v>98.658000000000015</v>
      </c>
    </row>
    <row r="25" spans="1:12">
      <c r="B25" t="s">
        <v>76</v>
      </c>
      <c r="C25" s="2">
        <f>A3/1*1500/1000</f>
        <v>1.5</v>
      </c>
      <c r="D25" t="s">
        <v>63</v>
      </c>
      <c r="E25" s="3">
        <f>1500/10000</f>
        <v>0.15</v>
      </c>
      <c r="F25" s="2">
        <f t="shared" si="0"/>
        <v>0.22499999999999998</v>
      </c>
      <c r="G25" s="2">
        <v>48.72</v>
      </c>
      <c r="H25" s="2">
        <f t="shared" si="1"/>
        <v>10.961999999999998</v>
      </c>
    </row>
    <row r="26" spans="1:12">
      <c r="B26" t="s">
        <v>77</v>
      </c>
      <c r="C26" s="2">
        <f>A3/1*4000/1000</f>
        <v>4</v>
      </c>
      <c r="D26" t="s">
        <v>13</v>
      </c>
      <c r="E26" s="3">
        <f>1000/10000</f>
        <v>0.1</v>
      </c>
      <c r="F26" s="2">
        <f t="shared" si="0"/>
        <v>0.4</v>
      </c>
      <c r="G26" s="2">
        <v>48.72</v>
      </c>
      <c r="H26" s="2">
        <f t="shared" si="1"/>
        <v>19.488</v>
      </c>
    </row>
    <row r="27" spans="1:12">
      <c r="B27" t="s">
        <v>80</v>
      </c>
      <c r="C27" s="2">
        <f>A3/1*100/1000</f>
        <v>0.1</v>
      </c>
      <c r="D27" t="s">
        <v>81</v>
      </c>
      <c r="E27" s="3">
        <f>10000/10000</f>
        <v>1</v>
      </c>
      <c r="F27" s="2">
        <f t="shared" si="0"/>
        <v>0.1</v>
      </c>
      <c r="G27" s="2">
        <v>48.72</v>
      </c>
      <c r="H27" s="2">
        <f t="shared" si="1"/>
        <v>4.8719999999999999</v>
      </c>
    </row>
    <row r="28" spans="1:12">
      <c r="B28" t="s">
        <v>14</v>
      </c>
      <c r="C28" s="2">
        <f>A3/1*1000/1000</f>
        <v>1</v>
      </c>
      <c r="D28" t="s">
        <v>15</v>
      </c>
      <c r="E28" s="3">
        <f>3000/10000</f>
        <v>0.3</v>
      </c>
      <c r="F28" s="2">
        <f t="shared" si="0"/>
        <v>0.3</v>
      </c>
      <c r="G28" s="2">
        <v>48.72</v>
      </c>
      <c r="H28" s="2">
        <f t="shared" si="1"/>
        <v>14.616</v>
      </c>
    </row>
    <row r="29" spans="1:12">
      <c r="B29" s="6" t="s">
        <v>16</v>
      </c>
      <c r="F29" s="5">
        <f>SUM(F6:F28)</f>
        <v>18.360000000000003</v>
      </c>
      <c r="H29" s="5">
        <f>SUM(H6:H28)</f>
        <v>905.70480000000009</v>
      </c>
      <c r="J29" s="5">
        <f>H29*1.17</f>
        <v>1059.674616</v>
      </c>
      <c r="K29" s="2"/>
      <c r="L29" s="2"/>
    </row>
    <row r="30" spans="1:12">
      <c r="A30" s="6" t="s">
        <v>17</v>
      </c>
      <c r="B30" t="s">
        <v>82</v>
      </c>
      <c r="C30" s="2">
        <f>A3/1*2</f>
        <v>2</v>
      </c>
      <c r="D30" t="s">
        <v>0</v>
      </c>
      <c r="E30" s="3" t="s">
        <v>18</v>
      </c>
      <c r="F30" s="2" t="s">
        <v>18</v>
      </c>
      <c r="G30" s="2">
        <f>(758/100)</f>
        <v>7.58</v>
      </c>
      <c r="H30" s="2">
        <f t="shared" ref="H30:H48" si="2">C30*G30</f>
        <v>15.16</v>
      </c>
      <c r="J30" s="2"/>
      <c r="K30" s="2"/>
      <c r="L30" s="2"/>
    </row>
    <row r="31" spans="1:12">
      <c r="B31" t="s">
        <v>83</v>
      </c>
      <c r="C31" s="2">
        <f>A3/1*5</f>
        <v>5</v>
      </c>
      <c r="D31" t="s">
        <v>63</v>
      </c>
      <c r="E31" s="3" t="s">
        <v>18</v>
      </c>
      <c r="F31" s="2" t="s">
        <v>18</v>
      </c>
      <c r="G31" s="2">
        <f>(144/100)</f>
        <v>1.44</v>
      </c>
      <c r="H31" s="2">
        <f t="shared" si="2"/>
        <v>7.1999999999999993</v>
      </c>
      <c r="J31" s="2"/>
      <c r="K31" s="2"/>
      <c r="L31" s="2"/>
    </row>
    <row r="32" spans="1:12">
      <c r="B32" t="s">
        <v>84</v>
      </c>
      <c r="C32" s="2">
        <f>A3/1*1</f>
        <v>1</v>
      </c>
      <c r="D32" t="s">
        <v>85</v>
      </c>
      <c r="E32" s="3" t="s">
        <v>18</v>
      </c>
      <c r="F32" s="2" t="s">
        <v>18</v>
      </c>
      <c r="G32" s="2">
        <f>(385/10)</f>
        <v>38.5</v>
      </c>
      <c r="H32" s="2">
        <f t="shared" si="2"/>
        <v>38.5</v>
      </c>
      <c r="J32" s="2"/>
      <c r="K32" s="2"/>
      <c r="L32" s="2"/>
    </row>
    <row r="33" spans="2:12">
      <c r="B33" t="s">
        <v>86</v>
      </c>
      <c r="C33" s="2">
        <f>A3/1*4</f>
        <v>4</v>
      </c>
      <c r="D33" t="s">
        <v>13</v>
      </c>
      <c r="E33" s="3" t="s">
        <v>18</v>
      </c>
      <c r="F33" s="2" t="s">
        <v>18</v>
      </c>
      <c r="G33" s="2">
        <f>(425/100)</f>
        <v>4.25</v>
      </c>
      <c r="H33" s="2">
        <f t="shared" si="2"/>
        <v>17</v>
      </c>
      <c r="J33" s="2"/>
      <c r="K33" s="2"/>
      <c r="L33" s="2"/>
    </row>
    <row r="34" spans="2:12">
      <c r="B34" t="s">
        <v>87</v>
      </c>
      <c r="C34" s="2">
        <f>A3/1*(525/1000)</f>
        <v>0.52500000000000002</v>
      </c>
      <c r="D34" t="s">
        <v>88</v>
      </c>
      <c r="E34" s="3" t="s">
        <v>18</v>
      </c>
      <c r="F34" s="2" t="s">
        <v>18</v>
      </c>
      <c r="G34" s="2">
        <f>(727/100)</f>
        <v>7.27</v>
      </c>
      <c r="H34" s="2">
        <f t="shared" si="2"/>
        <v>3.8167499999999999</v>
      </c>
      <c r="J34" s="2"/>
      <c r="K34" s="2"/>
      <c r="L34" s="2"/>
    </row>
    <row r="35" spans="2:12">
      <c r="B35" t="s">
        <v>89</v>
      </c>
      <c r="C35" s="2">
        <f>A3/1*(144/10)</f>
        <v>14.4</v>
      </c>
      <c r="D35" t="s">
        <v>88</v>
      </c>
      <c r="E35" s="3" t="s">
        <v>18</v>
      </c>
      <c r="F35" s="2" t="s">
        <v>18</v>
      </c>
      <c r="G35" s="2">
        <f>(106/100)</f>
        <v>1.06</v>
      </c>
      <c r="H35" s="2">
        <f t="shared" si="2"/>
        <v>15.264000000000001</v>
      </c>
      <c r="J35" s="2"/>
      <c r="K35" s="2"/>
      <c r="L35" s="2"/>
    </row>
    <row r="36" spans="2:12">
      <c r="B36" t="s">
        <v>90</v>
      </c>
      <c r="C36" s="2">
        <f>A3/1*3</f>
        <v>3</v>
      </c>
      <c r="D36" t="s">
        <v>88</v>
      </c>
      <c r="E36" s="3" t="s">
        <v>18</v>
      </c>
      <c r="F36" s="2" t="s">
        <v>18</v>
      </c>
      <c r="G36" s="2">
        <f>(197/100)</f>
        <v>1.97</v>
      </c>
      <c r="H36" s="2">
        <f t="shared" si="2"/>
        <v>5.91</v>
      </c>
      <c r="J36" s="2"/>
      <c r="K36" s="2"/>
      <c r="L36" s="2"/>
    </row>
    <row r="37" spans="2:12">
      <c r="B37" t="s">
        <v>91</v>
      </c>
      <c r="C37" s="2">
        <f>A3/1*1</f>
        <v>1</v>
      </c>
      <c r="D37" t="s">
        <v>0</v>
      </c>
      <c r="E37" s="3" t="s">
        <v>18</v>
      </c>
      <c r="F37" s="2" t="s">
        <v>18</v>
      </c>
      <c r="G37" s="2">
        <f>(1702/100)</f>
        <v>17.02</v>
      </c>
      <c r="H37" s="2">
        <f t="shared" si="2"/>
        <v>17.02</v>
      </c>
      <c r="J37" s="2"/>
      <c r="K37" s="2"/>
      <c r="L37" s="2"/>
    </row>
    <row r="38" spans="2:12">
      <c r="B38" t="s">
        <v>118</v>
      </c>
      <c r="C38" s="2">
        <f>A3/1*(45/100)</f>
        <v>0.45</v>
      </c>
      <c r="D38" t="s">
        <v>119</v>
      </c>
      <c r="E38" s="3" t="s">
        <v>18</v>
      </c>
      <c r="F38" s="2" t="s">
        <v>18</v>
      </c>
      <c r="G38" s="2">
        <f>(55/10)</f>
        <v>5.5</v>
      </c>
      <c r="H38" s="2">
        <f t="shared" si="2"/>
        <v>2.4750000000000001</v>
      </c>
      <c r="J38" s="2"/>
      <c r="K38" s="2"/>
      <c r="L38" s="2"/>
    </row>
    <row r="39" spans="2:12">
      <c r="B39" t="s">
        <v>120</v>
      </c>
      <c r="C39" s="2">
        <f>A3/1*(21/10)</f>
        <v>2.1</v>
      </c>
      <c r="D39" t="s">
        <v>88</v>
      </c>
      <c r="E39" s="3" t="s">
        <v>18</v>
      </c>
      <c r="F39" s="2" t="s">
        <v>18</v>
      </c>
      <c r="G39" s="2">
        <f>7</f>
        <v>7</v>
      </c>
      <c r="H39" s="2">
        <f t="shared" si="2"/>
        <v>14.700000000000001</v>
      </c>
      <c r="J39" s="2"/>
      <c r="K39" s="2"/>
      <c r="L39" s="2"/>
    </row>
    <row r="40" spans="2:12">
      <c r="B40" t="s">
        <v>92</v>
      </c>
      <c r="C40" s="2">
        <f>A3/1*(165/100)</f>
        <v>1.65</v>
      </c>
      <c r="D40" t="s">
        <v>63</v>
      </c>
      <c r="E40" s="3" t="s">
        <v>18</v>
      </c>
      <c r="F40" s="2" t="s">
        <v>18</v>
      </c>
      <c r="G40" s="2">
        <f>33</f>
        <v>33</v>
      </c>
      <c r="H40" s="2">
        <f t="shared" si="2"/>
        <v>54.449999999999996</v>
      </c>
      <c r="J40" s="2"/>
      <c r="K40" s="2"/>
      <c r="L40" s="2"/>
    </row>
    <row r="41" spans="2:12">
      <c r="B41" t="s">
        <v>93</v>
      </c>
      <c r="C41" s="2">
        <f>A3/1*(165/100)</f>
        <v>1.65</v>
      </c>
      <c r="D41" t="s">
        <v>63</v>
      </c>
      <c r="E41" s="3" t="s">
        <v>18</v>
      </c>
      <c r="F41" s="2" t="s">
        <v>18</v>
      </c>
      <c r="G41" s="2">
        <f>59</f>
        <v>59</v>
      </c>
      <c r="H41" s="2">
        <f t="shared" si="2"/>
        <v>97.35</v>
      </c>
      <c r="J41" s="2"/>
      <c r="K41" s="2"/>
      <c r="L41" s="2"/>
    </row>
    <row r="42" spans="2:12">
      <c r="B42" t="s">
        <v>94</v>
      </c>
      <c r="C42" s="2">
        <f>A3/1*3</f>
        <v>3</v>
      </c>
      <c r="D42" t="s">
        <v>88</v>
      </c>
      <c r="E42" s="3" t="s">
        <v>18</v>
      </c>
      <c r="F42" s="2" t="s">
        <v>18</v>
      </c>
      <c r="G42" s="2">
        <f>(222/100)</f>
        <v>2.2200000000000002</v>
      </c>
      <c r="H42" s="2">
        <f t="shared" si="2"/>
        <v>6.66</v>
      </c>
      <c r="J42" s="2"/>
      <c r="K42" s="2"/>
      <c r="L42" s="2"/>
    </row>
    <row r="43" spans="2:12">
      <c r="B43" t="s">
        <v>95</v>
      </c>
      <c r="C43" s="2">
        <f>A3/1*1</f>
        <v>1</v>
      </c>
      <c r="D43" t="s">
        <v>0</v>
      </c>
      <c r="E43" s="3" t="s">
        <v>18</v>
      </c>
      <c r="F43" s="2" t="s">
        <v>18</v>
      </c>
      <c r="G43" s="2">
        <f>(4359/100)</f>
        <v>43.59</v>
      </c>
      <c r="H43" s="2">
        <f t="shared" si="2"/>
        <v>43.59</v>
      </c>
      <c r="J43" s="2"/>
      <c r="K43" s="2"/>
      <c r="L43" s="2"/>
    </row>
    <row r="44" spans="2:12">
      <c r="B44" t="s">
        <v>98</v>
      </c>
      <c r="C44" s="2">
        <f>A3/1*1</f>
        <v>1</v>
      </c>
      <c r="D44" t="s">
        <v>15</v>
      </c>
      <c r="E44" s="3" t="s">
        <v>18</v>
      </c>
      <c r="F44" s="2" t="s">
        <v>18</v>
      </c>
      <c r="G44" s="2">
        <f>(275/10)</f>
        <v>27.5</v>
      </c>
      <c r="H44" s="2">
        <f t="shared" si="2"/>
        <v>27.5</v>
      </c>
      <c r="J44" s="2"/>
      <c r="K44" s="2"/>
      <c r="L44" s="2"/>
    </row>
    <row r="45" spans="2:12">
      <c r="B45" t="s">
        <v>96</v>
      </c>
      <c r="C45" s="2">
        <f>A3/1*(5/10)</f>
        <v>0.5</v>
      </c>
      <c r="D45" t="s">
        <v>97</v>
      </c>
      <c r="E45" s="3" t="s">
        <v>18</v>
      </c>
      <c r="F45" s="2" t="s">
        <v>18</v>
      </c>
      <c r="G45" s="2">
        <f>(589/100)</f>
        <v>5.89</v>
      </c>
      <c r="H45" s="2">
        <f t="shared" si="2"/>
        <v>2.9449999999999998</v>
      </c>
      <c r="J45" s="2"/>
      <c r="K45" s="2"/>
      <c r="L45" s="2"/>
    </row>
    <row r="46" spans="2:12">
      <c r="B46" t="s">
        <v>21</v>
      </c>
      <c r="C46" s="2">
        <f>A3/1*1</f>
        <v>1</v>
      </c>
      <c r="D46" t="s">
        <v>15</v>
      </c>
      <c r="E46" s="3" t="s">
        <v>18</v>
      </c>
      <c r="F46" s="2" t="s">
        <v>18</v>
      </c>
      <c r="G46" s="2">
        <f>20</f>
        <v>20</v>
      </c>
      <c r="H46" s="2">
        <f t="shared" si="2"/>
        <v>20</v>
      </c>
      <c r="J46" s="2"/>
      <c r="K46" s="2"/>
      <c r="L46" s="2"/>
    </row>
    <row r="47" spans="2:12">
      <c r="B47" t="s">
        <v>101</v>
      </c>
      <c r="C47" s="2">
        <f>A3/1*1</f>
        <v>1</v>
      </c>
      <c r="D47" t="s">
        <v>15</v>
      </c>
      <c r="E47" s="3" t="s">
        <v>18</v>
      </c>
      <c r="F47" s="2" t="s">
        <v>18</v>
      </c>
      <c r="G47" s="2">
        <f>100</f>
        <v>100</v>
      </c>
      <c r="H47" s="2">
        <f t="shared" si="2"/>
        <v>100</v>
      </c>
      <c r="J47" s="2"/>
      <c r="K47" s="2"/>
      <c r="L47" s="2"/>
    </row>
    <row r="48" spans="2:12">
      <c r="B48" t="s">
        <v>102</v>
      </c>
      <c r="C48" s="2">
        <f>A3/1*(25/100)</f>
        <v>0.25</v>
      </c>
      <c r="D48" t="s">
        <v>81</v>
      </c>
      <c r="E48" s="3" t="s">
        <v>18</v>
      </c>
      <c r="F48" s="2" t="s">
        <v>18</v>
      </c>
      <c r="G48" s="2">
        <f>(5372/100)</f>
        <v>53.72</v>
      </c>
      <c r="H48" s="2">
        <f t="shared" si="2"/>
        <v>13.43</v>
      </c>
      <c r="J48" s="2"/>
      <c r="K48" s="2"/>
      <c r="L48" s="2"/>
    </row>
    <row r="49" spans="1:12">
      <c r="B49" s="6" t="s">
        <v>22</v>
      </c>
      <c r="H49" s="5">
        <f>SUM(H30:H48)</f>
        <v>502.97074999999995</v>
      </c>
      <c r="J49" s="5">
        <f>H49*1.17</f>
        <v>588.47577749999994</v>
      </c>
      <c r="K49" s="2"/>
      <c r="L49" s="2"/>
    </row>
    <row r="50" spans="1:12">
      <c r="A50" s="6" t="s">
        <v>23</v>
      </c>
      <c r="B50" s="6" t="s">
        <v>24</v>
      </c>
      <c r="H50" s="5">
        <f>H29+H49</f>
        <v>1408.6755499999999</v>
      </c>
      <c r="J50" s="5">
        <f>H50*1.17</f>
        <v>1648.1503934999998</v>
      </c>
      <c r="K50" s="2"/>
      <c r="L50" s="5">
        <f>J50*1.21</f>
        <v>1994.2619761349997</v>
      </c>
    </row>
    <row r="51" spans="1:12">
      <c r="J51" s="5"/>
      <c r="K51" s="2"/>
      <c r="L51" s="2"/>
    </row>
    <row r="52" spans="1:12">
      <c r="J52" s="5"/>
      <c r="K52" s="2"/>
      <c r="L52" s="5"/>
    </row>
  </sheetData>
  <pageMargins left="0.7" right="0.7" top="0.75" bottom="0.75" header="0.3" footer="0.3"/>
  <ignoredErrors>
    <ignoredError sqref="E24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A0CF-F563-47C1-BAC4-62FA27939BDE}">
  <dimension ref="A1:L52"/>
  <sheetViews>
    <sheetView topLeftCell="C19" workbookViewId="0">
      <selection activeCell="I42" sqref="I42"/>
    </sheetView>
  </sheetViews>
  <sheetFormatPr defaultRowHeight="15"/>
  <cols>
    <col min="1" max="1" width="17.85546875" customWidth="1"/>
    <col min="2" max="2" width="87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121</v>
      </c>
    </row>
    <row r="3" spans="1:8">
      <c r="A3">
        <v>1</v>
      </c>
      <c r="B3" t="s">
        <v>56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57</v>
      </c>
      <c r="C6" s="2">
        <f>A3/1*2000/1000</f>
        <v>2</v>
      </c>
      <c r="D6" t="s">
        <v>0</v>
      </c>
      <c r="E6" s="3">
        <f>200/10000</f>
        <v>0.02</v>
      </c>
      <c r="F6" s="2">
        <f t="shared" ref="F6:F30" si="0">C6*E6</f>
        <v>0.04</v>
      </c>
      <c r="G6" s="2">
        <v>48.72</v>
      </c>
      <c r="H6" s="2">
        <f t="shared" ref="H6:H30" si="1">F6*G6</f>
        <v>1.9488000000000001</v>
      </c>
    </row>
    <row r="7" spans="1:8">
      <c r="B7" t="s">
        <v>58</v>
      </c>
      <c r="C7" s="2">
        <f>A3/1*5000/1000</f>
        <v>5</v>
      </c>
      <c r="D7" t="s">
        <v>13</v>
      </c>
      <c r="E7" s="3">
        <f>1500/10000</f>
        <v>0.15</v>
      </c>
      <c r="F7" s="2">
        <f t="shared" si="0"/>
        <v>0.75</v>
      </c>
      <c r="G7" s="2">
        <v>48.72</v>
      </c>
      <c r="H7" s="2">
        <f t="shared" si="1"/>
        <v>36.54</v>
      </c>
    </row>
    <row r="8" spans="1:8">
      <c r="B8" t="s">
        <v>59</v>
      </c>
      <c r="C8" s="2">
        <f>A3/1*1000/1000</f>
        <v>1</v>
      </c>
      <c r="D8" t="s">
        <v>0</v>
      </c>
      <c r="E8" s="3">
        <f>5000/10000</f>
        <v>0.5</v>
      </c>
      <c r="F8" s="2">
        <f t="shared" si="0"/>
        <v>0.5</v>
      </c>
      <c r="G8" s="2">
        <v>48.72</v>
      </c>
      <c r="H8" s="2">
        <f t="shared" si="1"/>
        <v>24.36</v>
      </c>
    </row>
    <row r="9" spans="1:8">
      <c r="B9" t="s">
        <v>113</v>
      </c>
      <c r="C9" s="2">
        <f>A3/1*1000/1000</f>
        <v>1</v>
      </c>
      <c r="D9" t="s">
        <v>0</v>
      </c>
      <c r="E9" s="3">
        <f>6000/10000</f>
        <v>0.6</v>
      </c>
      <c r="F9" s="2">
        <f t="shared" si="0"/>
        <v>0.6</v>
      </c>
      <c r="G9" s="2">
        <v>52.2</v>
      </c>
      <c r="H9" s="2">
        <f t="shared" si="1"/>
        <v>31.32</v>
      </c>
    </row>
    <row r="10" spans="1:8">
      <c r="B10" t="s">
        <v>62</v>
      </c>
      <c r="C10" s="2">
        <f>A3/1*1000/1000</f>
        <v>1</v>
      </c>
      <c r="D10" t="s">
        <v>63</v>
      </c>
      <c r="E10" s="3">
        <f>10000/10000</f>
        <v>1</v>
      </c>
      <c r="F10" s="2">
        <f t="shared" si="0"/>
        <v>1</v>
      </c>
      <c r="G10" s="2">
        <v>48.72</v>
      </c>
      <c r="H10" s="2">
        <f t="shared" si="1"/>
        <v>48.72</v>
      </c>
    </row>
    <row r="11" spans="1:8">
      <c r="B11" t="s">
        <v>64</v>
      </c>
      <c r="C11" s="2">
        <f>A3/1*1000/1000</f>
        <v>1</v>
      </c>
      <c r="D11" t="s">
        <v>63</v>
      </c>
      <c r="E11" s="3">
        <f>5000/10000</f>
        <v>0.5</v>
      </c>
      <c r="F11" s="2">
        <f t="shared" si="0"/>
        <v>0.5</v>
      </c>
      <c r="G11" s="2">
        <v>48.72</v>
      </c>
      <c r="H11" s="2">
        <f t="shared" si="1"/>
        <v>24.36</v>
      </c>
    </row>
    <row r="12" spans="1:8">
      <c r="B12" t="s">
        <v>114</v>
      </c>
      <c r="C12" s="2">
        <f>A3/1*1000/1000</f>
        <v>1</v>
      </c>
      <c r="D12" t="s">
        <v>15</v>
      </c>
      <c r="E12" s="3">
        <f>30000/10000</f>
        <v>3</v>
      </c>
      <c r="F12" s="2">
        <f t="shared" si="0"/>
        <v>3</v>
      </c>
      <c r="G12" s="2">
        <v>48.72</v>
      </c>
      <c r="H12" s="2">
        <f t="shared" si="1"/>
        <v>146.16</v>
      </c>
    </row>
    <row r="13" spans="1:8">
      <c r="B13" t="s">
        <v>65</v>
      </c>
      <c r="C13" s="2">
        <f>A3/1*5000/1000</f>
        <v>5</v>
      </c>
      <c r="D13" t="s">
        <v>13</v>
      </c>
      <c r="E13" s="3">
        <f>2500/10000</f>
        <v>0.25</v>
      </c>
      <c r="F13" s="2">
        <f t="shared" si="0"/>
        <v>1.25</v>
      </c>
      <c r="G13" s="2">
        <v>48.72</v>
      </c>
      <c r="H13" s="2">
        <f t="shared" si="1"/>
        <v>60.9</v>
      </c>
    </row>
    <row r="14" spans="1:8">
      <c r="B14" t="s">
        <v>67</v>
      </c>
      <c r="C14" s="2">
        <f>A3/1*1000/1000</f>
        <v>1</v>
      </c>
      <c r="D14" t="s">
        <v>15</v>
      </c>
      <c r="E14" s="3">
        <f>15000/10000</f>
        <v>1.5</v>
      </c>
      <c r="F14" s="2">
        <f t="shared" si="0"/>
        <v>1.5</v>
      </c>
      <c r="G14" s="2">
        <v>52.2</v>
      </c>
      <c r="H14" s="2">
        <f t="shared" si="1"/>
        <v>78.300000000000011</v>
      </c>
    </row>
    <row r="15" spans="1:8">
      <c r="B15" t="s">
        <v>70</v>
      </c>
      <c r="C15" s="2">
        <f>A3/1*1000/1000</f>
        <v>1</v>
      </c>
      <c r="D15" t="s">
        <v>63</v>
      </c>
      <c r="E15" s="3">
        <f>5000/10000</f>
        <v>0.5</v>
      </c>
      <c r="F15" s="2">
        <f t="shared" si="0"/>
        <v>0.5</v>
      </c>
      <c r="G15" s="2">
        <v>48.72</v>
      </c>
      <c r="H15" s="2">
        <f t="shared" si="1"/>
        <v>24.36</v>
      </c>
    </row>
    <row r="16" spans="1:8">
      <c r="B16" t="s">
        <v>104</v>
      </c>
      <c r="C16" s="2">
        <f>A3/1*2000/1000</f>
        <v>2</v>
      </c>
      <c r="D16" t="s">
        <v>63</v>
      </c>
      <c r="E16" s="3">
        <f>1200/10000</f>
        <v>0.12</v>
      </c>
      <c r="F16" s="2">
        <f t="shared" si="0"/>
        <v>0.24</v>
      </c>
      <c r="G16" s="2">
        <v>52.2</v>
      </c>
      <c r="H16" s="2">
        <f t="shared" si="1"/>
        <v>12.528</v>
      </c>
    </row>
    <row r="17" spans="1:12">
      <c r="B17" t="s">
        <v>71</v>
      </c>
      <c r="C17" s="2">
        <f>A3/1*4000/1000</f>
        <v>4</v>
      </c>
      <c r="D17" t="s">
        <v>13</v>
      </c>
      <c r="E17" s="3">
        <f>1000/10000</f>
        <v>0.1</v>
      </c>
      <c r="F17" s="2">
        <f t="shared" si="0"/>
        <v>0.4</v>
      </c>
      <c r="G17" s="2">
        <v>48.72</v>
      </c>
      <c r="H17" s="2">
        <f t="shared" si="1"/>
        <v>19.488</v>
      </c>
    </row>
    <row r="18" spans="1:12">
      <c r="B18" t="s">
        <v>122</v>
      </c>
      <c r="C18" s="2">
        <f>A3/1*1000/1000</f>
        <v>1</v>
      </c>
      <c r="D18" t="s">
        <v>0</v>
      </c>
      <c r="E18" s="3">
        <f>2500/10000</f>
        <v>0.25</v>
      </c>
      <c r="F18" s="2">
        <f t="shared" si="0"/>
        <v>0.25</v>
      </c>
      <c r="G18" s="2">
        <v>52.2</v>
      </c>
      <c r="H18" s="2">
        <f t="shared" si="1"/>
        <v>13.05</v>
      </c>
    </row>
    <row r="19" spans="1:12">
      <c r="B19" t="s">
        <v>123</v>
      </c>
      <c r="C19" s="2">
        <f>A3/1*1000/1000</f>
        <v>1</v>
      </c>
      <c r="D19" t="s">
        <v>34</v>
      </c>
      <c r="E19" s="3">
        <f>2500/10000</f>
        <v>0.25</v>
      </c>
      <c r="F19" s="2">
        <f t="shared" si="0"/>
        <v>0.25</v>
      </c>
      <c r="G19" s="2">
        <v>52.2</v>
      </c>
      <c r="H19" s="2">
        <f t="shared" si="1"/>
        <v>13.05</v>
      </c>
    </row>
    <row r="20" spans="1:12">
      <c r="B20" t="s">
        <v>106</v>
      </c>
      <c r="C20" s="2">
        <f>A3/1*1000/1000</f>
        <v>1</v>
      </c>
      <c r="D20" t="s">
        <v>0</v>
      </c>
      <c r="E20" s="3">
        <f>2000/10000</f>
        <v>0.2</v>
      </c>
      <c r="F20" s="2">
        <f t="shared" si="0"/>
        <v>0.2</v>
      </c>
      <c r="G20" s="2">
        <v>52.2</v>
      </c>
      <c r="H20" s="2">
        <f t="shared" si="1"/>
        <v>10.440000000000001</v>
      </c>
    </row>
    <row r="21" spans="1:12">
      <c r="B21" t="s">
        <v>107</v>
      </c>
      <c r="C21" s="2">
        <f>A3/1*1000/1000</f>
        <v>1</v>
      </c>
      <c r="D21" t="s">
        <v>0</v>
      </c>
      <c r="E21" s="3">
        <f>5000/10000</f>
        <v>0.5</v>
      </c>
      <c r="F21" s="2">
        <f t="shared" si="0"/>
        <v>0.5</v>
      </c>
      <c r="G21" s="2">
        <v>52.2</v>
      </c>
      <c r="H21" s="2">
        <f t="shared" si="1"/>
        <v>26.1</v>
      </c>
    </row>
    <row r="22" spans="1:12">
      <c r="B22" t="s">
        <v>108</v>
      </c>
      <c r="C22" s="2">
        <f>A3/1*1000/1000</f>
        <v>1</v>
      </c>
      <c r="D22" t="s">
        <v>0</v>
      </c>
      <c r="E22" s="3">
        <f>3000/10000</f>
        <v>0.3</v>
      </c>
      <c r="F22" s="2">
        <f t="shared" si="0"/>
        <v>0.3</v>
      </c>
      <c r="G22" s="2">
        <v>52.2</v>
      </c>
      <c r="H22" s="2">
        <f t="shared" si="1"/>
        <v>15.66</v>
      </c>
    </row>
    <row r="23" spans="1:12">
      <c r="B23" t="s">
        <v>72</v>
      </c>
      <c r="C23" s="2">
        <f>A3/1*1000/1000</f>
        <v>1</v>
      </c>
      <c r="D23" t="s">
        <v>63</v>
      </c>
      <c r="E23" s="3">
        <f>3500/10000</f>
        <v>0.35</v>
      </c>
      <c r="F23" s="2">
        <f t="shared" si="0"/>
        <v>0.35</v>
      </c>
      <c r="G23" s="2">
        <v>48.72</v>
      </c>
      <c r="H23" s="2">
        <f t="shared" si="1"/>
        <v>17.052</v>
      </c>
    </row>
    <row r="24" spans="1:12">
      <c r="B24" t="s">
        <v>73</v>
      </c>
      <c r="C24" s="2">
        <f>A3/1*1000/1000</f>
        <v>1</v>
      </c>
      <c r="D24" t="s">
        <v>63</v>
      </c>
      <c r="E24" s="3">
        <f>10000/10000</f>
        <v>1</v>
      </c>
      <c r="F24" s="2">
        <f t="shared" si="0"/>
        <v>1</v>
      </c>
      <c r="G24" s="2">
        <v>48.72</v>
      </c>
      <c r="H24" s="2">
        <f t="shared" si="1"/>
        <v>48.72</v>
      </c>
    </row>
    <row r="25" spans="1:12">
      <c r="B25" t="s">
        <v>74</v>
      </c>
      <c r="C25" s="2">
        <f>A3/1*1000/1000</f>
        <v>1</v>
      </c>
      <c r="D25" t="s">
        <v>63</v>
      </c>
      <c r="E25" s="3">
        <f>1500/10000</f>
        <v>0.15</v>
      </c>
      <c r="F25" s="2">
        <f t="shared" si="0"/>
        <v>0.15</v>
      </c>
      <c r="G25" s="2">
        <v>48.72</v>
      </c>
      <c r="H25" s="2">
        <f t="shared" si="1"/>
        <v>7.3079999999999998</v>
      </c>
    </row>
    <row r="26" spans="1:12">
      <c r="B26" t="s">
        <v>117</v>
      </c>
      <c r="C26" s="2">
        <f>A3/1*250/1000</f>
        <v>0.25</v>
      </c>
      <c r="D26" t="s">
        <v>63</v>
      </c>
      <c r="E26" s="3">
        <f>13500/10000</f>
        <v>1.35</v>
      </c>
      <c r="F26" s="2">
        <f t="shared" si="0"/>
        <v>0.33750000000000002</v>
      </c>
      <c r="G26" s="2">
        <v>48.72</v>
      </c>
      <c r="H26" s="2">
        <f t="shared" si="1"/>
        <v>16.443000000000001</v>
      </c>
    </row>
    <row r="27" spans="1:12">
      <c r="B27" t="s">
        <v>76</v>
      </c>
      <c r="C27" s="2">
        <f>A3/1*250/1000</f>
        <v>0.25</v>
      </c>
      <c r="D27" t="s">
        <v>63</v>
      </c>
      <c r="E27" s="3">
        <f>1500/10000</f>
        <v>0.15</v>
      </c>
      <c r="F27" s="2">
        <f t="shared" si="0"/>
        <v>3.7499999999999999E-2</v>
      </c>
      <c r="G27" s="2">
        <v>48.72</v>
      </c>
      <c r="H27" s="2">
        <f t="shared" si="1"/>
        <v>1.827</v>
      </c>
    </row>
    <row r="28" spans="1:12">
      <c r="B28" t="s">
        <v>77</v>
      </c>
      <c r="C28" s="2">
        <f>A3/1*4500/1000</f>
        <v>4.5</v>
      </c>
      <c r="D28" t="s">
        <v>13</v>
      </c>
      <c r="E28" s="3">
        <f>1000/10000</f>
        <v>0.1</v>
      </c>
      <c r="F28" s="2">
        <f t="shared" si="0"/>
        <v>0.45</v>
      </c>
      <c r="G28" s="2">
        <v>48.72</v>
      </c>
      <c r="H28" s="2">
        <f t="shared" si="1"/>
        <v>21.923999999999999</v>
      </c>
    </row>
    <row r="29" spans="1:12">
      <c r="B29" t="s">
        <v>80</v>
      </c>
      <c r="C29" s="2">
        <f>A3/1*50/1000</f>
        <v>0.05</v>
      </c>
      <c r="D29" t="s">
        <v>81</v>
      </c>
      <c r="E29" s="3">
        <f>10000/10000</f>
        <v>1</v>
      </c>
      <c r="F29" s="2">
        <f t="shared" si="0"/>
        <v>0.05</v>
      </c>
      <c r="G29" s="2">
        <v>48.72</v>
      </c>
      <c r="H29" s="2">
        <f t="shared" si="1"/>
        <v>2.4359999999999999</v>
      </c>
    </row>
    <row r="30" spans="1:12">
      <c r="B30" t="s">
        <v>14</v>
      </c>
      <c r="C30" s="2">
        <f>A3/1*1000/1000</f>
        <v>1</v>
      </c>
      <c r="D30" t="s">
        <v>15</v>
      </c>
      <c r="E30" s="3">
        <f>3000/10000</f>
        <v>0.3</v>
      </c>
      <c r="F30" s="2">
        <f t="shared" si="0"/>
        <v>0.3</v>
      </c>
      <c r="G30" s="2">
        <v>48.72</v>
      </c>
      <c r="H30" s="2">
        <f t="shared" si="1"/>
        <v>14.616</v>
      </c>
    </row>
    <row r="31" spans="1:12">
      <c r="B31" s="6" t="s">
        <v>16</v>
      </c>
      <c r="F31" s="5">
        <f>SUM(F6:F30)</f>
        <v>14.455000000000002</v>
      </c>
      <c r="H31" s="5">
        <f>SUM(H6:H30)</f>
        <v>717.61080000000004</v>
      </c>
      <c r="J31" s="5">
        <f>H31*1.17</f>
        <v>839.60463600000003</v>
      </c>
      <c r="K31" s="2"/>
      <c r="L31" s="2"/>
    </row>
    <row r="32" spans="1:12">
      <c r="A32" s="6" t="s">
        <v>17</v>
      </c>
      <c r="B32" t="s">
        <v>82</v>
      </c>
      <c r="C32" s="2">
        <f>A3/1*2</f>
        <v>2</v>
      </c>
      <c r="D32" t="s">
        <v>0</v>
      </c>
      <c r="E32" s="3" t="s">
        <v>18</v>
      </c>
      <c r="F32" s="2" t="s">
        <v>18</v>
      </c>
      <c r="G32" s="2">
        <f>(758/100)</f>
        <v>7.58</v>
      </c>
      <c r="H32" s="2">
        <f t="shared" ref="H32:H50" si="2">C32*G32</f>
        <v>15.16</v>
      </c>
      <c r="J32" s="2"/>
      <c r="K32" s="2"/>
      <c r="L32" s="2"/>
    </row>
    <row r="33" spans="2:12">
      <c r="B33" t="s">
        <v>83</v>
      </c>
      <c r="C33" s="2">
        <f>A3/1*5</f>
        <v>5</v>
      </c>
      <c r="D33" t="s">
        <v>63</v>
      </c>
      <c r="E33" s="3" t="s">
        <v>18</v>
      </c>
      <c r="F33" s="2" t="s">
        <v>18</v>
      </c>
      <c r="G33" s="2">
        <f>(144/100)</f>
        <v>1.44</v>
      </c>
      <c r="H33" s="2">
        <f t="shared" si="2"/>
        <v>7.1999999999999993</v>
      </c>
      <c r="J33" s="2"/>
      <c r="K33" s="2"/>
      <c r="L33" s="2"/>
    </row>
    <row r="34" spans="2:12">
      <c r="B34" t="s">
        <v>84</v>
      </c>
      <c r="C34" s="2">
        <f>A3/1*1</f>
        <v>1</v>
      </c>
      <c r="D34" t="s">
        <v>85</v>
      </c>
      <c r="E34" s="3" t="s">
        <v>18</v>
      </c>
      <c r="F34" s="2" t="s">
        <v>18</v>
      </c>
      <c r="G34" s="2">
        <f>(385/10)</f>
        <v>38.5</v>
      </c>
      <c r="H34" s="2">
        <f t="shared" si="2"/>
        <v>38.5</v>
      </c>
      <c r="J34" s="2"/>
      <c r="K34" s="2"/>
      <c r="L34" s="2"/>
    </row>
    <row r="35" spans="2:12">
      <c r="B35" t="s">
        <v>86</v>
      </c>
      <c r="C35" s="2">
        <f>A3/1*4</f>
        <v>4</v>
      </c>
      <c r="D35" t="s">
        <v>13</v>
      </c>
      <c r="E35" s="3" t="s">
        <v>18</v>
      </c>
      <c r="F35" s="2" t="s">
        <v>18</v>
      </c>
      <c r="G35" s="2">
        <f>(425/100)</f>
        <v>4.25</v>
      </c>
      <c r="H35" s="2">
        <f t="shared" si="2"/>
        <v>17</v>
      </c>
      <c r="J35" s="2"/>
      <c r="K35" s="2"/>
      <c r="L35" s="2"/>
    </row>
    <row r="36" spans="2:12">
      <c r="B36" t="s">
        <v>87</v>
      </c>
      <c r="C36" s="2">
        <f>A3/1*1</f>
        <v>1</v>
      </c>
      <c r="D36" t="s">
        <v>88</v>
      </c>
      <c r="E36" s="3" t="s">
        <v>18</v>
      </c>
      <c r="F36" s="2" t="s">
        <v>18</v>
      </c>
      <c r="G36" s="2">
        <f>(727/100)</f>
        <v>7.27</v>
      </c>
      <c r="H36" s="2">
        <f t="shared" si="2"/>
        <v>7.27</v>
      </c>
      <c r="J36" s="2"/>
      <c r="K36" s="2"/>
      <c r="L36" s="2"/>
    </row>
    <row r="37" spans="2:12">
      <c r="B37" t="s">
        <v>89</v>
      </c>
      <c r="C37" s="2">
        <f>A3/1*8</f>
        <v>8</v>
      </c>
      <c r="D37" t="s">
        <v>88</v>
      </c>
      <c r="E37" s="3" t="s">
        <v>18</v>
      </c>
      <c r="F37" s="2" t="s">
        <v>18</v>
      </c>
      <c r="G37" s="2">
        <f>(106/100)</f>
        <v>1.06</v>
      </c>
      <c r="H37" s="2">
        <f t="shared" si="2"/>
        <v>8.48</v>
      </c>
      <c r="J37" s="2"/>
      <c r="K37" s="2"/>
      <c r="L37" s="2"/>
    </row>
    <row r="38" spans="2:12">
      <c r="B38" t="s">
        <v>90</v>
      </c>
      <c r="C38" s="2">
        <f>A3/1*2</f>
        <v>2</v>
      </c>
      <c r="D38" t="s">
        <v>88</v>
      </c>
      <c r="E38" s="3" t="s">
        <v>18</v>
      </c>
      <c r="F38" s="2" t="s">
        <v>18</v>
      </c>
      <c r="G38" s="2">
        <f>(197/100)</f>
        <v>1.97</v>
      </c>
      <c r="H38" s="2">
        <f t="shared" si="2"/>
        <v>3.94</v>
      </c>
      <c r="J38" s="2"/>
      <c r="K38" s="2"/>
      <c r="L38" s="2"/>
    </row>
    <row r="39" spans="2:12">
      <c r="B39" t="s">
        <v>91</v>
      </c>
      <c r="C39" s="2">
        <f>A3/1*1</f>
        <v>1</v>
      </c>
      <c r="D39" t="s">
        <v>0</v>
      </c>
      <c r="E39" s="3" t="s">
        <v>18</v>
      </c>
      <c r="F39" s="2" t="s">
        <v>18</v>
      </c>
      <c r="G39" s="2">
        <f>(1702/100)</f>
        <v>17.02</v>
      </c>
      <c r="H39" s="2">
        <f t="shared" si="2"/>
        <v>17.02</v>
      </c>
      <c r="J39" s="2"/>
      <c r="K39" s="2"/>
      <c r="L39" s="2"/>
    </row>
    <row r="40" spans="2:12">
      <c r="B40" t="s">
        <v>92</v>
      </c>
      <c r="C40" s="2">
        <f>A3/1*(11/10)</f>
        <v>1.1000000000000001</v>
      </c>
      <c r="D40" t="s">
        <v>63</v>
      </c>
      <c r="E40" s="3" t="s">
        <v>18</v>
      </c>
      <c r="F40" s="2" t="s">
        <v>18</v>
      </c>
      <c r="G40" s="2">
        <f>33</f>
        <v>33</v>
      </c>
      <c r="H40" s="2">
        <f t="shared" si="2"/>
        <v>36.300000000000004</v>
      </c>
      <c r="J40" s="2"/>
      <c r="K40" s="2"/>
      <c r="L40" s="2"/>
    </row>
    <row r="41" spans="2:12">
      <c r="B41" t="s">
        <v>93</v>
      </c>
      <c r="C41" s="2">
        <f>A3/1*(25/100)</f>
        <v>0.25</v>
      </c>
      <c r="D41" t="s">
        <v>63</v>
      </c>
      <c r="E41" s="3" t="s">
        <v>18</v>
      </c>
      <c r="F41" s="2" t="s">
        <v>18</v>
      </c>
      <c r="G41" s="2">
        <f>59</f>
        <v>59</v>
      </c>
      <c r="H41" s="2">
        <f t="shared" si="2"/>
        <v>14.75</v>
      </c>
      <c r="J41" s="2"/>
      <c r="K41" s="2"/>
      <c r="L41" s="2"/>
    </row>
    <row r="42" spans="2:12">
      <c r="B42" t="s">
        <v>94</v>
      </c>
      <c r="C42" s="2">
        <f>A3/1*1</f>
        <v>1</v>
      </c>
      <c r="D42" t="s">
        <v>88</v>
      </c>
      <c r="E42" s="3" t="s">
        <v>18</v>
      </c>
      <c r="F42" s="2" t="s">
        <v>18</v>
      </c>
      <c r="G42" s="2">
        <f>(222/100)</f>
        <v>2.2200000000000002</v>
      </c>
      <c r="H42" s="2">
        <f t="shared" si="2"/>
        <v>2.2200000000000002</v>
      </c>
      <c r="J42" s="2"/>
      <c r="K42" s="2"/>
      <c r="L42" s="2"/>
    </row>
    <row r="43" spans="2:12">
      <c r="B43" t="s">
        <v>98</v>
      </c>
      <c r="C43" s="2">
        <f>A3/1*1</f>
        <v>1</v>
      </c>
      <c r="D43" t="s">
        <v>15</v>
      </c>
      <c r="E43" s="3" t="s">
        <v>18</v>
      </c>
      <c r="F43" s="2" t="s">
        <v>18</v>
      </c>
      <c r="G43" s="2">
        <f>(275/10)</f>
        <v>27.5</v>
      </c>
      <c r="H43" s="2">
        <f t="shared" si="2"/>
        <v>27.5</v>
      </c>
      <c r="J43" s="2"/>
      <c r="K43" s="2"/>
      <c r="L43" s="2"/>
    </row>
    <row r="44" spans="2:12">
      <c r="B44" t="s">
        <v>109</v>
      </c>
      <c r="C44" s="2">
        <f>A3/1*1</f>
        <v>1</v>
      </c>
      <c r="D44" t="s">
        <v>34</v>
      </c>
      <c r="E44" s="3" t="s">
        <v>18</v>
      </c>
      <c r="F44" s="2" t="s">
        <v>18</v>
      </c>
      <c r="G44" s="2">
        <f>(3087/100)</f>
        <v>30.87</v>
      </c>
      <c r="H44" s="2">
        <f t="shared" si="2"/>
        <v>30.87</v>
      </c>
      <c r="J44" s="2"/>
      <c r="K44" s="2"/>
      <c r="L44" s="2"/>
    </row>
    <row r="45" spans="2:12">
      <c r="B45" t="s">
        <v>110</v>
      </c>
      <c r="C45" s="2">
        <f>A3/1*1</f>
        <v>1</v>
      </c>
      <c r="D45" t="s">
        <v>0</v>
      </c>
      <c r="E45" s="3" t="s">
        <v>18</v>
      </c>
      <c r="F45" s="2" t="s">
        <v>18</v>
      </c>
      <c r="G45" s="2">
        <f>(4877/100)</f>
        <v>48.77</v>
      </c>
      <c r="H45" s="2">
        <f t="shared" si="2"/>
        <v>48.77</v>
      </c>
      <c r="J45" s="2"/>
      <c r="K45" s="2"/>
      <c r="L45" s="2"/>
    </row>
    <row r="46" spans="2:12">
      <c r="B46" t="s">
        <v>111</v>
      </c>
      <c r="C46" s="2">
        <f>A3/1*1</f>
        <v>1</v>
      </c>
      <c r="D46" t="s">
        <v>0</v>
      </c>
      <c r="E46" s="3" t="s">
        <v>18</v>
      </c>
      <c r="F46" s="2" t="s">
        <v>18</v>
      </c>
      <c r="G46" s="2">
        <f>(4016/10)</f>
        <v>401.6</v>
      </c>
      <c r="H46" s="2">
        <f t="shared" si="2"/>
        <v>401.6</v>
      </c>
      <c r="J46" s="2"/>
      <c r="K46" s="2"/>
      <c r="L46" s="2"/>
    </row>
    <row r="47" spans="2:12">
      <c r="B47" t="s">
        <v>96</v>
      </c>
      <c r="C47" s="2">
        <f>A3/1*1</f>
        <v>1</v>
      </c>
      <c r="D47" t="s">
        <v>97</v>
      </c>
      <c r="E47" s="3" t="s">
        <v>18</v>
      </c>
      <c r="F47" s="2" t="s">
        <v>18</v>
      </c>
      <c r="G47" s="2">
        <f>(589/100)</f>
        <v>5.89</v>
      </c>
      <c r="H47" s="2">
        <f t="shared" si="2"/>
        <v>5.89</v>
      </c>
      <c r="J47" s="2"/>
      <c r="K47" s="2"/>
      <c r="L47" s="2"/>
    </row>
    <row r="48" spans="2:12">
      <c r="B48" t="s">
        <v>21</v>
      </c>
      <c r="C48" s="2">
        <f>A3/1*1</f>
        <v>1</v>
      </c>
      <c r="D48" t="s">
        <v>15</v>
      </c>
      <c r="E48" s="3" t="s">
        <v>18</v>
      </c>
      <c r="F48" s="2" t="s">
        <v>18</v>
      </c>
      <c r="G48" s="2">
        <f>25</f>
        <v>25</v>
      </c>
      <c r="H48" s="2">
        <f t="shared" si="2"/>
        <v>25</v>
      </c>
      <c r="J48" s="2"/>
      <c r="K48" s="2"/>
      <c r="L48" s="2"/>
    </row>
    <row r="49" spans="1:12">
      <c r="B49" t="s">
        <v>101</v>
      </c>
      <c r="C49" s="2">
        <f>A3/1*1</f>
        <v>1</v>
      </c>
      <c r="D49" t="s">
        <v>15</v>
      </c>
      <c r="E49" s="3" t="s">
        <v>18</v>
      </c>
      <c r="F49" s="2" t="s">
        <v>18</v>
      </c>
      <c r="G49" s="2">
        <f>100</f>
        <v>100</v>
      </c>
      <c r="H49" s="2">
        <f t="shared" si="2"/>
        <v>100</v>
      </c>
      <c r="J49" s="2"/>
      <c r="K49" s="2"/>
      <c r="L49" s="2"/>
    </row>
    <row r="50" spans="1:12">
      <c r="B50" t="s">
        <v>102</v>
      </c>
      <c r="C50" s="2">
        <f>A3/1*(2/10)</f>
        <v>0.2</v>
      </c>
      <c r="D50" t="s">
        <v>81</v>
      </c>
      <c r="E50" s="3" t="s">
        <v>18</v>
      </c>
      <c r="F50" s="2" t="s">
        <v>18</v>
      </c>
      <c r="G50" s="2">
        <f>(5372/100)</f>
        <v>53.72</v>
      </c>
      <c r="H50" s="2">
        <f t="shared" si="2"/>
        <v>10.744</v>
      </c>
      <c r="J50" s="2"/>
      <c r="K50" s="2"/>
      <c r="L50" s="2"/>
    </row>
    <row r="51" spans="1:12">
      <c r="B51" s="6" t="s">
        <v>22</v>
      </c>
      <c r="H51" s="5">
        <f>SUM(H32:H50)</f>
        <v>818.21400000000006</v>
      </c>
      <c r="J51" s="5">
        <f>H51*1.17</f>
        <v>957.31038000000001</v>
      </c>
      <c r="K51" s="2"/>
      <c r="L51" s="2"/>
    </row>
    <row r="52" spans="1:12">
      <c r="A52" s="6" t="s">
        <v>23</v>
      </c>
      <c r="B52" s="6" t="s">
        <v>24</v>
      </c>
      <c r="H52" s="5">
        <f>H31+H51</f>
        <v>1535.8248000000001</v>
      </c>
      <c r="J52" s="5">
        <f>H52*1.17</f>
        <v>1796.9150159999999</v>
      </c>
      <c r="K52" s="2"/>
      <c r="L52" s="5">
        <f>J52*1.21</f>
        <v>2174.26716936</v>
      </c>
    </row>
  </sheetData>
  <pageMargins left="0.7" right="0.7" top="0.75" bottom="0.75" header="0.3" footer="0.3"/>
  <ignoredErrors>
    <ignoredError sqref="E26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2125-C82C-44D4-BB85-C227F8EB6C19}">
  <dimension ref="A1:L14"/>
  <sheetViews>
    <sheetView topLeftCell="H1" workbookViewId="0">
      <selection activeCell="Q25" sqref="Q25"/>
    </sheetView>
  </sheetViews>
  <sheetFormatPr defaultRowHeight="15"/>
  <cols>
    <col min="1" max="1" width="17.85546875" customWidth="1"/>
    <col min="2" max="2" width="64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124</v>
      </c>
    </row>
    <row r="3" spans="1:12">
      <c r="A3">
        <v>5</v>
      </c>
      <c r="B3" t="s">
        <v>63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125</v>
      </c>
      <c r="C6" s="2">
        <f>A3/5*5000/1000</f>
        <v>5</v>
      </c>
      <c r="D6" t="s">
        <v>63</v>
      </c>
      <c r="E6" s="3">
        <f>5000/10000</f>
        <v>0.5</v>
      </c>
      <c r="F6" s="2">
        <f>C6*E6</f>
        <v>2.5</v>
      </c>
      <c r="G6" s="2">
        <v>48.72</v>
      </c>
      <c r="H6" s="2">
        <f>F6*G6</f>
        <v>121.8</v>
      </c>
    </row>
    <row r="7" spans="1:12">
      <c r="B7" t="s">
        <v>126</v>
      </c>
      <c r="C7" s="2">
        <f>A3/5*5000/1000</f>
        <v>5</v>
      </c>
      <c r="D7" t="s">
        <v>63</v>
      </c>
      <c r="E7" s="3">
        <f>3000/10000</f>
        <v>0.3</v>
      </c>
      <c r="F7" s="2">
        <f>C7*E7</f>
        <v>1.5</v>
      </c>
      <c r="G7" s="2">
        <v>48.72</v>
      </c>
      <c r="H7" s="2">
        <f>F7*G7</f>
        <v>73.08</v>
      </c>
    </row>
    <row r="8" spans="1:12">
      <c r="B8" t="s">
        <v>127</v>
      </c>
      <c r="C8" s="2">
        <f>A3/5*5000/1000</f>
        <v>5</v>
      </c>
      <c r="D8" t="s">
        <v>63</v>
      </c>
      <c r="E8" s="3">
        <f>2500/10000</f>
        <v>0.25</v>
      </c>
      <c r="F8" s="2">
        <f>C8*E8</f>
        <v>1.25</v>
      </c>
      <c r="G8" s="2">
        <v>48.72</v>
      </c>
      <c r="H8" s="2">
        <f>F8*G8</f>
        <v>60.9</v>
      </c>
    </row>
    <row r="9" spans="1:12">
      <c r="B9" s="6" t="s">
        <v>16</v>
      </c>
      <c r="F9" s="5">
        <f>SUM(F6:F8)</f>
        <v>5.25</v>
      </c>
      <c r="H9" s="5">
        <f>SUM(H6:H8)</f>
        <v>255.78</v>
      </c>
      <c r="J9" s="5">
        <f>H9*1.17</f>
        <v>299.26259999999996</v>
      </c>
      <c r="L9" s="2"/>
    </row>
    <row r="10" spans="1:12">
      <c r="A10" s="6" t="s">
        <v>17</v>
      </c>
      <c r="B10" t="s">
        <v>128</v>
      </c>
      <c r="C10" s="2">
        <f>A3/5*(525/100)</f>
        <v>5.25</v>
      </c>
      <c r="D10" t="s">
        <v>63</v>
      </c>
      <c r="E10" s="3" t="s">
        <v>18</v>
      </c>
      <c r="F10" s="2" t="s">
        <v>18</v>
      </c>
      <c r="G10" s="2">
        <f>(248/10)</f>
        <v>24.8</v>
      </c>
      <c r="H10" s="2">
        <f>C10*G10</f>
        <v>130.20000000000002</v>
      </c>
      <c r="L10" s="2"/>
    </row>
    <row r="11" spans="1:12">
      <c r="B11" t="s">
        <v>129</v>
      </c>
      <c r="C11" s="2">
        <f>A3/5*(15/100)</f>
        <v>0.15</v>
      </c>
      <c r="D11" t="s">
        <v>81</v>
      </c>
      <c r="E11" s="3" t="s">
        <v>18</v>
      </c>
      <c r="F11" s="2" t="s">
        <v>18</v>
      </c>
      <c r="G11" s="2">
        <f>(15645/100)</f>
        <v>156.44999999999999</v>
      </c>
      <c r="H11" s="2">
        <f>C11*G11</f>
        <v>23.467499999999998</v>
      </c>
      <c r="J11" s="5"/>
      <c r="L11" s="2"/>
    </row>
    <row r="12" spans="1:12">
      <c r="B12" s="6" t="s">
        <v>22</v>
      </c>
      <c r="H12" s="5">
        <f>SUM(H10:H11)</f>
        <v>153.66750000000002</v>
      </c>
      <c r="J12" s="5">
        <f>H12*1.17</f>
        <v>179.790975</v>
      </c>
      <c r="L12" s="2"/>
    </row>
    <row r="13" spans="1:12">
      <c r="A13" s="6" t="s">
        <v>23</v>
      </c>
      <c r="B13" s="6" t="s">
        <v>24</v>
      </c>
      <c r="H13" s="5">
        <f>H9+H12</f>
        <v>409.44749999999999</v>
      </c>
      <c r="J13" s="5">
        <f>H13*1.17</f>
        <v>479.05357499999997</v>
      </c>
      <c r="L13" s="5">
        <f>J13*1.21</f>
        <v>579.65482574999999</v>
      </c>
    </row>
    <row r="14" spans="1:12">
      <c r="J14" s="5"/>
      <c r="L14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9166-7A14-4086-A763-67381A6F8572}">
  <dimension ref="A1:L29"/>
  <sheetViews>
    <sheetView topLeftCell="D1" workbookViewId="0">
      <selection activeCell="J17" sqref="J17:M26"/>
    </sheetView>
  </sheetViews>
  <sheetFormatPr defaultRowHeight="15"/>
  <cols>
    <col min="1" max="1" width="17.85546875" customWidth="1"/>
    <col min="2" max="2" width="61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0" max="12" width="9.140625" style="2"/>
  </cols>
  <sheetData>
    <row r="1" spans="1:8">
      <c r="A1" s="6" t="s">
        <v>130</v>
      </c>
    </row>
    <row r="3" spans="1:8">
      <c r="A3">
        <v>1</v>
      </c>
      <c r="B3" t="s">
        <v>0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16" si="0">C6*E6</f>
        <v>0.1</v>
      </c>
      <c r="G6" s="2">
        <v>52.2</v>
      </c>
      <c r="H6" s="2">
        <f t="shared" ref="H6:H16" si="1">F6*G6</f>
        <v>5.2200000000000006</v>
      </c>
    </row>
    <row r="7" spans="1:8">
      <c r="B7" t="s">
        <v>28</v>
      </c>
      <c r="C7" s="2">
        <f>A3/1*1000/1000</f>
        <v>1</v>
      </c>
      <c r="D7" t="s">
        <v>0</v>
      </c>
      <c r="E7" s="3">
        <f>1500/10000</f>
        <v>0.15</v>
      </c>
      <c r="F7" s="2">
        <f t="shared" si="0"/>
        <v>0.15</v>
      </c>
      <c r="G7" s="2">
        <v>52.2</v>
      </c>
      <c r="H7" s="2">
        <f t="shared" si="1"/>
        <v>7.83</v>
      </c>
    </row>
    <row r="8" spans="1:8">
      <c r="B8" t="s">
        <v>131</v>
      </c>
      <c r="C8" s="2">
        <f>A3/1*1000/1000</f>
        <v>1</v>
      </c>
      <c r="D8" t="s">
        <v>0</v>
      </c>
      <c r="E8" s="3">
        <f>2500/10000</f>
        <v>0.25</v>
      </c>
      <c r="F8" s="2">
        <f t="shared" si="0"/>
        <v>0.25</v>
      </c>
      <c r="G8" s="2">
        <v>52.2</v>
      </c>
      <c r="H8" s="2">
        <f t="shared" si="1"/>
        <v>13.05</v>
      </c>
    </row>
    <row r="9" spans="1:8">
      <c r="B9" t="s">
        <v>132</v>
      </c>
      <c r="C9" s="2">
        <f>A3/1*1000/1000</f>
        <v>1</v>
      </c>
      <c r="D9" t="s">
        <v>0</v>
      </c>
      <c r="E9" s="3">
        <f>5000/10000</f>
        <v>0.5</v>
      </c>
      <c r="F9" s="2">
        <f t="shared" si="0"/>
        <v>0.5</v>
      </c>
      <c r="G9" s="2">
        <v>52.2</v>
      </c>
      <c r="H9" s="2">
        <f t="shared" si="1"/>
        <v>26.1</v>
      </c>
    </row>
    <row r="10" spans="1:8">
      <c r="B10" t="s">
        <v>133</v>
      </c>
      <c r="C10" s="2">
        <f>A3/1*1000/1000</f>
        <v>1</v>
      </c>
      <c r="D10" t="s">
        <v>0</v>
      </c>
      <c r="E10" s="3">
        <f>2500/10000</f>
        <v>0.25</v>
      </c>
      <c r="F10" s="2">
        <f t="shared" si="0"/>
        <v>0.25</v>
      </c>
      <c r="G10" s="2">
        <v>52.2</v>
      </c>
      <c r="H10" s="2">
        <f t="shared" si="1"/>
        <v>13.05</v>
      </c>
    </row>
    <row r="11" spans="1:8">
      <c r="B11" t="s">
        <v>39</v>
      </c>
      <c r="C11" s="2">
        <f>A3/1*2000/1000</f>
        <v>2</v>
      </c>
      <c r="D11" t="s">
        <v>13</v>
      </c>
      <c r="E11" s="3">
        <f>3500/10000</f>
        <v>0.35</v>
      </c>
      <c r="F11" s="2">
        <f t="shared" si="0"/>
        <v>0.7</v>
      </c>
      <c r="G11" s="2">
        <v>52.2</v>
      </c>
      <c r="H11" s="2">
        <f t="shared" si="1"/>
        <v>36.54</v>
      </c>
    </row>
    <row r="12" spans="1:8">
      <c r="B12" t="s">
        <v>40</v>
      </c>
      <c r="C12" s="2">
        <f>A3/1*2000/1000</f>
        <v>2</v>
      </c>
      <c r="D12" t="s">
        <v>13</v>
      </c>
      <c r="E12" s="3">
        <f>4000/10000</f>
        <v>0.4</v>
      </c>
      <c r="F12" s="2">
        <f t="shared" si="0"/>
        <v>0.8</v>
      </c>
      <c r="G12" s="2">
        <v>52.2</v>
      </c>
      <c r="H12" s="2">
        <f t="shared" si="1"/>
        <v>41.760000000000005</v>
      </c>
    </row>
    <row r="13" spans="1:8">
      <c r="B13" t="s">
        <v>134</v>
      </c>
      <c r="C13" s="2">
        <f>A3/1*1000/1000</f>
        <v>1</v>
      </c>
      <c r="D13" t="s">
        <v>0</v>
      </c>
      <c r="E13" s="3">
        <f>1600/10000</f>
        <v>0.16</v>
      </c>
      <c r="F13" s="2">
        <f t="shared" si="0"/>
        <v>0.16</v>
      </c>
      <c r="G13" s="2">
        <v>52.2</v>
      </c>
      <c r="H13" s="2">
        <f t="shared" si="1"/>
        <v>8.3520000000000003</v>
      </c>
    </row>
    <row r="14" spans="1:8">
      <c r="B14" t="s">
        <v>11</v>
      </c>
      <c r="C14" s="2">
        <f>A3/1*1000/1000</f>
        <v>1</v>
      </c>
      <c r="D14" t="s">
        <v>0</v>
      </c>
      <c r="E14" s="3">
        <f>1000/10000</f>
        <v>0.1</v>
      </c>
      <c r="F14" s="2">
        <f t="shared" si="0"/>
        <v>0.1</v>
      </c>
      <c r="G14" s="2">
        <v>52.2</v>
      </c>
      <c r="H14" s="2">
        <f t="shared" si="1"/>
        <v>5.2200000000000006</v>
      </c>
    </row>
    <row r="15" spans="1:8">
      <c r="B15" t="s">
        <v>12</v>
      </c>
      <c r="C15" s="2">
        <f>A3/1*1000/1000</f>
        <v>1</v>
      </c>
      <c r="D15" t="s">
        <v>0</v>
      </c>
      <c r="E15" s="3">
        <f>1000/10000</f>
        <v>0.1</v>
      </c>
      <c r="F15" s="2">
        <f t="shared" si="0"/>
        <v>0.1</v>
      </c>
      <c r="G15" s="2">
        <v>52.2</v>
      </c>
      <c r="H15" s="2">
        <f t="shared" si="1"/>
        <v>5.2200000000000006</v>
      </c>
    </row>
    <row r="16" spans="1:8">
      <c r="B16" t="s">
        <v>14</v>
      </c>
      <c r="C16" s="2">
        <f>A3/1*1000/1000</f>
        <v>1</v>
      </c>
      <c r="D16" t="s">
        <v>15</v>
      </c>
      <c r="E16" s="3">
        <f>2000/10000</f>
        <v>0.2</v>
      </c>
      <c r="F16" s="2">
        <f t="shared" si="0"/>
        <v>0.2</v>
      </c>
      <c r="G16" s="2">
        <v>48.72</v>
      </c>
      <c r="H16" s="2">
        <f t="shared" si="1"/>
        <v>9.7439999999999998</v>
      </c>
    </row>
    <row r="17" spans="1:12">
      <c r="B17" s="6" t="s">
        <v>16</v>
      </c>
      <c r="F17" s="5">
        <f>SUM(F6:F16)</f>
        <v>3.3100000000000005</v>
      </c>
      <c r="H17" s="5">
        <f>SUM(H6:H16)</f>
        <v>172.08600000000001</v>
      </c>
      <c r="J17" s="5">
        <f>H17*1.17</f>
        <v>201.34062</v>
      </c>
      <c r="K17" s="5"/>
      <c r="L17" s="5"/>
    </row>
    <row r="18" spans="1:12">
      <c r="A18" s="6" t="s">
        <v>17</v>
      </c>
      <c r="B18" t="s">
        <v>135</v>
      </c>
      <c r="C18" s="2">
        <f>A3/1*2</f>
        <v>2</v>
      </c>
      <c r="D18" t="s">
        <v>13</v>
      </c>
      <c r="E18" s="3" t="s">
        <v>18</v>
      </c>
      <c r="F18" s="2" t="s">
        <v>18</v>
      </c>
      <c r="G18" s="2">
        <f>(396/100)</f>
        <v>3.96</v>
      </c>
      <c r="H18" s="2">
        <f t="shared" ref="H18:H24" si="2">C18*G18</f>
        <v>7.92</v>
      </c>
      <c r="J18" s="5"/>
      <c r="K18" s="5"/>
      <c r="L18" s="5"/>
    </row>
    <row r="19" spans="1:12">
      <c r="B19" t="s">
        <v>136</v>
      </c>
      <c r="C19" s="2">
        <f>A3/1*2</f>
        <v>2</v>
      </c>
      <c r="D19" t="s">
        <v>13</v>
      </c>
      <c r="E19" s="3" t="s">
        <v>18</v>
      </c>
      <c r="F19" s="2" t="s">
        <v>18</v>
      </c>
      <c r="G19" s="2">
        <f>(316/100)</f>
        <v>3.16</v>
      </c>
      <c r="H19" s="2">
        <f t="shared" si="2"/>
        <v>6.32</v>
      </c>
      <c r="J19" s="5"/>
      <c r="K19" s="5"/>
      <c r="L19" s="5"/>
    </row>
    <row r="20" spans="1:12">
      <c r="B20" t="s">
        <v>20</v>
      </c>
      <c r="C20" s="2">
        <f>A3/1*2</f>
        <v>2</v>
      </c>
      <c r="D20" t="s">
        <v>13</v>
      </c>
      <c r="E20" s="3" t="s">
        <v>18</v>
      </c>
      <c r="F20" s="2" t="s">
        <v>18</v>
      </c>
      <c r="G20" s="2">
        <f>(1306/100)</f>
        <v>13.06</v>
      </c>
      <c r="H20" s="2">
        <f t="shared" si="2"/>
        <v>26.12</v>
      </c>
      <c r="J20" s="5"/>
      <c r="K20" s="5"/>
      <c r="L20" s="5"/>
    </row>
    <row r="21" spans="1:12">
      <c r="B21" t="s">
        <v>19</v>
      </c>
      <c r="C21" s="2">
        <f>A3/1*2</f>
        <v>2</v>
      </c>
      <c r="D21" t="s">
        <v>13</v>
      </c>
      <c r="E21" s="3" t="s">
        <v>18</v>
      </c>
      <c r="F21" s="2" t="s">
        <v>18</v>
      </c>
      <c r="G21" s="2">
        <f>(1045/100)</f>
        <v>10.45</v>
      </c>
      <c r="H21" s="2">
        <f t="shared" si="2"/>
        <v>20.9</v>
      </c>
      <c r="J21" s="5"/>
      <c r="K21" s="5"/>
      <c r="L21" s="5"/>
    </row>
    <row r="22" spans="1:12">
      <c r="B22" t="s">
        <v>137</v>
      </c>
      <c r="C22" s="2">
        <f>A3/1*1</f>
        <v>1</v>
      </c>
      <c r="D22" t="s">
        <v>0</v>
      </c>
      <c r="E22" s="3" t="s">
        <v>18</v>
      </c>
      <c r="F22" s="2" t="s">
        <v>18</v>
      </c>
      <c r="G22" s="2">
        <f>(2315/100)</f>
        <v>23.15</v>
      </c>
      <c r="H22" s="2">
        <f t="shared" si="2"/>
        <v>23.15</v>
      </c>
      <c r="J22" s="5"/>
      <c r="K22" s="5"/>
      <c r="L22" s="5"/>
    </row>
    <row r="23" spans="1:12">
      <c r="B23" t="s">
        <v>138</v>
      </c>
      <c r="C23" s="2">
        <f>A3/1*1</f>
        <v>1</v>
      </c>
      <c r="D23" t="s">
        <v>34</v>
      </c>
      <c r="E23" s="3" t="s">
        <v>18</v>
      </c>
      <c r="F23" s="2" t="s">
        <v>18</v>
      </c>
      <c r="G23" s="2">
        <f>(315/100)</f>
        <v>3.15</v>
      </c>
      <c r="H23" s="2">
        <f t="shared" si="2"/>
        <v>3.15</v>
      </c>
      <c r="J23" s="5"/>
      <c r="K23" s="5"/>
      <c r="L23" s="5"/>
    </row>
    <row r="24" spans="1:12">
      <c r="B24" t="s">
        <v>21</v>
      </c>
      <c r="C24" s="2">
        <f>A3/1*1</f>
        <v>1</v>
      </c>
      <c r="D24" t="s">
        <v>15</v>
      </c>
      <c r="E24" s="3" t="s">
        <v>18</v>
      </c>
      <c r="F24" s="2" t="s">
        <v>18</v>
      </c>
      <c r="G24" s="2">
        <f>10</f>
        <v>10</v>
      </c>
      <c r="H24" s="2">
        <f t="shared" si="2"/>
        <v>10</v>
      </c>
      <c r="J24" s="5"/>
      <c r="K24" s="5"/>
      <c r="L24" s="5"/>
    </row>
    <row r="25" spans="1:12">
      <c r="B25" s="6" t="s">
        <v>22</v>
      </c>
      <c r="H25" s="5">
        <f>SUM(H18:H24)</f>
        <v>97.56</v>
      </c>
      <c r="J25" s="5">
        <f t="shared" ref="J25:J26" si="3">H25*1.17</f>
        <v>114.1452</v>
      </c>
      <c r="K25" s="5"/>
      <c r="L25" s="5"/>
    </row>
    <row r="26" spans="1:12">
      <c r="A26" s="6" t="s">
        <v>23</v>
      </c>
      <c r="B26" s="6" t="s">
        <v>24</v>
      </c>
      <c r="H26" s="5">
        <f>H17+H25</f>
        <v>269.64600000000002</v>
      </c>
      <c r="J26" s="5">
        <f t="shared" si="3"/>
        <v>315.48581999999999</v>
      </c>
      <c r="K26" s="5"/>
      <c r="L26" s="5">
        <f>J26*1.21</f>
        <v>381.73784219999999</v>
      </c>
    </row>
    <row r="27" spans="1:12">
      <c r="J27" s="5"/>
      <c r="K27" s="5"/>
      <c r="L27" s="5"/>
    </row>
    <row r="28" spans="1:12">
      <c r="J28" s="5"/>
      <c r="K28" s="5"/>
      <c r="L28" s="5"/>
    </row>
    <row r="29" spans="1:12">
      <c r="J29" s="5"/>
      <c r="K29" s="5"/>
      <c r="L29" s="5"/>
    </row>
  </sheetData>
  <pageMargins left="0.7" right="0.7" top="0.75" bottom="0.75" header="0.3" footer="0.3"/>
  <ignoredErrors>
    <ignoredError sqref="E9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1261-FD89-4B17-BC0D-BC906F84730F}">
  <dimension ref="A1:L32"/>
  <sheetViews>
    <sheetView topLeftCell="D1" workbookViewId="0">
      <selection activeCell="J21" sqref="J21:L32"/>
    </sheetView>
  </sheetViews>
  <sheetFormatPr defaultRowHeight="15"/>
  <cols>
    <col min="1" max="1" width="17.85546875" customWidth="1"/>
    <col min="2" max="2" width="68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139</v>
      </c>
    </row>
    <row r="3" spans="1:8">
      <c r="A3">
        <v>1</v>
      </c>
      <c r="B3" t="s">
        <v>0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20" si="0">C6*E6</f>
        <v>0.1</v>
      </c>
      <c r="G6" s="2">
        <v>52.2</v>
      </c>
      <c r="H6" s="2">
        <f t="shared" ref="H6:H20" si="1">F6*G6</f>
        <v>5.2200000000000006</v>
      </c>
    </row>
    <row r="7" spans="1:8">
      <c r="B7" t="s">
        <v>28</v>
      </c>
      <c r="C7" s="2">
        <f>A3/1*1000/1000</f>
        <v>1</v>
      </c>
      <c r="D7" t="s">
        <v>0</v>
      </c>
      <c r="E7" s="3">
        <f>1500/10000</f>
        <v>0.15</v>
      </c>
      <c r="F7" s="2">
        <f t="shared" si="0"/>
        <v>0.15</v>
      </c>
      <c r="G7" s="2">
        <v>52.2</v>
      </c>
      <c r="H7" s="2">
        <f t="shared" si="1"/>
        <v>7.83</v>
      </c>
    </row>
    <row r="8" spans="1:8">
      <c r="B8" t="s">
        <v>131</v>
      </c>
      <c r="C8" s="2">
        <f>A3/1*1000/1000</f>
        <v>1</v>
      </c>
      <c r="D8" t="s">
        <v>0</v>
      </c>
      <c r="E8" s="3">
        <f>2500/10000</f>
        <v>0.25</v>
      </c>
      <c r="F8" s="2">
        <f t="shared" si="0"/>
        <v>0.25</v>
      </c>
      <c r="G8" s="2">
        <v>52.2</v>
      </c>
      <c r="H8" s="2">
        <f t="shared" si="1"/>
        <v>13.05</v>
      </c>
    </row>
    <row r="9" spans="1:8">
      <c r="B9" t="s">
        <v>132</v>
      </c>
      <c r="C9" s="2">
        <f>A3/1*1000/1000</f>
        <v>1</v>
      </c>
      <c r="D9" t="s">
        <v>0</v>
      </c>
      <c r="E9" s="3">
        <f>5000/10000</f>
        <v>0.5</v>
      </c>
      <c r="F9" s="2">
        <f t="shared" si="0"/>
        <v>0.5</v>
      </c>
      <c r="G9" s="2">
        <v>52.2</v>
      </c>
      <c r="H9" s="2">
        <f t="shared" si="1"/>
        <v>26.1</v>
      </c>
    </row>
    <row r="10" spans="1:8">
      <c r="B10" t="s">
        <v>133</v>
      </c>
      <c r="C10" s="2">
        <f>A3/1*1000/1000</f>
        <v>1</v>
      </c>
      <c r="D10" t="s">
        <v>0</v>
      </c>
      <c r="E10" s="3">
        <f>2500/10000</f>
        <v>0.25</v>
      </c>
      <c r="F10" s="2">
        <f t="shared" si="0"/>
        <v>0.25</v>
      </c>
      <c r="G10" s="2">
        <v>52.2</v>
      </c>
      <c r="H10" s="2">
        <f t="shared" si="1"/>
        <v>13.05</v>
      </c>
    </row>
    <row r="11" spans="1:8">
      <c r="B11" t="s">
        <v>39</v>
      </c>
      <c r="C11" s="2">
        <f>A3/1*2000/1000</f>
        <v>2</v>
      </c>
      <c r="D11" t="s">
        <v>13</v>
      </c>
      <c r="E11" s="3">
        <f>3500/10000</f>
        <v>0.35</v>
      </c>
      <c r="F11" s="2">
        <f t="shared" si="0"/>
        <v>0.7</v>
      </c>
      <c r="G11" s="2">
        <v>52.2</v>
      </c>
      <c r="H11" s="2">
        <f t="shared" si="1"/>
        <v>36.54</v>
      </c>
    </row>
    <row r="12" spans="1:8">
      <c r="B12" t="s">
        <v>40</v>
      </c>
      <c r="C12" s="2">
        <f>A3/1*2000/1000</f>
        <v>2</v>
      </c>
      <c r="D12" t="s">
        <v>13</v>
      </c>
      <c r="E12" s="3">
        <f>4000/10000</f>
        <v>0.4</v>
      </c>
      <c r="F12" s="2">
        <f t="shared" si="0"/>
        <v>0.8</v>
      </c>
      <c r="G12" s="2">
        <v>52.2</v>
      </c>
      <c r="H12" s="2">
        <f t="shared" si="1"/>
        <v>41.760000000000005</v>
      </c>
    </row>
    <row r="13" spans="1:8">
      <c r="B13" t="s">
        <v>134</v>
      </c>
      <c r="C13" s="2">
        <f>A3/1*1000/1000</f>
        <v>1</v>
      </c>
      <c r="D13" t="s">
        <v>0</v>
      </c>
      <c r="E13" s="3">
        <f>1600/10000</f>
        <v>0.16</v>
      </c>
      <c r="F13" s="2">
        <f t="shared" si="0"/>
        <v>0.16</v>
      </c>
      <c r="G13" s="2">
        <v>52.2</v>
      </c>
      <c r="H13" s="2">
        <f t="shared" si="1"/>
        <v>8.3520000000000003</v>
      </c>
    </row>
    <row r="14" spans="1:8">
      <c r="B14" t="s">
        <v>11</v>
      </c>
      <c r="C14" s="2">
        <f>A3/1*1000/1000</f>
        <v>1</v>
      </c>
      <c r="D14" t="s">
        <v>0</v>
      </c>
      <c r="E14" s="3">
        <f>1000/10000</f>
        <v>0.1</v>
      </c>
      <c r="F14" s="2">
        <f t="shared" si="0"/>
        <v>0.1</v>
      </c>
      <c r="G14" s="2">
        <v>52.2</v>
      </c>
      <c r="H14" s="2">
        <f t="shared" si="1"/>
        <v>5.2200000000000006</v>
      </c>
    </row>
    <row r="15" spans="1:8">
      <c r="B15" t="s">
        <v>12</v>
      </c>
      <c r="C15" s="2">
        <f>A3/1*1000/1000</f>
        <v>1</v>
      </c>
      <c r="D15" t="s">
        <v>0</v>
      </c>
      <c r="E15" s="3">
        <f>1000/10000</f>
        <v>0.1</v>
      </c>
      <c r="F15" s="2">
        <f t="shared" si="0"/>
        <v>0.1</v>
      </c>
      <c r="G15" s="2">
        <v>52.2</v>
      </c>
      <c r="H15" s="2">
        <f t="shared" si="1"/>
        <v>5.2200000000000006</v>
      </c>
    </row>
    <row r="16" spans="1:8">
      <c r="B16" t="s">
        <v>140</v>
      </c>
      <c r="C16" s="2">
        <f>A3/1*1500/1000</f>
        <v>1.5</v>
      </c>
      <c r="D16" t="s">
        <v>63</v>
      </c>
      <c r="E16" s="3">
        <f>5000/10000</f>
        <v>0.5</v>
      </c>
      <c r="F16" s="2">
        <f t="shared" si="0"/>
        <v>0.75</v>
      </c>
      <c r="G16" s="2">
        <v>48.72</v>
      </c>
      <c r="H16" s="2">
        <f t="shared" si="1"/>
        <v>36.54</v>
      </c>
    </row>
    <row r="17" spans="1:12">
      <c r="B17" t="s">
        <v>141</v>
      </c>
      <c r="C17" s="2">
        <f>A3/1*1500/1000</f>
        <v>1.5</v>
      </c>
      <c r="D17" t="s">
        <v>63</v>
      </c>
      <c r="E17" s="3">
        <f>900/10000</f>
        <v>0.09</v>
      </c>
      <c r="F17" s="2">
        <f t="shared" si="0"/>
        <v>0.13500000000000001</v>
      </c>
      <c r="G17" s="2">
        <v>48.72</v>
      </c>
      <c r="H17" s="2">
        <f t="shared" si="1"/>
        <v>6.5772000000000004</v>
      </c>
    </row>
    <row r="18" spans="1:12">
      <c r="B18" t="s">
        <v>73</v>
      </c>
      <c r="C18" s="2">
        <f>A3/1*1500/1000</f>
        <v>1.5</v>
      </c>
      <c r="D18" t="s">
        <v>63</v>
      </c>
      <c r="E18" s="3">
        <f>11600/10000</f>
        <v>1.1599999999999999</v>
      </c>
      <c r="F18" s="2">
        <f t="shared" si="0"/>
        <v>1.7399999999999998</v>
      </c>
      <c r="G18" s="2">
        <v>48.72</v>
      </c>
      <c r="H18" s="2">
        <f t="shared" si="1"/>
        <v>84.772799999999989</v>
      </c>
    </row>
    <row r="19" spans="1:12">
      <c r="B19" t="s">
        <v>74</v>
      </c>
      <c r="C19" s="2">
        <f>A3/1*1500/1000</f>
        <v>1.5</v>
      </c>
      <c r="D19" t="s">
        <v>63</v>
      </c>
      <c r="E19" s="3">
        <f>1500/10000</f>
        <v>0.15</v>
      </c>
      <c r="F19" s="2">
        <f t="shared" si="0"/>
        <v>0.22499999999999998</v>
      </c>
      <c r="G19" s="2">
        <v>48.72</v>
      </c>
      <c r="H19" s="2">
        <f t="shared" si="1"/>
        <v>10.961999999999998</v>
      </c>
    </row>
    <row r="20" spans="1:12">
      <c r="B20" t="s">
        <v>14</v>
      </c>
      <c r="C20" s="2">
        <f>A3/1*1000/1000</f>
        <v>1</v>
      </c>
      <c r="D20" t="s">
        <v>15</v>
      </c>
      <c r="E20" s="3">
        <f>2500/10000</f>
        <v>0.25</v>
      </c>
      <c r="F20" s="2">
        <f t="shared" si="0"/>
        <v>0.25</v>
      </c>
      <c r="G20" s="2">
        <v>48.72</v>
      </c>
      <c r="H20" s="2">
        <f t="shared" si="1"/>
        <v>12.18</v>
      </c>
    </row>
    <row r="21" spans="1:12">
      <c r="B21" s="6" t="s">
        <v>16</v>
      </c>
      <c r="F21" s="5">
        <f>SUM(F6:F20)</f>
        <v>6.2099999999999991</v>
      </c>
      <c r="H21" s="5">
        <f>SUM(H6:H20)</f>
        <v>313.37399999999997</v>
      </c>
      <c r="J21" s="5">
        <f>H21*1.17</f>
        <v>366.64757999999995</v>
      </c>
      <c r="K21" s="5"/>
      <c r="L21" s="5"/>
    </row>
    <row r="22" spans="1:12">
      <c r="A22" s="6" t="s">
        <v>17</v>
      </c>
      <c r="B22" t="s">
        <v>135</v>
      </c>
      <c r="C22" s="2">
        <f>A3/1*2</f>
        <v>2</v>
      </c>
      <c r="D22" t="s">
        <v>13</v>
      </c>
      <c r="E22" s="3" t="s">
        <v>18</v>
      </c>
      <c r="F22" s="2" t="s">
        <v>18</v>
      </c>
      <c r="G22" s="2">
        <f>(396/100)</f>
        <v>3.96</v>
      </c>
      <c r="H22" s="2">
        <f t="shared" ref="H22:H30" si="2">C22*G22</f>
        <v>7.92</v>
      </c>
      <c r="J22" s="5"/>
      <c r="K22" s="5"/>
      <c r="L22" s="5"/>
    </row>
    <row r="23" spans="1:12">
      <c r="B23" t="s">
        <v>136</v>
      </c>
      <c r="C23" s="2">
        <f>A3/1*2</f>
        <v>2</v>
      </c>
      <c r="D23" t="s">
        <v>13</v>
      </c>
      <c r="E23" s="3" t="s">
        <v>18</v>
      </c>
      <c r="F23" s="2" t="s">
        <v>18</v>
      </c>
      <c r="G23" s="2">
        <f>(316/100)</f>
        <v>3.16</v>
      </c>
      <c r="H23" s="2">
        <f t="shared" si="2"/>
        <v>6.32</v>
      </c>
      <c r="J23" s="5"/>
      <c r="K23" s="5"/>
      <c r="L23" s="5"/>
    </row>
    <row r="24" spans="1:12">
      <c r="B24" t="s">
        <v>20</v>
      </c>
      <c r="C24" s="2">
        <f>A3/1*2</f>
        <v>2</v>
      </c>
      <c r="D24" t="s">
        <v>13</v>
      </c>
      <c r="E24" s="3" t="s">
        <v>18</v>
      </c>
      <c r="F24" s="2" t="s">
        <v>18</v>
      </c>
      <c r="G24" s="2">
        <f>(1306/100)</f>
        <v>13.06</v>
      </c>
      <c r="H24" s="2">
        <f t="shared" si="2"/>
        <v>26.12</v>
      </c>
      <c r="J24" s="5"/>
      <c r="K24" s="5"/>
      <c r="L24" s="5"/>
    </row>
    <row r="25" spans="1:12">
      <c r="B25" t="s">
        <v>19</v>
      </c>
      <c r="C25" s="2">
        <f>A3/1*2</f>
        <v>2</v>
      </c>
      <c r="D25" t="s">
        <v>13</v>
      </c>
      <c r="E25" s="3" t="s">
        <v>18</v>
      </c>
      <c r="F25" s="2" t="s">
        <v>18</v>
      </c>
      <c r="G25" s="2">
        <f>(1045/100)</f>
        <v>10.45</v>
      </c>
      <c r="H25" s="2">
        <f t="shared" si="2"/>
        <v>20.9</v>
      </c>
      <c r="J25" s="5"/>
      <c r="K25" s="5"/>
      <c r="L25" s="5"/>
    </row>
    <row r="26" spans="1:12">
      <c r="B26" t="s">
        <v>137</v>
      </c>
      <c r="C26" s="2">
        <f>A3/1*1</f>
        <v>1</v>
      </c>
      <c r="D26" t="s">
        <v>0</v>
      </c>
      <c r="E26" s="3" t="s">
        <v>18</v>
      </c>
      <c r="F26" s="2" t="s">
        <v>18</v>
      </c>
      <c r="G26" s="2">
        <f>(2315/100)</f>
        <v>23.15</v>
      </c>
      <c r="H26" s="2">
        <f t="shared" si="2"/>
        <v>23.15</v>
      </c>
      <c r="J26" s="5"/>
      <c r="K26" s="5"/>
      <c r="L26" s="5"/>
    </row>
    <row r="27" spans="1:12">
      <c r="B27" t="s">
        <v>138</v>
      </c>
      <c r="C27" s="2">
        <f>A3/1*1</f>
        <v>1</v>
      </c>
      <c r="D27" t="s">
        <v>34</v>
      </c>
      <c r="E27" s="3" t="s">
        <v>18</v>
      </c>
      <c r="F27" s="2" t="s">
        <v>18</v>
      </c>
      <c r="G27" s="2">
        <f>(315/100)</f>
        <v>3.15</v>
      </c>
      <c r="H27" s="2">
        <f t="shared" si="2"/>
        <v>3.15</v>
      </c>
      <c r="J27" s="5"/>
      <c r="K27" s="5"/>
      <c r="L27" s="5"/>
    </row>
    <row r="28" spans="1:12">
      <c r="B28" t="s">
        <v>142</v>
      </c>
      <c r="C28" s="2">
        <f>A3/1*(15/10)</f>
        <v>1.5</v>
      </c>
      <c r="D28" t="s">
        <v>63</v>
      </c>
      <c r="E28" s="3" t="s">
        <v>18</v>
      </c>
      <c r="F28" s="2" t="s">
        <v>18</v>
      </c>
      <c r="G28" s="2">
        <f>(235/10)</f>
        <v>23.5</v>
      </c>
      <c r="H28" s="2">
        <f t="shared" si="2"/>
        <v>35.25</v>
      </c>
      <c r="J28" s="5"/>
      <c r="K28" s="5"/>
      <c r="L28" s="5"/>
    </row>
    <row r="29" spans="1:12">
      <c r="B29" t="s">
        <v>143</v>
      </c>
      <c r="C29" s="2">
        <f>A3/1*1</f>
        <v>1</v>
      </c>
      <c r="D29" t="s">
        <v>15</v>
      </c>
      <c r="E29" s="3" t="s">
        <v>18</v>
      </c>
      <c r="F29" s="2" t="s">
        <v>18</v>
      </c>
      <c r="G29" s="2">
        <f>10</f>
        <v>10</v>
      </c>
      <c r="H29" s="2">
        <f t="shared" si="2"/>
        <v>10</v>
      </c>
      <c r="J29" s="5"/>
      <c r="K29" s="5"/>
      <c r="L29" s="5"/>
    </row>
    <row r="30" spans="1:12">
      <c r="B30" t="s">
        <v>30</v>
      </c>
      <c r="C30" s="2">
        <f>A3/1*1</f>
        <v>1</v>
      </c>
      <c r="D30" t="s">
        <v>15</v>
      </c>
      <c r="E30" s="3" t="s">
        <v>18</v>
      </c>
      <c r="F30" s="2" t="s">
        <v>18</v>
      </c>
      <c r="G30" s="2">
        <f>15</f>
        <v>15</v>
      </c>
      <c r="H30" s="2">
        <f t="shared" si="2"/>
        <v>15</v>
      </c>
      <c r="J30" s="5"/>
      <c r="K30" s="5"/>
      <c r="L30" s="5"/>
    </row>
    <row r="31" spans="1:12">
      <c r="B31" s="6" t="s">
        <v>22</v>
      </c>
      <c r="H31" s="5">
        <f>SUM(H22:H30)</f>
        <v>147.81</v>
      </c>
      <c r="J31" s="5">
        <f t="shared" ref="J31:J32" si="3">H31*1.17</f>
        <v>172.93769999999998</v>
      </c>
      <c r="K31" s="5"/>
      <c r="L31" s="5"/>
    </row>
    <row r="32" spans="1:12">
      <c r="A32" s="6" t="s">
        <v>23</v>
      </c>
      <c r="B32" s="6" t="s">
        <v>24</v>
      </c>
      <c r="H32" s="5">
        <f>H21+H31</f>
        <v>461.18399999999997</v>
      </c>
      <c r="J32" s="5">
        <f t="shared" si="3"/>
        <v>539.5852799999999</v>
      </c>
      <c r="K32" s="5"/>
      <c r="L32" s="5">
        <f>J32*1.21</f>
        <v>652.89818879999984</v>
      </c>
    </row>
  </sheetData>
  <pageMargins left="0.7" right="0.7" top="0.75" bottom="0.75" header="0.3" footer="0.3"/>
  <ignoredErrors>
    <ignoredError sqref="E9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87A0-6A5A-498B-A505-D76DC5EA71D0}">
  <dimension ref="A1:L28"/>
  <sheetViews>
    <sheetView topLeftCell="C1" workbookViewId="0">
      <selection activeCell="J17" sqref="J17:L26"/>
    </sheetView>
  </sheetViews>
  <sheetFormatPr defaultRowHeight="15"/>
  <cols>
    <col min="1" max="1" width="17.85546875" customWidth="1"/>
    <col min="2" max="2" width="61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144</v>
      </c>
    </row>
    <row r="3" spans="1:8">
      <c r="A3">
        <v>1</v>
      </c>
      <c r="B3" t="s">
        <v>0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16" si="0">C6*E6</f>
        <v>0.1</v>
      </c>
      <c r="G6" s="2">
        <v>52.2</v>
      </c>
      <c r="H6" s="2">
        <f t="shared" ref="H6:H16" si="1">F6*G6</f>
        <v>5.2200000000000006</v>
      </c>
    </row>
    <row r="7" spans="1:8">
      <c r="B7" t="s">
        <v>28</v>
      </c>
      <c r="C7" s="2">
        <f>A3/1*1000/1000</f>
        <v>1</v>
      </c>
      <c r="D7" t="s">
        <v>0</v>
      </c>
      <c r="E7" s="3">
        <f>1500/10000</f>
        <v>0.15</v>
      </c>
      <c r="F7" s="2">
        <f t="shared" si="0"/>
        <v>0.15</v>
      </c>
      <c r="G7" s="2">
        <v>52.2</v>
      </c>
      <c r="H7" s="2">
        <f t="shared" si="1"/>
        <v>7.83</v>
      </c>
    </row>
    <row r="8" spans="1:8">
      <c r="B8" t="s">
        <v>131</v>
      </c>
      <c r="C8" s="2">
        <f>A3/1*1000/1000</f>
        <v>1</v>
      </c>
      <c r="D8" t="s">
        <v>0</v>
      </c>
      <c r="E8" s="3">
        <f>2500/10000</f>
        <v>0.25</v>
      </c>
      <c r="F8" s="2">
        <f t="shared" si="0"/>
        <v>0.25</v>
      </c>
      <c r="G8" s="2">
        <v>52.2</v>
      </c>
      <c r="H8" s="2">
        <f t="shared" si="1"/>
        <v>13.05</v>
      </c>
    </row>
    <row r="9" spans="1:8">
      <c r="B9" t="s">
        <v>145</v>
      </c>
      <c r="C9" s="2">
        <f>A3/1*1000/1000</f>
        <v>1</v>
      </c>
      <c r="D9" t="s">
        <v>0</v>
      </c>
      <c r="E9" s="3">
        <f>4000/10000</f>
        <v>0.4</v>
      </c>
      <c r="F9" s="2">
        <f t="shared" si="0"/>
        <v>0.4</v>
      </c>
      <c r="G9" s="2">
        <v>52.2</v>
      </c>
      <c r="H9" s="2">
        <f t="shared" si="1"/>
        <v>20.880000000000003</v>
      </c>
    </row>
    <row r="10" spans="1:8">
      <c r="B10" t="s">
        <v>146</v>
      </c>
      <c r="C10" s="2">
        <f>A3/1*1000/1000</f>
        <v>1</v>
      </c>
      <c r="D10" t="s">
        <v>0</v>
      </c>
      <c r="E10" s="3">
        <f>2500/10000</f>
        <v>0.25</v>
      </c>
      <c r="F10" s="2">
        <f t="shared" si="0"/>
        <v>0.25</v>
      </c>
      <c r="G10" s="2">
        <v>52.2</v>
      </c>
      <c r="H10" s="2">
        <f t="shared" si="1"/>
        <v>13.05</v>
      </c>
    </row>
    <row r="11" spans="1:8">
      <c r="B11" t="s">
        <v>39</v>
      </c>
      <c r="C11" s="2">
        <f>A3/1*2000/1000</f>
        <v>2</v>
      </c>
      <c r="D11" t="s">
        <v>13</v>
      </c>
      <c r="E11" s="3">
        <f>3500/10000</f>
        <v>0.35</v>
      </c>
      <c r="F11" s="2">
        <f t="shared" si="0"/>
        <v>0.7</v>
      </c>
      <c r="G11" s="2">
        <v>52.2</v>
      </c>
      <c r="H11" s="2">
        <f t="shared" si="1"/>
        <v>36.54</v>
      </c>
    </row>
    <row r="12" spans="1:8">
      <c r="B12" t="s">
        <v>40</v>
      </c>
      <c r="C12" s="2">
        <f>A3/1*2000/1000</f>
        <v>2</v>
      </c>
      <c r="D12" t="s">
        <v>13</v>
      </c>
      <c r="E12" s="3">
        <f>4000/10000</f>
        <v>0.4</v>
      </c>
      <c r="F12" s="2">
        <f t="shared" si="0"/>
        <v>0.8</v>
      </c>
      <c r="G12" s="2">
        <v>52.2</v>
      </c>
      <c r="H12" s="2">
        <f t="shared" si="1"/>
        <v>41.760000000000005</v>
      </c>
    </row>
    <row r="13" spans="1:8">
      <c r="B13" t="s">
        <v>134</v>
      </c>
      <c r="C13" s="2">
        <f>A3/1*1000/1000</f>
        <v>1</v>
      </c>
      <c r="D13" t="s">
        <v>0</v>
      </c>
      <c r="E13" s="3">
        <f>1600/10000</f>
        <v>0.16</v>
      </c>
      <c r="F13" s="2">
        <f t="shared" si="0"/>
        <v>0.16</v>
      </c>
      <c r="G13" s="2">
        <v>52.2</v>
      </c>
      <c r="H13" s="2">
        <f t="shared" si="1"/>
        <v>8.3520000000000003</v>
      </c>
    </row>
    <row r="14" spans="1:8">
      <c r="B14" t="s">
        <v>11</v>
      </c>
      <c r="C14" s="2">
        <f>A3/1*1000/1000</f>
        <v>1</v>
      </c>
      <c r="D14" t="s">
        <v>0</v>
      </c>
      <c r="E14" s="3">
        <f>1000/10000</f>
        <v>0.1</v>
      </c>
      <c r="F14" s="2">
        <f t="shared" si="0"/>
        <v>0.1</v>
      </c>
      <c r="G14" s="2">
        <v>52.2</v>
      </c>
      <c r="H14" s="2">
        <f t="shared" si="1"/>
        <v>5.2200000000000006</v>
      </c>
    </row>
    <row r="15" spans="1:8">
      <c r="B15" t="s">
        <v>12</v>
      </c>
      <c r="C15" s="2">
        <f>A3/1*1000/1000</f>
        <v>1</v>
      </c>
      <c r="D15" t="s">
        <v>0</v>
      </c>
      <c r="E15" s="3">
        <f>1000/10000</f>
        <v>0.1</v>
      </c>
      <c r="F15" s="2">
        <f t="shared" si="0"/>
        <v>0.1</v>
      </c>
      <c r="G15" s="2">
        <v>52.2</v>
      </c>
      <c r="H15" s="2">
        <f t="shared" si="1"/>
        <v>5.2200000000000006</v>
      </c>
    </row>
    <row r="16" spans="1:8">
      <c r="B16" t="s">
        <v>14</v>
      </c>
      <c r="C16" s="2">
        <f>A3/1*1000/1000</f>
        <v>1</v>
      </c>
      <c r="D16" t="s">
        <v>15</v>
      </c>
      <c r="E16" s="3">
        <f>2000/10000</f>
        <v>0.2</v>
      </c>
      <c r="F16" s="2">
        <f t="shared" si="0"/>
        <v>0.2</v>
      </c>
      <c r="G16" s="2">
        <v>48.72</v>
      </c>
      <c r="H16" s="2">
        <f t="shared" si="1"/>
        <v>9.7439999999999998</v>
      </c>
    </row>
    <row r="17" spans="1:12">
      <c r="B17" s="6" t="s">
        <v>16</v>
      </c>
      <c r="F17" s="5">
        <f>SUM(F6:F16)</f>
        <v>3.2100000000000004</v>
      </c>
      <c r="H17" s="5">
        <f>SUM(H6:H16)</f>
        <v>166.86599999999999</v>
      </c>
      <c r="J17" s="5">
        <f>H17*1.17</f>
        <v>195.23321999999996</v>
      </c>
      <c r="K17" s="5"/>
      <c r="L17" s="5"/>
    </row>
    <row r="18" spans="1:12">
      <c r="A18" s="6" t="s">
        <v>17</v>
      </c>
      <c r="B18" t="s">
        <v>135</v>
      </c>
      <c r="C18" s="2">
        <f>A3/1*2</f>
        <v>2</v>
      </c>
      <c r="D18" t="s">
        <v>13</v>
      </c>
      <c r="E18" s="3" t="s">
        <v>18</v>
      </c>
      <c r="F18" s="2" t="s">
        <v>18</v>
      </c>
      <c r="G18" s="2">
        <f>(396/100)</f>
        <v>3.96</v>
      </c>
      <c r="H18" s="2">
        <f t="shared" ref="H18:H24" si="2">C18*G18</f>
        <v>7.92</v>
      </c>
      <c r="J18" s="5"/>
      <c r="K18" s="5"/>
      <c r="L18" s="5"/>
    </row>
    <row r="19" spans="1:12">
      <c r="B19" t="s">
        <v>136</v>
      </c>
      <c r="C19" s="2">
        <f>A3/1*2</f>
        <v>2</v>
      </c>
      <c r="D19" t="s">
        <v>13</v>
      </c>
      <c r="E19" s="3" t="s">
        <v>18</v>
      </c>
      <c r="F19" s="2" t="s">
        <v>18</v>
      </c>
      <c r="G19" s="2">
        <f>(316/100)</f>
        <v>3.16</v>
      </c>
      <c r="H19" s="2">
        <f t="shared" si="2"/>
        <v>6.32</v>
      </c>
      <c r="J19" s="5"/>
      <c r="K19" s="5"/>
      <c r="L19" s="5"/>
    </row>
    <row r="20" spans="1:12">
      <c r="B20" t="s">
        <v>20</v>
      </c>
      <c r="C20" s="2">
        <f>A3/1*2</f>
        <v>2</v>
      </c>
      <c r="D20" t="s">
        <v>13</v>
      </c>
      <c r="E20" s="3" t="s">
        <v>18</v>
      </c>
      <c r="F20" s="2" t="s">
        <v>18</v>
      </c>
      <c r="G20" s="2">
        <f>(1306/100)</f>
        <v>13.06</v>
      </c>
      <c r="H20" s="2">
        <f t="shared" si="2"/>
        <v>26.12</v>
      </c>
      <c r="J20" s="5"/>
      <c r="K20" s="5"/>
      <c r="L20" s="5"/>
    </row>
    <row r="21" spans="1:12">
      <c r="B21" t="s">
        <v>19</v>
      </c>
      <c r="C21" s="2">
        <f>A3/1*2</f>
        <v>2</v>
      </c>
      <c r="D21" t="s">
        <v>13</v>
      </c>
      <c r="E21" s="3" t="s">
        <v>18</v>
      </c>
      <c r="F21" s="2" t="s">
        <v>18</v>
      </c>
      <c r="G21" s="2">
        <f>(1045/100)</f>
        <v>10.45</v>
      </c>
      <c r="H21" s="2">
        <f t="shared" si="2"/>
        <v>20.9</v>
      </c>
      <c r="J21" s="5"/>
      <c r="K21" s="5"/>
      <c r="L21" s="5"/>
    </row>
    <row r="22" spans="1:12">
      <c r="B22" t="s">
        <v>137</v>
      </c>
      <c r="C22" s="2">
        <f>A3/1*1</f>
        <v>1</v>
      </c>
      <c r="D22" t="s">
        <v>0</v>
      </c>
      <c r="E22" s="3" t="s">
        <v>18</v>
      </c>
      <c r="F22" s="2" t="s">
        <v>18</v>
      </c>
      <c r="G22" s="2">
        <f>(2315/100)</f>
        <v>23.15</v>
      </c>
      <c r="H22" s="2">
        <f t="shared" si="2"/>
        <v>23.15</v>
      </c>
      <c r="J22" s="5"/>
      <c r="K22" s="5"/>
      <c r="L22" s="5"/>
    </row>
    <row r="23" spans="1:12">
      <c r="B23" t="s">
        <v>138</v>
      </c>
      <c r="C23" s="2">
        <f>A3/1*1</f>
        <v>1</v>
      </c>
      <c r="D23" t="s">
        <v>34</v>
      </c>
      <c r="E23" s="3" t="s">
        <v>18</v>
      </c>
      <c r="F23" s="2" t="s">
        <v>18</v>
      </c>
      <c r="G23" s="2">
        <f>(315/100)</f>
        <v>3.15</v>
      </c>
      <c r="H23" s="2">
        <f t="shared" si="2"/>
        <v>3.15</v>
      </c>
      <c r="J23" s="5"/>
      <c r="K23" s="5"/>
      <c r="L23" s="5"/>
    </row>
    <row r="24" spans="1:12">
      <c r="B24" t="s">
        <v>21</v>
      </c>
      <c r="C24" s="2">
        <f>A3/1*1</f>
        <v>1</v>
      </c>
      <c r="D24" t="s">
        <v>15</v>
      </c>
      <c r="E24" s="3" t="s">
        <v>18</v>
      </c>
      <c r="F24" s="2" t="s">
        <v>18</v>
      </c>
      <c r="G24" s="2">
        <f>10</f>
        <v>10</v>
      </c>
      <c r="H24" s="2">
        <f t="shared" si="2"/>
        <v>10</v>
      </c>
      <c r="J24" s="5"/>
      <c r="K24" s="5"/>
      <c r="L24" s="5"/>
    </row>
    <row r="25" spans="1:12">
      <c r="B25" s="6" t="s">
        <v>22</v>
      </c>
      <c r="H25" s="5">
        <f>SUM(H18:H24)</f>
        <v>97.56</v>
      </c>
      <c r="J25" s="5">
        <f t="shared" ref="J25:J26" si="3">H25*1.17</f>
        <v>114.1452</v>
      </c>
      <c r="K25" s="5"/>
      <c r="L25" s="5"/>
    </row>
    <row r="26" spans="1:12">
      <c r="A26" s="6" t="s">
        <v>23</v>
      </c>
      <c r="B26" s="6" t="s">
        <v>24</v>
      </c>
      <c r="H26" s="5">
        <f>H17+H25</f>
        <v>264.42599999999999</v>
      </c>
      <c r="J26" s="5">
        <f t="shared" si="3"/>
        <v>309.37841999999995</v>
      </c>
      <c r="K26" s="5"/>
      <c r="L26" s="5">
        <f>J26*1.21</f>
        <v>374.34788819999994</v>
      </c>
    </row>
    <row r="27" spans="1:12">
      <c r="J27" s="5"/>
      <c r="K27" s="5"/>
      <c r="L27" s="5"/>
    </row>
    <row r="28" spans="1:12">
      <c r="J28" s="5"/>
      <c r="K28" s="5"/>
      <c r="L28" s="5"/>
    </row>
  </sheetData>
  <pageMargins left="0.7" right="0.7" top="0.75" bottom="0.75" header="0.3" footer="0.3"/>
  <ignoredErrors>
    <ignoredError sqref="E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21D0-1829-4200-9C88-505B7440E28C}">
  <dimension ref="A1:L32"/>
  <sheetViews>
    <sheetView topLeftCell="H1" workbookViewId="0">
      <selection activeCell="J21" sqref="J21:L32"/>
    </sheetView>
  </sheetViews>
  <sheetFormatPr defaultRowHeight="15"/>
  <cols>
    <col min="1" max="1" width="17.85546875" customWidth="1"/>
    <col min="2" max="2" width="68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147</v>
      </c>
    </row>
    <row r="3" spans="1:8">
      <c r="A3">
        <v>1</v>
      </c>
      <c r="B3" t="s">
        <v>0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20" si="0">C6*E6</f>
        <v>0.1</v>
      </c>
      <c r="G6" s="2">
        <v>52.2</v>
      </c>
      <c r="H6" s="2">
        <f t="shared" ref="H6:H20" si="1">F6*G6</f>
        <v>5.2200000000000006</v>
      </c>
    </row>
    <row r="7" spans="1:8">
      <c r="B7" t="s">
        <v>28</v>
      </c>
      <c r="C7" s="2">
        <f>A3/1*1000/1000</f>
        <v>1</v>
      </c>
      <c r="D7" t="s">
        <v>0</v>
      </c>
      <c r="E7" s="3">
        <f>1500/10000</f>
        <v>0.15</v>
      </c>
      <c r="F7" s="2">
        <f t="shared" si="0"/>
        <v>0.15</v>
      </c>
      <c r="G7" s="2">
        <v>52.2</v>
      </c>
      <c r="H7" s="2">
        <f t="shared" si="1"/>
        <v>7.83</v>
      </c>
    </row>
    <row r="8" spans="1:8">
      <c r="B8" t="s">
        <v>131</v>
      </c>
      <c r="C8" s="2">
        <f>A3/1*1000/1000</f>
        <v>1</v>
      </c>
      <c r="D8" t="s">
        <v>0</v>
      </c>
      <c r="E8" s="3">
        <f>2500/10000</f>
        <v>0.25</v>
      </c>
      <c r="F8" s="2">
        <f t="shared" si="0"/>
        <v>0.25</v>
      </c>
      <c r="G8" s="2">
        <v>52.2</v>
      </c>
      <c r="H8" s="2">
        <f t="shared" si="1"/>
        <v>13.05</v>
      </c>
    </row>
    <row r="9" spans="1:8">
      <c r="B9" t="s">
        <v>145</v>
      </c>
      <c r="C9" s="2">
        <f>A3/1*1000/1000</f>
        <v>1</v>
      </c>
      <c r="D9" t="s">
        <v>0</v>
      </c>
      <c r="E9" s="3">
        <f>4000/10000</f>
        <v>0.4</v>
      </c>
      <c r="F9" s="2">
        <f t="shared" si="0"/>
        <v>0.4</v>
      </c>
      <c r="G9" s="2">
        <v>52.2</v>
      </c>
      <c r="H9" s="2">
        <f t="shared" si="1"/>
        <v>20.880000000000003</v>
      </c>
    </row>
    <row r="10" spans="1:8">
      <c r="B10" t="s">
        <v>146</v>
      </c>
      <c r="C10" s="2">
        <f>A3/1*1000/1000</f>
        <v>1</v>
      </c>
      <c r="D10" t="s">
        <v>0</v>
      </c>
      <c r="E10" s="3">
        <f>2500/10000</f>
        <v>0.25</v>
      </c>
      <c r="F10" s="2">
        <f t="shared" si="0"/>
        <v>0.25</v>
      </c>
      <c r="G10" s="2">
        <v>52.2</v>
      </c>
      <c r="H10" s="2">
        <f t="shared" si="1"/>
        <v>13.05</v>
      </c>
    </row>
    <row r="11" spans="1:8">
      <c r="B11" t="s">
        <v>39</v>
      </c>
      <c r="C11" s="2">
        <f>A3/1*2000/1000</f>
        <v>2</v>
      </c>
      <c r="D11" t="s">
        <v>13</v>
      </c>
      <c r="E11" s="3">
        <f>3500/10000</f>
        <v>0.35</v>
      </c>
      <c r="F11" s="2">
        <f t="shared" si="0"/>
        <v>0.7</v>
      </c>
      <c r="G11" s="2">
        <v>52.2</v>
      </c>
      <c r="H11" s="2">
        <f t="shared" si="1"/>
        <v>36.54</v>
      </c>
    </row>
    <row r="12" spans="1:8">
      <c r="B12" t="s">
        <v>40</v>
      </c>
      <c r="C12" s="2">
        <f>A3/1*2000/1000</f>
        <v>2</v>
      </c>
      <c r="D12" t="s">
        <v>13</v>
      </c>
      <c r="E12" s="3">
        <f>4000/10000</f>
        <v>0.4</v>
      </c>
      <c r="F12" s="2">
        <f t="shared" si="0"/>
        <v>0.8</v>
      </c>
      <c r="G12" s="2">
        <v>52.2</v>
      </c>
      <c r="H12" s="2">
        <f t="shared" si="1"/>
        <v>41.760000000000005</v>
      </c>
    </row>
    <row r="13" spans="1:8">
      <c r="B13" t="s">
        <v>134</v>
      </c>
      <c r="C13" s="2">
        <f>A3/1*1000/1000</f>
        <v>1</v>
      </c>
      <c r="D13" t="s">
        <v>0</v>
      </c>
      <c r="E13" s="3">
        <f>1600/10000</f>
        <v>0.16</v>
      </c>
      <c r="F13" s="2">
        <f t="shared" si="0"/>
        <v>0.16</v>
      </c>
      <c r="G13" s="2">
        <v>52.2</v>
      </c>
      <c r="H13" s="2">
        <f t="shared" si="1"/>
        <v>8.3520000000000003</v>
      </c>
    </row>
    <row r="14" spans="1:8">
      <c r="B14" t="s">
        <v>11</v>
      </c>
      <c r="C14" s="2">
        <f>A3/1*1000/1000</f>
        <v>1</v>
      </c>
      <c r="D14" t="s">
        <v>0</v>
      </c>
      <c r="E14" s="3">
        <f>1000/10000</f>
        <v>0.1</v>
      </c>
      <c r="F14" s="2">
        <f t="shared" si="0"/>
        <v>0.1</v>
      </c>
      <c r="G14" s="2">
        <v>52.2</v>
      </c>
      <c r="H14" s="2">
        <f t="shared" si="1"/>
        <v>5.2200000000000006</v>
      </c>
    </row>
    <row r="15" spans="1:8">
      <c r="B15" t="s">
        <v>12</v>
      </c>
      <c r="C15" s="2">
        <f>A3/1*1000/1000</f>
        <v>1</v>
      </c>
      <c r="D15" t="s">
        <v>0</v>
      </c>
      <c r="E15" s="3">
        <f>1000/10000</f>
        <v>0.1</v>
      </c>
      <c r="F15" s="2">
        <f t="shared" si="0"/>
        <v>0.1</v>
      </c>
      <c r="G15" s="2">
        <v>52.2</v>
      </c>
      <c r="H15" s="2">
        <f t="shared" si="1"/>
        <v>5.2200000000000006</v>
      </c>
    </row>
    <row r="16" spans="1:8">
      <c r="B16" t="s">
        <v>140</v>
      </c>
      <c r="C16" s="2">
        <f>A3/1*1000/1000</f>
        <v>1</v>
      </c>
      <c r="D16" t="s">
        <v>63</v>
      </c>
      <c r="E16" s="3">
        <f>5000/10000</f>
        <v>0.5</v>
      </c>
      <c r="F16" s="2">
        <f t="shared" si="0"/>
        <v>0.5</v>
      </c>
      <c r="G16" s="2">
        <v>48.72</v>
      </c>
      <c r="H16" s="2">
        <f t="shared" si="1"/>
        <v>24.36</v>
      </c>
    </row>
    <row r="17" spans="1:12">
      <c r="B17" t="s">
        <v>141</v>
      </c>
      <c r="C17" s="2">
        <f>A3/1*1000/1000</f>
        <v>1</v>
      </c>
      <c r="D17" t="s">
        <v>63</v>
      </c>
      <c r="E17" s="3">
        <f>900/10000</f>
        <v>0.09</v>
      </c>
      <c r="F17" s="2">
        <f t="shared" si="0"/>
        <v>0.09</v>
      </c>
      <c r="G17" s="2">
        <v>48.72</v>
      </c>
      <c r="H17" s="2">
        <f t="shared" si="1"/>
        <v>4.3847999999999994</v>
      </c>
    </row>
    <row r="18" spans="1:12">
      <c r="B18" t="s">
        <v>73</v>
      </c>
      <c r="C18" s="2">
        <f>A3/1*1000/1000</f>
        <v>1</v>
      </c>
      <c r="D18" t="s">
        <v>63</v>
      </c>
      <c r="E18" s="3">
        <f>11600/10000</f>
        <v>1.1599999999999999</v>
      </c>
      <c r="F18" s="2">
        <f t="shared" si="0"/>
        <v>1.1599999999999999</v>
      </c>
      <c r="G18" s="2">
        <v>48.72</v>
      </c>
      <c r="H18" s="2">
        <f t="shared" si="1"/>
        <v>56.515199999999993</v>
      </c>
    </row>
    <row r="19" spans="1:12">
      <c r="B19" t="s">
        <v>74</v>
      </c>
      <c r="C19" s="2">
        <f>A3/1*1000/1000</f>
        <v>1</v>
      </c>
      <c r="D19" t="s">
        <v>63</v>
      </c>
      <c r="E19" s="3">
        <f>1500/10000</f>
        <v>0.15</v>
      </c>
      <c r="F19" s="2">
        <f t="shared" si="0"/>
        <v>0.15</v>
      </c>
      <c r="G19" s="2">
        <v>48.72</v>
      </c>
      <c r="H19" s="2">
        <f t="shared" si="1"/>
        <v>7.3079999999999998</v>
      </c>
    </row>
    <row r="20" spans="1:12">
      <c r="B20" t="s">
        <v>14</v>
      </c>
      <c r="C20" s="2">
        <f>A3/1*1000/1000</f>
        <v>1</v>
      </c>
      <c r="D20" t="s">
        <v>15</v>
      </c>
      <c r="E20" s="3">
        <f>2500/10000</f>
        <v>0.25</v>
      </c>
      <c r="F20" s="2">
        <f t="shared" si="0"/>
        <v>0.25</v>
      </c>
      <c r="G20" s="2">
        <v>48.72</v>
      </c>
      <c r="H20" s="2">
        <f t="shared" si="1"/>
        <v>12.18</v>
      </c>
    </row>
    <row r="21" spans="1:12">
      <c r="B21" s="6" t="s">
        <v>16</v>
      </c>
      <c r="F21" s="5">
        <f>SUM(F6:F20)</f>
        <v>5.16</v>
      </c>
      <c r="H21" s="5">
        <f>SUM(H6:H20)</f>
        <v>261.86999999999995</v>
      </c>
      <c r="J21" s="5">
        <f>H21*1.17</f>
        <v>306.38789999999995</v>
      </c>
      <c r="K21" s="5"/>
      <c r="L21" s="5"/>
    </row>
    <row r="22" spans="1:12">
      <c r="A22" s="6" t="s">
        <v>17</v>
      </c>
      <c r="B22" t="s">
        <v>135</v>
      </c>
      <c r="C22" s="2">
        <f>A3/1*2</f>
        <v>2</v>
      </c>
      <c r="D22" t="s">
        <v>13</v>
      </c>
      <c r="E22" s="3" t="s">
        <v>18</v>
      </c>
      <c r="F22" s="2" t="s">
        <v>18</v>
      </c>
      <c r="G22" s="2">
        <f>(396/100)</f>
        <v>3.96</v>
      </c>
      <c r="H22" s="2">
        <f t="shared" ref="H22:H30" si="2">C22*G22</f>
        <v>7.92</v>
      </c>
      <c r="J22" s="5"/>
      <c r="K22" s="5"/>
      <c r="L22" s="5"/>
    </row>
    <row r="23" spans="1:12">
      <c r="B23" t="s">
        <v>136</v>
      </c>
      <c r="C23" s="2">
        <f>A3/1*2</f>
        <v>2</v>
      </c>
      <c r="D23" t="s">
        <v>13</v>
      </c>
      <c r="E23" s="3" t="s">
        <v>18</v>
      </c>
      <c r="F23" s="2" t="s">
        <v>18</v>
      </c>
      <c r="G23" s="2">
        <f>(316/100)</f>
        <v>3.16</v>
      </c>
      <c r="H23" s="2">
        <f t="shared" si="2"/>
        <v>6.32</v>
      </c>
      <c r="J23" s="5"/>
      <c r="K23" s="5"/>
      <c r="L23" s="5"/>
    </row>
    <row r="24" spans="1:12">
      <c r="B24" t="s">
        <v>20</v>
      </c>
      <c r="C24" s="2">
        <f>A3/1*2</f>
        <v>2</v>
      </c>
      <c r="D24" t="s">
        <v>13</v>
      </c>
      <c r="E24" s="3" t="s">
        <v>18</v>
      </c>
      <c r="F24" s="2" t="s">
        <v>18</v>
      </c>
      <c r="G24" s="2">
        <f>(1306/100)</f>
        <v>13.06</v>
      </c>
      <c r="H24" s="2">
        <f t="shared" si="2"/>
        <v>26.12</v>
      </c>
      <c r="J24" s="5"/>
      <c r="K24" s="5"/>
      <c r="L24" s="5"/>
    </row>
    <row r="25" spans="1:12">
      <c r="B25" t="s">
        <v>19</v>
      </c>
      <c r="C25" s="2">
        <f>A3/1*2</f>
        <v>2</v>
      </c>
      <c r="D25" t="s">
        <v>13</v>
      </c>
      <c r="E25" s="3" t="s">
        <v>18</v>
      </c>
      <c r="F25" s="2" t="s">
        <v>18</v>
      </c>
      <c r="G25" s="2">
        <f>(1045/100)</f>
        <v>10.45</v>
      </c>
      <c r="H25" s="2">
        <f t="shared" si="2"/>
        <v>20.9</v>
      </c>
      <c r="J25" s="5"/>
      <c r="K25" s="5"/>
      <c r="L25" s="5"/>
    </row>
    <row r="26" spans="1:12">
      <c r="B26" t="s">
        <v>137</v>
      </c>
      <c r="C26" s="2">
        <f>A3/1*1</f>
        <v>1</v>
      </c>
      <c r="D26" t="s">
        <v>0</v>
      </c>
      <c r="E26" s="3" t="s">
        <v>18</v>
      </c>
      <c r="F26" s="2" t="s">
        <v>18</v>
      </c>
      <c r="G26" s="2">
        <f>(2315/100)</f>
        <v>23.15</v>
      </c>
      <c r="H26" s="2">
        <f t="shared" si="2"/>
        <v>23.15</v>
      </c>
      <c r="J26" s="5"/>
      <c r="K26" s="5"/>
      <c r="L26" s="5"/>
    </row>
    <row r="27" spans="1:12">
      <c r="B27" t="s">
        <v>138</v>
      </c>
      <c r="C27" s="2">
        <f>A3/1*1</f>
        <v>1</v>
      </c>
      <c r="D27" t="s">
        <v>34</v>
      </c>
      <c r="E27" s="3" t="s">
        <v>18</v>
      </c>
      <c r="F27" s="2" t="s">
        <v>18</v>
      </c>
      <c r="G27" s="2">
        <f>(315/100)</f>
        <v>3.15</v>
      </c>
      <c r="H27" s="2">
        <f t="shared" si="2"/>
        <v>3.15</v>
      </c>
      <c r="J27" s="5"/>
      <c r="K27" s="5"/>
      <c r="L27" s="5"/>
    </row>
    <row r="28" spans="1:12">
      <c r="B28" t="s">
        <v>142</v>
      </c>
      <c r="C28" s="2">
        <f>A3/1*1</f>
        <v>1</v>
      </c>
      <c r="D28" t="s">
        <v>63</v>
      </c>
      <c r="E28" s="3" t="s">
        <v>18</v>
      </c>
      <c r="F28" s="2" t="s">
        <v>18</v>
      </c>
      <c r="G28" s="2">
        <f>(235/10)</f>
        <v>23.5</v>
      </c>
      <c r="H28" s="2">
        <f t="shared" si="2"/>
        <v>23.5</v>
      </c>
      <c r="J28" s="5"/>
      <c r="K28" s="5"/>
      <c r="L28" s="5"/>
    </row>
    <row r="29" spans="1:12">
      <c r="B29" t="s">
        <v>143</v>
      </c>
      <c r="C29" s="2">
        <f>A3/1*1</f>
        <v>1</v>
      </c>
      <c r="D29" t="s">
        <v>15</v>
      </c>
      <c r="E29" s="3" t="s">
        <v>18</v>
      </c>
      <c r="F29" s="2" t="s">
        <v>18</v>
      </c>
      <c r="G29" s="2">
        <f>10</f>
        <v>10</v>
      </c>
      <c r="H29" s="2">
        <f t="shared" si="2"/>
        <v>10</v>
      </c>
      <c r="J29" s="5"/>
      <c r="K29" s="5"/>
      <c r="L29" s="5"/>
    </row>
    <row r="30" spans="1:12">
      <c r="B30" t="s">
        <v>30</v>
      </c>
      <c r="C30" s="2">
        <f>A3/1*1</f>
        <v>1</v>
      </c>
      <c r="D30" t="s">
        <v>15</v>
      </c>
      <c r="E30" s="3" t="s">
        <v>18</v>
      </c>
      <c r="F30" s="2" t="s">
        <v>18</v>
      </c>
      <c r="G30" s="2">
        <f>15</f>
        <v>15</v>
      </c>
      <c r="H30" s="2">
        <f t="shared" si="2"/>
        <v>15</v>
      </c>
      <c r="J30" s="5"/>
      <c r="K30" s="5"/>
      <c r="L30" s="5"/>
    </row>
    <row r="31" spans="1:12">
      <c r="B31" s="6" t="s">
        <v>22</v>
      </c>
      <c r="H31" s="5">
        <f>SUM(H22:H30)</f>
        <v>136.06</v>
      </c>
      <c r="J31" s="5">
        <f t="shared" ref="J31:J32" si="3">H31*1.17</f>
        <v>159.1902</v>
      </c>
      <c r="K31" s="5"/>
      <c r="L31" s="5"/>
    </row>
    <row r="32" spans="1:12">
      <c r="A32" s="6" t="s">
        <v>23</v>
      </c>
      <c r="B32" s="6" t="s">
        <v>24</v>
      </c>
      <c r="H32" s="5">
        <f>H21+H31</f>
        <v>397.92999999999995</v>
      </c>
      <c r="J32" s="5">
        <f t="shared" si="3"/>
        <v>465.57809999999989</v>
      </c>
      <c r="K32" s="5"/>
      <c r="L32" s="5">
        <f>J32*1.21</f>
        <v>563.3495009999998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239A-7FEE-4873-AB78-FD587387164D}">
  <dimension ref="A1:L34"/>
  <sheetViews>
    <sheetView topLeftCell="G10" workbookViewId="0">
      <selection activeCell="J21" sqref="J21:L34"/>
    </sheetView>
  </sheetViews>
  <sheetFormatPr defaultRowHeight="15"/>
  <cols>
    <col min="1" max="1" width="17.85546875" customWidth="1"/>
    <col min="2" max="2" width="83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148</v>
      </c>
    </row>
    <row r="3" spans="1:8">
      <c r="A3">
        <v>1</v>
      </c>
      <c r="B3" t="s">
        <v>0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20" si="0">C6*E6</f>
        <v>0.1</v>
      </c>
      <c r="G6" s="2">
        <f>52200/1000</f>
        <v>52.2</v>
      </c>
      <c r="H6" s="2">
        <f t="shared" ref="H6:H20" si="1">F6*G6</f>
        <v>5.2200000000000006</v>
      </c>
    </row>
    <row r="7" spans="1:8">
      <c r="B7" t="s">
        <v>28</v>
      </c>
      <c r="C7" s="2">
        <f>A3/1*1000/1000</f>
        <v>1</v>
      </c>
      <c r="D7" t="s">
        <v>0</v>
      </c>
      <c r="E7" s="3">
        <f>1500/10000</f>
        <v>0.15</v>
      </c>
      <c r="F7" s="2">
        <f t="shared" si="0"/>
        <v>0.15</v>
      </c>
      <c r="G7" s="2">
        <f t="shared" ref="G7:G16" si="2">52200/1000</f>
        <v>52.2</v>
      </c>
      <c r="H7" s="2">
        <f t="shared" si="1"/>
        <v>7.83</v>
      </c>
    </row>
    <row r="8" spans="1:8">
      <c r="B8" t="s">
        <v>149</v>
      </c>
      <c r="C8" s="2">
        <f>A3/1*1000/1000</f>
        <v>1</v>
      </c>
      <c r="D8" t="s">
        <v>0</v>
      </c>
      <c r="E8" s="3">
        <f>2000/10000</f>
        <v>0.2</v>
      </c>
      <c r="F8" s="2">
        <f t="shared" si="0"/>
        <v>0.2</v>
      </c>
      <c r="G8" s="2">
        <f t="shared" si="2"/>
        <v>52.2</v>
      </c>
      <c r="H8" s="2">
        <f t="shared" si="1"/>
        <v>10.440000000000001</v>
      </c>
    </row>
    <row r="9" spans="1:8">
      <c r="B9" t="s">
        <v>131</v>
      </c>
      <c r="C9" s="2">
        <f>A3/1*1000/1000</f>
        <v>1</v>
      </c>
      <c r="D9" t="s">
        <v>0</v>
      </c>
      <c r="E9" s="3">
        <f>2500/10000</f>
        <v>0.25</v>
      </c>
      <c r="F9" s="2">
        <f t="shared" si="0"/>
        <v>0.25</v>
      </c>
      <c r="G9" s="2">
        <f t="shared" si="2"/>
        <v>52.2</v>
      </c>
      <c r="H9" s="2">
        <f t="shared" si="1"/>
        <v>13.05</v>
      </c>
    </row>
    <row r="10" spans="1:8">
      <c r="B10" t="s">
        <v>150</v>
      </c>
      <c r="C10" s="2">
        <f>A3/1*1000/1000</f>
        <v>1</v>
      </c>
      <c r="D10" t="s">
        <v>0</v>
      </c>
      <c r="E10" s="3">
        <f>5000/10000</f>
        <v>0.5</v>
      </c>
      <c r="F10" s="2">
        <f t="shared" si="0"/>
        <v>0.5</v>
      </c>
      <c r="G10" s="2">
        <f t="shared" si="2"/>
        <v>52.2</v>
      </c>
      <c r="H10" s="2">
        <f t="shared" si="1"/>
        <v>26.1</v>
      </c>
    </row>
    <row r="11" spans="1:8">
      <c r="B11" t="s">
        <v>151</v>
      </c>
      <c r="C11" s="2">
        <f>A3/1*1000/1000</f>
        <v>1</v>
      </c>
      <c r="D11" t="s">
        <v>0</v>
      </c>
      <c r="E11" s="3">
        <f>3500/10000</f>
        <v>0.35</v>
      </c>
      <c r="F11" s="2">
        <f t="shared" si="0"/>
        <v>0.35</v>
      </c>
      <c r="G11" s="2">
        <f t="shared" si="2"/>
        <v>52.2</v>
      </c>
      <c r="H11" s="2">
        <f t="shared" si="1"/>
        <v>18.27</v>
      </c>
    </row>
    <row r="12" spans="1:8">
      <c r="B12" t="s">
        <v>134</v>
      </c>
      <c r="C12" s="2">
        <f>A3/1*1000/1000</f>
        <v>1</v>
      </c>
      <c r="D12" t="s">
        <v>0</v>
      </c>
      <c r="E12" s="3">
        <f>1600/10000</f>
        <v>0.16</v>
      </c>
      <c r="F12" s="2">
        <f t="shared" si="0"/>
        <v>0.16</v>
      </c>
      <c r="G12" s="2">
        <f t="shared" si="2"/>
        <v>52.2</v>
      </c>
      <c r="H12" s="2">
        <f t="shared" si="1"/>
        <v>8.3520000000000003</v>
      </c>
    </row>
    <row r="13" spans="1:8">
      <c r="B13" t="s">
        <v>40</v>
      </c>
      <c r="C13" s="2">
        <f>A3/1*2000/1000</f>
        <v>2</v>
      </c>
      <c r="D13" t="s">
        <v>13</v>
      </c>
      <c r="E13" s="3">
        <f>4000/10000</f>
        <v>0.4</v>
      </c>
      <c r="F13" s="2">
        <f t="shared" si="0"/>
        <v>0.8</v>
      </c>
      <c r="G13" s="2">
        <f t="shared" si="2"/>
        <v>52.2</v>
      </c>
      <c r="H13" s="2">
        <f t="shared" si="1"/>
        <v>41.760000000000005</v>
      </c>
    </row>
    <row r="14" spans="1:8">
      <c r="B14" t="s">
        <v>39</v>
      </c>
      <c r="C14" s="2">
        <f>A3/1*2000/1000</f>
        <v>2</v>
      </c>
      <c r="D14" t="s">
        <v>13</v>
      </c>
      <c r="E14" s="3">
        <f>3500/10000</f>
        <v>0.35</v>
      </c>
      <c r="F14" s="2">
        <f t="shared" si="0"/>
        <v>0.7</v>
      </c>
      <c r="G14" s="2">
        <f t="shared" si="2"/>
        <v>52.2</v>
      </c>
      <c r="H14" s="2">
        <f t="shared" si="1"/>
        <v>36.54</v>
      </c>
    </row>
    <row r="15" spans="1:8">
      <c r="B15" t="s">
        <v>11</v>
      </c>
      <c r="C15" s="2">
        <f>A3/1*1000/1000</f>
        <v>1</v>
      </c>
      <c r="D15" t="s">
        <v>0</v>
      </c>
      <c r="E15" s="3">
        <f>1000/10000</f>
        <v>0.1</v>
      </c>
      <c r="F15" s="2">
        <f t="shared" si="0"/>
        <v>0.1</v>
      </c>
      <c r="G15" s="2">
        <f t="shared" si="2"/>
        <v>52.2</v>
      </c>
      <c r="H15" s="2">
        <f t="shared" si="1"/>
        <v>5.2200000000000006</v>
      </c>
    </row>
    <row r="16" spans="1:8">
      <c r="B16" t="s">
        <v>12</v>
      </c>
      <c r="C16" s="2">
        <f>A3/1*1000/1000</f>
        <v>1</v>
      </c>
      <c r="D16" t="s">
        <v>0</v>
      </c>
      <c r="E16" s="3">
        <f>1000/10000</f>
        <v>0.1</v>
      </c>
      <c r="F16" s="2">
        <f t="shared" si="0"/>
        <v>0.1</v>
      </c>
      <c r="G16" s="2">
        <f t="shared" si="2"/>
        <v>52.2</v>
      </c>
      <c r="H16" s="2">
        <f t="shared" si="1"/>
        <v>5.2200000000000006</v>
      </c>
    </row>
    <row r="17" spans="1:12">
      <c r="B17" t="s">
        <v>141</v>
      </c>
      <c r="C17" s="2">
        <f>A3/1*1200/1000</f>
        <v>1.2</v>
      </c>
      <c r="D17" t="s">
        <v>63</v>
      </c>
      <c r="E17" s="3">
        <f>900/10000</f>
        <v>0.09</v>
      </c>
      <c r="F17" s="2">
        <f t="shared" si="0"/>
        <v>0.108</v>
      </c>
      <c r="G17" s="2">
        <v>48.72</v>
      </c>
      <c r="H17" s="2">
        <f t="shared" si="1"/>
        <v>5.2617599999999998</v>
      </c>
    </row>
    <row r="18" spans="1:12">
      <c r="B18" t="s">
        <v>73</v>
      </c>
      <c r="C18" s="2">
        <f>A3/1*1200/1000</f>
        <v>1.2</v>
      </c>
      <c r="D18" t="s">
        <v>63</v>
      </c>
      <c r="E18" s="3">
        <f>11600/10000</f>
        <v>1.1599999999999999</v>
      </c>
      <c r="F18" s="2">
        <f t="shared" si="0"/>
        <v>1.3919999999999999</v>
      </c>
      <c r="G18" s="2">
        <v>48.72</v>
      </c>
      <c r="H18" s="2">
        <f t="shared" si="1"/>
        <v>67.818239999999989</v>
      </c>
    </row>
    <row r="19" spans="1:12">
      <c r="B19" t="s">
        <v>74</v>
      </c>
      <c r="C19" s="2">
        <f>A3/1*1200/1000</f>
        <v>1.2</v>
      </c>
      <c r="D19" t="s">
        <v>63</v>
      </c>
      <c r="E19" s="3">
        <f>1500/10000</f>
        <v>0.15</v>
      </c>
      <c r="F19" s="2">
        <f t="shared" si="0"/>
        <v>0.18</v>
      </c>
      <c r="G19" s="2">
        <v>48.72</v>
      </c>
      <c r="H19" s="2">
        <f t="shared" si="1"/>
        <v>8.7695999999999987</v>
      </c>
    </row>
    <row r="20" spans="1:12">
      <c r="B20" t="s">
        <v>14</v>
      </c>
      <c r="C20" s="2">
        <f>A3/1*1000/1000</f>
        <v>1</v>
      </c>
      <c r="D20" t="s">
        <v>15</v>
      </c>
      <c r="E20" s="3">
        <f>2500/10000</f>
        <v>0.25</v>
      </c>
      <c r="F20" s="2">
        <f t="shared" si="0"/>
        <v>0.25</v>
      </c>
      <c r="G20" s="2">
        <v>48.72</v>
      </c>
      <c r="H20" s="2">
        <f t="shared" si="1"/>
        <v>12.18</v>
      </c>
    </row>
    <row r="21" spans="1:12">
      <c r="B21" s="6" t="s">
        <v>16</v>
      </c>
      <c r="F21" s="5">
        <f>SUM(F6:F20)</f>
        <v>5.34</v>
      </c>
      <c r="H21" s="5">
        <f>SUM(H6:H20)</f>
        <v>272.03160000000003</v>
      </c>
      <c r="J21" s="5">
        <f>H21*1.17</f>
        <v>318.276972</v>
      </c>
      <c r="K21" s="5"/>
      <c r="L21" s="5"/>
    </row>
    <row r="22" spans="1:12">
      <c r="A22" s="6" t="s">
        <v>17</v>
      </c>
      <c r="B22" t="s">
        <v>152</v>
      </c>
      <c r="C22" s="2">
        <f>A3/1*1</f>
        <v>1</v>
      </c>
      <c r="D22" t="s">
        <v>0</v>
      </c>
      <c r="E22" s="3" t="s">
        <v>18</v>
      </c>
      <c r="F22" s="2" t="s">
        <v>18</v>
      </c>
      <c r="G22" s="2">
        <f>(14543/100)</f>
        <v>145.43</v>
      </c>
      <c r="H22" s="2">
        <f t="shared" ref="H22:H32" si="3">C22*G22</f>
        <v>145.43</v>
      </c>
      <c r="J22" s="5"/>
      <c r="K22" s="5"/>
      <c r="L22" s="5"/>
    </row>
    <row r="23" spans="1:12">
      <c r="B23" t="s">
        <v>138</v>
      </c>
      <c r="C23" s="2">
        <f>A3/1*1</f>
        <v>1</v>
      </c>
      <c r="D23" t="s">
        <v>34</v>
      </c>
      <c r="E23" s="3" t="s">
        <v>18</v>
      </c>
      <c r="F23" s="2" t="s">
        <v>18</v>
      </c>
      <c r="G23" s="2">
        <f>(315/100)</f>
        <v>3.15</v>
      </c>
      <c r="H23" s="2">
        <f t="shared" si="3"/>
        <v>3.15</v>
      </c>
      <c r="J23" s="5"/>
      <c r="K23" s="5"/>
      <c r="L23" s="5"/>
    </row>
    <row r="24" spans="1:12">
      <c r="B24" t="s">
        <v>137</v>
      </c>
      <c r="C24" s="2">
        <f>A3/1*1</f>
        <v>1</v>
      </c>
      <c r="D24" t="s">
        <v>0</v>
      </c>
      <c r="E24" s="3" t="s">
        <v>18</v>
      </c>
      <c r="F24" s="2" t="s">
        <v>18</v>
      </c>
      <c r="G24" s="2">
        <f>(2315/100)</f>
        <v>23.15</v>
      </c>
      <c r="H24" s="2">
        <f t="shared" si="3"/>
        <v>23.15</v>
      </c>
      <c r="J24" s="5"/>
      <c r="K24" s="5"/>
      <c r="L24" s="5"/>
    </row>
    <row r="25" spans="1:12">
      <c r="B25" t="s">
        <v>153</v>
      </c>
      <c r="C25" s="2">
        <f>A3/1*1</f>
        <v>1</v>
      </c>
      <c r="D25" t="s">
        <v>0</v>
      </c>
      <c r="E25" s="3" t="s">
        <v>18</v>
      </c>
      <c r="F25" s="2" t="s">
        <v>18</v>
      </c>
      <c r="G25" s="2">
        <f>(8897/100)</f>
        <v>88.97</v>
      </c>
      <c r="H25" s="2">
        <f t="shared" si="3"/>
        <v>88.97</v>
      </c>
      <c r="J25" s="5"/>
      <c r="K25" s="5"/>
      <c r="L25" s="5"/>
    </row>
    <row r="26" spans="1:12">
      <c r="B26" t="s">
        <v>135</v>
      </c>
      <c r="C26" s="2">
        <f>A3/1*2</f>
        <v>2</v>
      </c>
      <c r="D26" t="s">
        <v>13</v>
      </c>
      <c r="E26" s="3" t="s">
        <v>18</v>
      </c>
      <c r="F26" s="2" t="s">
        <v>18</v>
      </c>
      <c r="G26" s="2">
        <f>(396/100)</f>
        <v>3.96</v>
      </c>
      <c r="H26" s="2">
        <f t="shared" si="3"/>
        <v>7.92</v>
      </c>
      <c r="J26" s="5"/>
      <c r="K26" s="5"/>
      <c r="L26" s="5"/>
    </row>
    <row r="27" spans="1:12">
      <c r="B27" t="s">
        <v>136</v>
      </c>
      <c r="C27" s="2">
        <f>A3/1*2</f>
        <v>2</v>
      </c>
      <c r="D27" t="s">
        <v>13</v>
      </c>
      <c r="E27" s="3" t="s">
        <v>18</v>
      </c>
      <c r="F27" s="2" t="s">
        <v>18</v>
      </c>
      <c r="G27" s="2">
        <f>(316/100)</f>
        <v>3.16</v>
      </c>
      <c r="H27" s="2">
        <f t="shared" si="3"/>
        <v>6.32</v>
      </c>
      <c r="J27" s="5"/>
      <c r="K27" s="5"/>
      <c r="L27" s="5"/>
    </row>
    <row r="28" spans="1:12">
      <c r="B28" t="s">
        <v>20</v>
      </c>
      <c r="C28" s="2">
        <f>A3/1*2</f>
        <v>2</v>
      </c>
      <c r="D28" t="s">
        <v>13</v>
      </c>
      <c r="E28" s="3" t="s">
        <v>18</v>
      </c>
      <c r="F28" s="2" t="s">
        <v>18</v>
      </c>
      <c r="G28" s="2">
        <f>(1306/100)</f>
        <v>13.06</v>
      </c>
      <c r="H28" s="2">
        <f t="shared" si="3"/>
        <v>26.12</v>
      </c>
      <c r="J28" s="5"/>
      <c r="K28" s="5"/>
      <c r="L28" s="5"/>
    </row>
    <row r="29" spans="1:12">
      <c r="B29" t="s">
        <v>19</v>
      </c>
      <c r="C29" s="2">
        <f>A3/1*2</f>
        <v>2</v>
      </c>
      <c r="D29" t="s">
        <v>13</v>
      </c>
      <c r="E29" s="3" t="s">
        <v>18</v>
      </c>
      <c r="F29" s="2" t="s">
        <v>18</v>
      </c>
      <c r="G29" s="2">
        <f>(1045/100)</f>
        <v>10.45</v>
      </c>
      <c r="H29" s="2">
        <f t="shared" si="3"/>
        <v>20.9</v>
      </c>
      <c r="J29" s="5"/>
      <c r="K29" s="5"/>
      <c r="L29" s="5"/>
    </row>
    <row r="30" spans="1:12">
      <c r="B30" t="s">
        <v>142</v>
      </c>
      <c r="C30" s="2">
        <f>A3/1*(13/10)</f>
        <v>1.3</v>
      </c>
      <c r="D30" t="s">
        <v>63</v>
      </c>
      <c r="E30" s="3" t="s">
        <v>18</v>
      </c>
      <c r="F30" s="2" t="s">
        <v>18</v>
      </c>
      <c r="G30" s="2">
        <f>(235/10)</f>
        <v>23.5</v>
      </c>
      <c r="H30" s="2">
        <f t="shared" si="3"/>
        <v>30.55</v>
      </c>
      <c r="J30" s="5"/>
      <c r="K30" s="5"/>
      <c r="L30" s="5"/>
    </row>
    <row r="31" spans="1:12">
      <c r="B31" t="s">
        <v>143</v>
      </c>
      <c r="C31" s="2">
        <f>A3/1*1</f>
        <v>1</v>
      </c>
      <c r="D31" t="s">
        <v>15</v>
      </c>
      <c r="E31" s="3" t="s">
        <v>18</v>
      </c>
      <c r="F31" s="2" t="s">
        <v>18</v>
      </c>
      <c r="G31" s="2">
        <f>10</f>
        <v>10</v>
      </c>
      <c r="H31" s="2">
        <f t="shared" si="3"/>
        <v>10</v>
      </c>
      <c r="J31" s="5"/>
      <c r="K31" s="5"/>
      <c r="L31" s="5"/>
    </row>
    <row r="32" spans="1:12">
      <c r="B32" t="s">
        <v>21</v>
      </c>
      <c r="C32" s="2">
        <f>A3/1*1</f>
        <v>1</v>
      </c>
      <c r="D32" t="s">
        <v>15</v>
      </c>
      <c r="E32" s="3" t="s">
        <v>18</v>
      </c>
      <c r="F32" s="2" t="s">
        <v>18</v>
      </c>
      <c r="G32" s="2">
        <f>25</f>
        <v>25</v>
      </c>
      <c r="H32" s="2">
        <f t="shared" si="3"/>
        <v>25</v>
      </c>
      <c r="J32" s="5"/>
      <c r="K32" s="5"/>
      <c r="L32" s="5"/>
    </row>
    <row r="33" spans="1:12">
      <c r="B33" s="6" t="s">
        <v>22</v>
      </c>
      <c r="H33" s="5">
        <f>SUM(H22:H32)</f>
        <v>387.51000000000005</v>
      </c>
      <c r="J33" s="5">
        <f t="shared" ref="J33:J34" si="4">H33*1.17</f>
        <v>453.38670000000002</v>
      </c>
      <c r="K33" s="5"/>
      <c r="L33" s="5"/>
    </row>
    <row r="34" spans="1:12">
      <c r="A34" s="6" t="s">
        <v>23</v>
      </c>
      <c r="B34" s="6" t="s">
        <v>24</v>
      </c>
      <c r="H34" s="5">
        <f>H21+H33</f>
        <v>659.54160000000002</v>
      </c>
      <c r="J34" s="5">
        <f t="shared" si="4"/>
        <v>771.66367200000002</v>
      </c>
      <c r="K34" s="5"/>
      <c r="L34" s="5">
        <f>J34*1.21</f>
        <v>933.71304311999995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9235-7EB2-4716-84D0-1DD3E2D30128}">
  <dimension ref="A1:L32"/>
  <sheetViews>
    <sheetView topLeftCell="C1" workbookViewId="0">
      <selection activeCell="J19" sqref="J19:L30"/>
    </sheetView>
  </sheetViews>
  <sheetFormatPr defaultRowHeight="15"/>
  <cols>
    <col min="1" max="1" width="17.85546875" customWidth="1"/>
    <col min="2" max="2" width="77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154</v>
      </c>
    </row>
    <row r="3" spans="1:8">
      <c r="A3">
        <v>1</v>
      </c>
      <c r="B3" t="s">
        <v>0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18" si="0">C6*E6</f>
        <v>0.1</v>
      </c>
      <c r="G6" s="2">
        <v>52.2</v>
      </c>
      <c r="H6" s="2">
        <f>F6*G6</f>
        <v>5.2200000000000006</v>
      </c>
    </row>
    <row r="7" spans="1:8">
      <c r="B7" t="s">
        <v>155</v>
      </c>
      <c r="C7" s="2">
        <f>A3/1*1000/1000</f>
        <v>1</v>
      </c>
      <c r="D7" t="s">
        <v>0</v>
      </c>
      <c r="E7" s="3">
        <f>2000/10000</f>
        <v>0.2</v>
      </c>
      <c r="F7" s="2">
        <f t="shared" si="0"/>
        <v>0.2</v>
      </c>
      <c r="G7" s="2">
        <v>52.2</v>
      </c>
      <c r="H7" s="2">
        <f>F7*G7</f>
        <v>10.440000000000001</v>
      </c>
    </row>
    <row r="8" spans="1:8">
      <c r="B8" t="s">
        <v>149</v>
      </c>
      <c r="C8" s="2">
        <f>A3/1*1000/1000</f>
        <v>1</v>
      </c>
      <c r="D8" t="s">
        <v>0</v>
      </c>
      <c r="E8" s="3">
        <f>2000/10000</f>
        <v>0.2</v>
      </c>
      <c r="F8" s="2">
        <f t="shared" si="0"/>
        <v>0.2</v>
      </c>
      <c r="G8" s="2">
        <v>52.2</v>
      </c>
      <c r="H8" s="2">
        <f t="shared" ref="H8:H18" si="1">F8*G8</f>
        <v>10.440000000000001</v>
      </c>
    </row>
    <row r="9" spans="1:8">
      <c r="B9" t="s">
        <v>131</v>
      </c>
      <c r="C9" s="2">
        <f>A3/1*1000/1000</f>
        <v>1</v>
      </c>
      <c r="D9" t="s">
        <v>0</v>
      </c>
      <c r="E9" s="3">
        <f>2500/10000</f>
        <v>0.25</v>
      </c>
      <c r="F9" s="2">
        <f t="shared" si="0"/>
        <v>0.25</v>
      </c>
      <c r="G9" s="2">
        <v>52.2</v>
      </c>
      <c r="H9" s="2">
        <f t="shared" si="1"/>
        <v>13.05</v>
      </c>
    </row>
    <row r="10" spans="1:8">
      <c r="B10" t="s">
        <v>150</v>
      </c>
      <c r="C10" s="2">
        <f>A3/1*1000/1000</f>
        <v>1</v>
      </c>
      <c r="D10" t="s">
        <v>0</v>
      </c>
      <c r="E10" s="3">
        <f>7500/10000</f>
        <v>0.75</v>
      </c>
      <c r="F10" s="2">
        <f t="shared" si="0"/>
        <v>0.75</v>
      </c>
      <c r="G10" s="2">
        <v>52.2</v>
      </c>
      <c r="H10" s="2">
        <f t="shared" si="1"/>
        <v>39.150000000000006</v>
      </c>
    </row>
    <row r="11" spans="1:8">
      <c r="B11" t="s">
        <v>133</v>
      </c>
      <c r="C11" s="2">
        <f>A3/1*1000/1000</f>
        <v>1</v>
      </c>
      <c r="D11" t="s">
        <v>0</v>
      </c>
      <c r="E11" s="3">
        <f>2500/10000</f>
        <v>0.25</v>
      </c>
      <c r="F11" s="2">
        <f t="shared" si="0"/>
        <v>0.25</v>
      </c>
      <c r="G11" s="2">
        <v>52.2</v>
      </c>
      <c r="H11" s="2">
        <f t="shared" si="1"/>
        <v>13.05</v>
      </c>
    </row>
    <row r="12" spans="1:8">
      <c r="B12" t="s">
        <v>134</v>
      </c>
      <c r="C12" s="2">
        <f>A3/1*1000/1000</f>
        <v>1</v>
      </c>
      <c r="D12" t="s">
        <v>0</v>
      </c>
      <c r="E12" s="3">
        <f>2500/10000</f>
        <v>0.25</v>
      </c>
      <c r="F12" s="2">
        <f t="shared" si="0"/>
        <v>0.25</v>
      </c>
      <c r="G12" s="2">
        <v>52.2</v>
      </c>
      <c r="H12" s="2">
        <f t="shared" si="1"/>
        <v>13.05</v>
      </c>
    </row>
    <row r="13" spans="1:8">
      <c r="B13" t="s">
        <v>108</v>
      </c>
      <c r="C13" s="2">
        <f>A3/1*1000/1000</f>
        <v>1</v>
      </c>
      <c r="D13" t="s">
        <v>0</v>
      </c>
      <c r="E13" s="3">
        <f>2000/10000</f>
        <v>0.2</v>
      </c>
      <c r="F13" s="2">
        <f t="shared" si="0"/>
        <v>0.2</v>
      </c>
      <c r="G13" s="2">
        <v>52.2</v>
      </c>
      <c r="H13" s="2">
        <f t="shared" si="1"/>
        <v>10.440000000000001</v>
      </c>
    </row>
    <row r="14" spans="1:8">
      <c r="B14" t="s">
        <v>27</v>
      </c>
      <c r="C14" s="2">
        <f>A3/1*1000/1000</f>
        <v>1</v>
      </c>
      <c r="D14" t="s">
        <v>0</v>
      </c>
      <c r="E14" s="3">
        <f>2000/10000</f>
        <v>0.2</v>
      </c>
      <c r="F14" s="2">
        <f t="shared" si="0"/>
        <v>0.2</v>
      </c>
      <c r="G14" s="2">
        <v>52.2</v>
      </c>
      <c r="H14" s="2">
        <f t="shared" si="1"/>
        <v>10.440000000000001</v>
      </c>
    </row>
    <row r="15" spans="1:8">
      <c r="B15" t="s">
        <v>11</v>
      </c>
      <c r="C15" s="2">
        <f>A3/1*1000/1000</f>
        <v>1</v>
      </c>
      <c r="D15" t="s">
        <v>0</v>
      </c>
      <c r="E15" s="3">
        <f>1000/10000</f>
        <v>0.1</v>
      </c>
      <c r="F15" s="2">
        <f t="shared" si="0"/>
        <v>0.1</v>
      </c>
      <c r="G15" s="2">
        <v>52.2</v>
      </c>
      <c r="H15" s="2">
        <f t="shared" si="1"/>
        <v>5.2200000000000006</v>
      </c>
    </row>
    <row r="16" spans="1:8">
      <c r="B16" t="s">
        <v>12</v>
      </c>
      <c r="C16" s="2">
        <f>A3/1*1000/1000</f>
        <v>1</v>
      </c>
      <c r="D16" t="s">
        <v>0</v>
      </c>
      <c r="E16" s="3">
        <f>1000/10000</f>
        <v>0.1</v>
      </c>
      <c r="F16" s="2">
        <f t="shared" si="0"/>
        <v>0.1</v>
      </c>
      <c r="G16" s="2">
        <v>52.2</v>
      </c>
      <c r="H16" s="2">
        <f t="shared" si="1"/>
        <v>5.2200000000000006</v>
      </c>
    </row>
    <row r="17" spans="1:12">
      <c r="B17" t="s">
        <v>29</v>
      </c>
      <c r="C17" s="2">
        <f>A3/1*1000/1000</f>
        <v>1</v>
      </c>
      <c r="D17" t="s">
        <v>15</v>
      </c>
      <c r="E17" s="3">
        <f>3500/10000</f>
        <v>0.35</v>
      </c>
      <c r="F17" s="2">
        <f t="shared" si="0"/>
        <v>0.35</v>
      </c>
      <c r="G17" s="2">
        <v>48.72</v>
      </c>
      <c r="H17" s="2">
        <f t="shared" si="1"/>
        <v>17.052</v>
      </c>
    </row>
    <row r="18" spans="1:12">
      <c r="B18" t="s">
        <v>14</v>
      </c>
      <c r="C18" s="2">
        <f>A3/1*1000/1000</f>
        <v>1</v>
      </c>
      <c r="D18" t="s">
        <v>15</v>
      </c>
      <c r="E18" s="3">
        <f>2000/10000</f>
        <v>0.2</v>
      </c>
      <c r="F18" s="2">
        <f t="shared" si="0"/>
        <v>0.2</v>
      </c>
      <c r="G18" s="2">
        <v>48.72</v>
      </c>
      <c r="H18" s="2">
        <f t="shared" si="1"/>
        <v>9.7439999999999998</v>
      </c>
    </row>
    <row r="19" spans="1:12">
      <c r="B19" s="6" t="s">
        <v>16</v>
      </c>
      <c r="F19" s="5">
        <f>SUM(F6:F18)</f>
        <v>3.1500000000000008</v>
      </c>
      <c r="H19" s="5">
        <f>SUM(H6:H18)</f>
        <v>162.51599999999999</v>
      </c>
      <c r="J19" s="5">
        <f>H19*1.17</f>
        <v>190.14371999999997</v>
      </c>
      <c r="K19" s="5"/>
      <c r="L19" s="5"/>
    </row>
    <row r="20" spans="1:12">
      <c r="A20" s="6" t="s">
        <v>17</v>
      </c>
      <c r="B20" t="s">
        <v>156</v>
      </c>
      <c r="C20" s="2">
        <f>A3/1*1</f>
        <v>1</v>
      </c>
      <c r="D20" t="s">
        <v>0</v>
      </c>
      <c r="E20" s="3" t="s">
        <v>18</v>
      </c>
      <c r="F20" s="2" t="s">
        <v>18</v>
      </c>
      <c r="G20" s="2">
        <f>(28017/100)</f>
        <v>280.17</v>
      </c>
      <c r="H20" s="2">
        <f t="shared" ref="H20:H28" si="2">C20*G20</f>
        <v>280.17</v>
      </c>
      <c r="J20" s="5"/>
      <c r="K20" s="5"/>
      <c r="L20" s="5"/>
    </row>
    <row r="21" spans="1:12">
      <c r="B21" t="s">
        <v>157</v>
      </c>
      <c r="C21" s="2">
        <f>A3/1*1</f>
        <v>1</v>
      </c>
      <c r="D21" t="s">
        <v>0</v>
      </c>
      <c r="E21" s="3" t="s">
        <v>18</v>
      </c>
      <c r="F21" s="2" t="s">
        <v>18</v>
      </c>
      <c r="G21" s="2">
        <f>(1263/10)</f>
        <v>126.3</v>
      </c>
      <c r="H21" s="2">
        <f t="shared" si="2"/>
        <v>126.3</v>
      </c>
      <c r="J21" s="5"/>
      <c r="K21" s="5"/>
      <c r="L21" s="5"/>
    </row>
    <row r="22" spans="1:12">
      <c r="B22" t="s">
        <v>158</v>
      </c>
      <c r="C22" s="2">
        <f>A3/1*1</f>
        <v>1</v>
      </c>
      <c r="D22" t="s">
        <v>0</v>
      </c>
      <c r="E22" s="3" t="s">
        <v>18</v>
      </c>
      <c r="F22" s="2" t="s">
        <v>18</v>
      </c>
      <c r="G22" s="2">
        <f>(5037/100)</f>
        <v>50.37</v>
      </c>
      <c r="H22" s="2">
        <f t="shared" si="2"/>
        <v>50.37</v>
      </c>
      <c r="J22" s="5"/>
      <c r="K22" s="5"/>
      <c r="L22" s="5"/>
    </row>
    <row r="23" spans="1:12">
      <c r="B23" t="s">
        <v>138</v>
      </c>
      <c r="C23" s="2">
        <f>A3/1*1</f>
        <v>1</v>
      </c>
      <c r="D23" t="s">
        <v>34</v>
      </c>
      <c r="E23" s="3" t="s">
        <v>18</v>
      </c>
      <c r="F23" s="2" t="s">
        <v>18</v>
      </c>
      <c r="G23" s="2">
        <f>(315/100)</f>
        <v>3.15</v>
      </c>
      <c r="H23" s="2">
        <f t="shared" si="2"/>
        <v>3.15</v>
      </c>
      <c r="J23" s="5"/>
      <c r="K23" s="5"/>
      <c r="L23" s="5"/>
    </row>
    <row r="24" spans="1:12">
      <c r="B24" t="s">
        <v>20</v>
      </c>
      <c r="C24" s="2">
        <f>A3/1*1</f>
        <v>1</v>
      </c>
      <c r="D24" t="s">
        <v>13</v>
      </c>
      <c r="E24" s="3" t="s">
        <v>18</v>
      </c>
      <c r="F24" s="2" t="s">
        <v>18</v>
      </c>
      <c r="G24" s="2">
        <f>(1306/100)</f>
        <v>13.06</v>
      </c>
      <c r="H24" s="2">
        <f t="shared" si="2"/>
        <v>13.06</v>
      </c>
      <c r="J24" s="5"/>
      <c r="K24" s="5"/>
      <c r="L24" s="5"/>
    </row>
    <row r="25" spans="1:12">
      <c r="B25" t="s">
        <v>19</v>
      </c>
      <c r="C25" s="2">
        <f>A3/1*1</f>
        <v>1</v>
      </c>
      <c r="D25" t="s">
        <v>13</v>
      </c>
      <c r="E25" s="3" t="s">
        <v>18</v>
      </c>
      <c r="F25" s="2" t="s">
        <v>18</v>
      </c>
      <c r="G25" s="2">
        <f>(1045/100)</f>
        <v>10.45</v>
      </c>
      <c r="H25" s="2">
        <f t="shared" si="2"/>
        <v>10.45</v>
      </c>
      <c r="J25" s="5"/>
      <c r="K25" s="5"/>
      <c r="L25" s="5"/>
    </row>
    <row r="26" spans="1:12">
      <c r="B26" t="s">
        <v>135</v>
      </c>
      <c r="C26" s="2">
        <f>A3/1*1</f>
        <v>1</v>
      </c>
      <c r="D26" t="s">
        <v>13</v>
      </c>
      <c r="E26" s="3" t="s">
        <v>18</v>
      </c>
      <c r="F26" s="2" t="s">
        <v>18</v>
      </c>
      <c r="G26" s="2">
        <f>(396/100)</f>
        <v>3.96</v>
      </c>
      <c r="H26" s="2">
        <f t="shared" si="2"/>
        <v>3.96</v>
      </c>
      <c r="J26" s="5"/>
      <c r="K26" s="5"/>
      <c r="L26" s="5"/>
    </row>
    <row r="27" spans="1:12">
      <c r="B27" t="s">
        <v>136</v>
      </c>
      <c r="C27" s="2">
        <f>A3/1*1</f>
        <v>1</v>
      </c>
      <c r="D27" t="s">
        <v>13</v>
      </c>
      <c r="E27" s="3" t="s">
        <v>18</v>
      </c>
      <c r="F27" s="2" t="s">
        <v>18</v>
      </c>
      <c r="G27" s="2">
        <f>(316/100)</f>
        <v>3.16</v>
      </c>
      <c r="H27" s="2">
        <f t="shared" si="2"/>
        <v>3.16</v>
      </c>
      <c r="J27" s="5"/>
      <c r="K27" s="5"/>
      <c r="L27" s="5"/>
    </row>
    <row r="28" spans="1:12">
      <c r="B28" t="s">
        <v>21</v>
      </c>
      <c r="C28" s="2">
        <f>A3/1*1</f>
        <v>1</v>
      </c>
      <c r="D28" t="s">
        <v>15</v>
      </c>
      <c r="E28" s="3" t="s">
        <v>18</v>
      </c>
      <c r="F28" s="2" t="s">
        <v>18</v>
      </c>
      <c r="G28" s="2">
        <f>10</f>
        <v>10</v>
      </c>
      <c r="H28" s="2">
        <f t="shared" si="2"/>
        <v>10</v>
      </c>
      <c r="J28" s="5"/>
      <c r="K28" s="5"/>
      <c r="L28" s="5"/>
    </row>
    <row r="29" spans="1:12">
      <c r="B29" s="6" t="s">
        <v>22</v>
      </c>
      <c r="H29" s="5">
        <f>SUM(H20:H28)</f>
        <v>500.62</v>
      </c>
      <c r="J29" s="5">
        <f t="shared" ref="J29:J30" si="3">H29*1.17</f>
        <v>585.72539999999992</v>
      </c>
      <c r="K29" s="5"/>
      <c r="L29" s="5"/>
    </row>
    <row r="30" spans="1:12">
      <c r="A30" s="6" t="s">
        <v>23</v>
      </c>
      <c r="B30" s="6" t="s">
        <v>24</v>
      </c>
      <c r="H30" s="5">
        <f>H19+H29</f>
        <v>663.13599999999997</v>
      </c>
      <c r="J30" s="5">
        <f t="shared" si="3"/>
        <v>775.86911999999995</v>
      </c>
      <c r="K30" s="5"/>
      <c r="L30" s="5">
        <f>J30*1.21</f>
        <v>938.80163519999996</v>
      </c>
    </row>
    <row r="31" spans="1:12">
      <c r="J31" s="5"/>
      <c r="K31" s="5"/>
      <c r="L31" s="5"/>
    </row>
    <row r="32" spans="1:12">
      <c r="J32" s="5"/>
      <c r="K32" s="5"/>
      <c r="L32" s="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8778-EAB3-42CB-BA2C-84B3F7383EA1}">
  <dimension ref="A1:L32"/>
  <sheetViews>
    <sheetView topLeftCell="B1" workbookViewId="0">
      <selection activeCell="J31" sqref="J31:L32"/>
    </sheetView>
  </sheetViews>
  <sheetFormatPr defaultRowHeight="15"/>
  <cols>
    <col min="1" max="1" width="17.85546875" customWidth="1"/>
    <col min="2" max="2" width="77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159</v>
      </c>
    </row>
    <row r="3" spans="1:8">
      <c r="A3">
        <v>1</v>
      </c>
      <c r="B3" t="s">
        <v>0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18" si="0">C6*E6</f>
        <v>0.1</v>
      </c>
      <c r="G6" s="2">
        <v>52.2</v>
      </c>
      <c r="H6" s="2">
        <f t="shared" ref="H6:H18" si="1">F6*G6</f>
        <v>5.2200000000000006</v>
      </c>
    </row>
    <row r="7" spans="1:8">
      <c r="B7" t="s">
        <v>131</v>
      </c>
      <c r="C7" s="2">
        <f>A3/1*1000/1000</f>
        <v>1</v>
      </c>
      <c r="D7" t="s">
        <v>0</v>
      </c>
      <c r="E7" s="3">
        <f>2500/10000</f>
        <v>0.25</v>
      </c>
      <c r="F7" s="2">
        <f t="shared" si="0"/>
        <v>0.25</v>
      </c>
      <c r="G7" s="2">
        <v>52.2</v>
      </c>
      <c r="H7" s="2">
        <f t="shared" si="1"/>
        <v>13.05</v>
      </c>
    </row>
    <row r="8" spans="1:8">
      <c r="B8" t="s">
        <v>133</v>
      </c>
      <c r="C8" s="2">
        <f>A3/1*1000/1000</f>
        <v>1</v>
      </c>
      <c r="D8" t="s">
        <v>0</v>
      </c>
      <c r="E8" s="3">
        <f>2500/10000</f>
        <v>0.25</v>
      </c>
      <c r="F8" s="2">
        <f t="shared" si="0"/>
        <v>0.25</v>
      </c>
      <c r="G8" s="2">
        <v>52.2</v>
      </c>
      <c r="H8" s="2">
        <f t="shared" si="1"/>
        <v>13.05</v>
      </c>
    </row>
    <row r="9" spans="1:8">
      <c r="B9" t="s">
        <v>150</v>
      </c>
      <c r="C9" s="2">
        <f>A3/1*1000/1000</f>
        <v>1</v>
      </c>
      <c r="D9" t="s">
        <v>0</v>
      </c>
      <c r="E9" s="3">
        <f>7500/10000</f>
        <v>0.75</v>
      </c>
      <c r="F9" s="2">
        <f t="shared" si="0"/>
        <v>0.75</v>
      </c>
      <c r="G9" s="2">
        <v>52.2</v>
      </c>
      <c r="H9" s="2">
        <f t="shared" si="1"/>
        <v>39.150000000000006</v>
      </c>
    </row>
    <row r="10" spans="1:8">
      <c r="B10" t="s">
        <v>134</v>
      </c>
      <c r="C10" s="2">
        <f>A3/1*1000/1000</f>
        <v>1</v>
      </c>
      <c r="D10" t="s">
        <v>0</v>
      </c>
      <c r="E10" s="3">
        <f>2500/10000</f>
        <v>0.25</v>
      </c>
      <c r="F10" s="2">
        <f t="shared" si="0"/>
        <v>0.25</v>
      </c>
      <c r="G10" s="2">
        <v>52.2</v>
      </c>
      <c r="H10" s="2">
        <f t="shared" si="1"/>
        <v>13.05</v>
      </c>
    </row>
    <row r="11" spans="1:8">
      <c r="B11" t="s">
        <v>40</v>
      </c>
      <c r="C11" s="2">
        <f>A3/1*2000/1000</f>
        <v>2</v>
      </c>
      <c r="D11" t="s">
        <v>13</v>
      </c>
      <c r="E11" s="3">
        <f>4000/10000</f>
        <v>0.4</v>
      </c>
      <c r="F11" s="2">
        <f t="shared" si="0"/>
        <v>0.8</v>
      </c>
      <c r="G11" s="2">
        <v>52.2</v>
      </c>
      <c r="H11" s="2">
        <f t="shared" si="1"/>
        <v>41.760000000000005</v>
      </c>
    </row>
    <row r="12" spans="1:8">
      <c r="B12" t="s">
        <v>39</v>
      </c>
      <c r="C12" s="2">
        <f>A3/1*2000/1000</f>
        <v>2</v>
      </c>
      <c r="D12" t="s">
        <v>13</v>
      </c>
      <c r="E12" s="3">
        <f>3500/10000</f>
        <v>0.35</v>
      </c>
      <c r="F12" s="2">
        <f t="shared" si="0"/>
        <v>0.7</v>
      </c>
      <c r="G12" s="2">
        <v>52.2</v>
      </c>
      <c r="H12" s="2">
        <f t="shared" si="1"/>
        <v>36.54</v>
      </c>
    </row>
    <row r="13" spans="1:8">
      <c r="B13" t="s">
        <v>11</v>
      </c>
      <c r="C13" s="2">
        <f>A3/1*1000/1000</f>
        <v>1</v>
      </c>
      <c r="D13" t="s">
        <v>0</v>
      </c>
      <c r="E13" s="3">
        <f>1000/10000</f>
        <v>0.1</v>
      </c>
      <c r="F13" s="2">
        <f t="shared" si="0"/>
        <v>0.1</v>
      </c>
      <c r="G13" s="2">
        <v>52.2</v>
      </c>
      <c r="H13" s="2">
        <f t="shared" si="1"/>
        <v>5.2200000000000006</v>
      </c>
    </row>
    <row r="14" spans="1:8">
      <c r="B14" t="s">
        <v>12</v>
      </c>
      <c r="C14" s="2">
        <f>A3/1*1000/1000</f>
        <v>1</v>
      </c>
      <c r="D14" t="s">
        <v>0</v>
      </c>
      <c r="E14" s="3">
        <f>1000/10000</f>
        <v>0.1</v>
      </c>
      <c r="F14" s="2">
        <f t="shared" si="0"/>
        <v>0.1</v>
      </c>
      <c r="G14" s="2">
        <v>52.2</v>
      </c>
      <c r="H14" s="2">
        <f t="shared" si="1"/>
        <v>5.2200000000000006</v>
      </c>
    </row>
    <row r="15" spans="1:8">
      <c r="B15" t="s">
        <v>141</v>
      </c>
      <c r="C15" s="2">
        <f>A3/1*1000/1000</f>
        <v>1</v>
      </c>
      <c r="D15" t="s">
        <v>63</v>
      </c>
      <c r="E15" s="3">
        <f>900/10000</f>
        <v>0.09</v>
      </c>
      <c r="F15" s="2">
        <f t="shared" si="0"/>
        <v>0.09</v>
      </c>
      <c r="G15" s="2">
        <v>48.72</v>
      </c>
      <c r="H15" s="2">
        <f t="shared" si="1"/>
        <v>4.3847999999999994</v>
      </c>
    </row>
    <row r="16" spans="1:8">
      <c r="B16" t="s">
        <v>73</v>
      </c>
      <c r="C16" s="2">
        <f>A3/1*1200/1000</f>
        <v>1.2</v>
      </c>
      <c r="D16" t="s">
        <v>63</v>
      </c>
      <c r="E16" s="3">
        <f>11600/10000</f>
        <v>1.1599999999999999</v>
      </c>
      <c r="F16" s="2">
        <f t="shared" si="0"/>
        <v>1.3919999999999999</v>
      </c>
      <c r="G16" s="2">
        <v>48.72</v>
      </c>
      <c r="H16" s="2">
        <f t="shared" si="1"/>
        <v>67.818239999999989</v>
      </c>
    </row>
    <row r="17" spans="1:12">
      <c r="B17" t="s">
        <v>74</v>
      </c>
      <c r="C17" s="2">
        <f>A3/1*1200/1000</f>
        <v>1.2</v>
      </c>
      <c r="D17" t="s">
        <v>63</v>
      </c>
      <c r="E17" s="3">
        <f>1500/10000</f>
        <v>0.15</v>
      </c>
      <c r="F17" s="2">
        <f t="shared" si="0"/>
        <v>0.18</v>
      </c>
      <c r="G17" s="2">
        <v>48.72</v>
      </c>
      <c r="H17" s="2">
        <f t="shared" si="1"/>
        <v>8.7695999999999987</v>
      </c>
    </row>
    <row r="18" spans="1:12">
      <c r="B18" t="s">
        <v>14</v>
      </c>
      <c r="C18" s="2">
        <f>A3/1*1200/1000</f>
        <v>1.2</v>
      </c>
      <c r="D18" t="s">
        <v>15</v>
      </c>
      <c r="E18" s="3">
        <f>2500/10000</f>
        <v>0.25</v>
      </c>
      <c r="F18" s="2">
        <f t="shared" si="0"/>
        <v>0.3</v>
      </c>
      <c r="G18" s="2">
        <v>48.72</v>
      </c>
      <c r="H18" s="2">
        <f t="shared" si="1"/>
        <v>14.616</v>
      </c>
    </row>
    <row r="19" spans="1:12">
      <c r="B19" s="6" t="s">
        <v>16</v>
      </c>
      <c r="F19" s="5">
        <f>SUM(F6:F18)</f>
        <v>5.2619999999999996</v>
      </c>
      <c r="H19" s="5">
        <f>SUM(H6:H18)</f>
        <v>267.84864000000005</v>
      </c>
      <c r="J19" s="5">
        <f>H19*1.17</f>
        <v>313.38290880000005</v>
      </c>
      <c r="K19" s="5"/>
      <c r="L19" s="5"/>
    </row>
    <row r="20" spans="1:12">
      <c r="A20" s="6" t="s">
        <v>17</v>
      </c>
      <c r="B20" t="s">
        <v>156</v>
      </c>
      <c r="C20" s="2">
        <f>A3/1*1</f>
        <v>1</v>
      </c>
      <c r="D20" t="s">
        <v>0</v>
      </c>
      <c r="E20" s="3" t="s">
        <v>18</v>
      </c>
      <c r="F20" s="2" t="s">
        <v>18</v>
      </c>
      <c r="G20" s="2">
        <f>(28017/100)</f>
        <v>280.17</v>
      </c>
      <c r="H20" s="2">
        <f t="shared" ref="H20:H30" si="2">C20*G20</f>
        <v>280.17</v>
      </c>
      <c r="J20" s="5"/>
      <c r="K20" s="5"/>
      <c r="L20" s="5"/>
    </row>
    <row r="21" spans="1:12">
      <c r="B21" t="s">
        <v>157</v>
      </c>
      <c r="C21" s="2">
        <f>A3/1*1</f>
        <v>1</v>
      </c>
      <c r="D21" t="s">
        <v>0</v>
      </c>
      <c r="E21" s="3" t="s">
        <v>18</v>
      </c>
      <c r="F21" s="2" t="s">
        <v>18</v>
      </c>
      <c r="G21" s="2">
        <f>(1263/10)</f>
        <v>126.3</v>
      </c>
      <c r="H21" s="2">
        <f t="shared" si="2"/>
        <v>126.3</v>
      </c>
      <c r="J21" s="5"/>
      <c r="K21" s="5"/>
      <c r="L21" s="5"/>
    </row>
    <row r="22" spans="1:12">
      <c r="B22" t="s">
        <v>158</v>
      </c>
      <c r="C22" s="2">
        <f>A3/1*1</f>
        <v>1</v>
      </c>
      <c r="D22" t="s">
        <v>0</v>
      </c>
      <c r="E22" s="3" t="s">
        <v>18</v>
      </c>
      <c r="F22" s="2" t="s">
        <v>18</v>
      </c>
      <c r="G22" s="2">
        <f>(5037/100)</f>
        <v>50.37</v>
      </c>
      <c r="H22" s="2">
        <f t="shared" si="2"/>
        <v>50.37</v>
      </c>
      <c r="J22" s="5"/>
      <c r="K22" s="5"/>
      <c r="L22" s="5"/>
    </row>
    <row r="23" spans="1:12">
      <c r="B23" t="s">
        <v>138</v>
      </c>
      <c r="C23" s="2">
        <f>A3/1*1</f>
        <v>1</v>
      </c>
      <c r="D23" t="s">
        <v>34</v>
      </c>
      <c r="E23" s="3" t="s">
        <v>18</v>
      </c>
      <c r="F23" s="2" t="s">
        <v>18</v>
      </c>
      <c r="G23" s="2">
        <f>(315/100)</f>
        <v>3.15</v>
      </c>
      <c r="H23" s="2">
        <f t="shared" si="2"/>
        <v>3.15</v>
      </c>
      <c r="J23" s="5"/>
      <c r="K23" s="5"/>
      <c r="L23" s="5"/>
    </row>
    <row r="24" spans="1:12">
      <c r="B24" t="s">
        <v>135</v>
      </c>
      <c r="C24" s="2">
        <f>A3/1*2</f>
        <v>2</v>
      </c>
      <c r="D24" t="s">
        <v>13</v>
      </c>
      <c r="E24" s="3" t="s">
        <v>18</v>
      </c>
      <c r="F24" s="2" t="s">
        <v>18</v>
      </c>
      <c r="G24" s="2">
        <f>(396/100)</f>
        <v>3.96</v>
      </c>
      <c r="H24" s="2">
        <f t="shared" si="2"/>
        <v>7.92</v>
      </c>
      <c r="J24" s="5"/>
      <c r="K24" s="5"/>
      <c r="L24" s="5"/>
    </row>
    <row r="25" spans="1:12">
      <c r="B25" t="s">
        <v>136</v>
      </c>
      <c r="C25" s="2">
        <f>A3/1*2</f>
        <v>2</v>
      </c>
      <c r="D25" t="s">
        <v>13</v>
      </c>
      <c r="E25" s="3" t="s">
        <v>18</v>
      </c>
      <c r="F25" s="2" t="s">
        <v>18</v>
      </c>
      <c r="G25" s="2">
        <f>(316/100)</f>
        <v>3.16</v>
      </c>
      <c r="H25" s="2">
        <f t="shared" si="2"/>
        <v>6.32</v>
      </c>
      <c r="J25" s="5"/>
      <c r="K25" s="5"/>
      <c r="L25" s="5"/>
    </row>
    <row r="26" spans="1:12">
      <c r="B26" t="s">
        <v>20</v>
      </c>
      <c r="C26" s="2">
        <f>A3/1*2</f>
        <v>2</v>
      </c>
      <c r="D26" t="s">
        <v>13</v>
      </c>
      <c r="E26" s="3" t="s">
        <v>18</v>
      </c>
      <c r="F26" s="2" t="s">
        <v>18</v>
      </c>
      <c r="G26" s="2">
        <f>(1306/100)</f>
        <v>13.06</v>
      </c>
      <c r="H26" s="2">
        <f t="shared" si="2"/>
        <v>26.12</v>
      </c>
      <c r="J26" s="5"/>
      <c r="K26" s="5"/>
      <c r="L26" s="5"/>
    </row>
    <row r="27" spans="1:12">
      <c r="B27" t="s">
        <v>19</v>
      </c>
      <c r="C27" s="2">
        <f>A3/1*2</f>
        <v>2</v>
      </c>
      <c r="D27" t="s">
        <v>13</v>
      </c>
      <c r="E27" s="3" t="s">
        <v>18</v>
      </c>
      <c r="F27" s="2" t="s">
        <v>18</v>
      </c>
      <c r="G27" s="2">
        <f>(1045/100)</f>
        <v>10.45</v>
      </c>
      <c r="H27" s="2">
        <f t="shared" si="2"/>
        <v>20.9</v>
      </c>
      <c r="J27" s="5"/>
      <c r="K27" s="5"/>
      <c r="L27" s="5"/>
    </row>
    <row r="28" spans="1:12">
      <c r="B28" t="s">
        <v>142</v>
      </c>
      <c r="C28" s="2">
        <f>A3/1*(13/10)</f>
        <v>1.3</v>
      </c>
      <c r="D28" t="s">
        <v>63</v>
      </c>
      <c r="E28" s="3" t="s">
        <v>18</v>
      </c>
      <c r="F28" s="2" t="s">
        <v>18</v>
      </c>
      <c r="G28" s="2">
        <f>(235/10)</f>
        <v>23.5</v>
      </c>
      <c r="H28" s="2">
        <f t="shared" si="2"/>
        <v>30.55</v>
      </c>
      <c r="J28" s="5"/>
      <c r="K28" s="5"/>
      <c r="L28" s="5"/>
    </row>
    <row r="29" spans="1:12">
      <c r="B29" t="s">
        <v>143</v>
      </c>
      <c r="C29" s="2">
        <f>A3/1*1</f>
        <v>1</v>
      </c>
      <c r="D29" t="s">
        <v>15</v>
      </c>
      <c r="E29" s="3" t="s">
        <v>18</v>
      </c>
      <c r="F29" s="2" t="s">
        <v>18</v>
      </c>
      <c r="G29" s="2">
        <f>10</f>
        <v>10</v>
      </c>
      <c r="H29" s="2">
        <f t="shared" si="2"/>
        <v>10</v>
      </c>
      <c r="J29" s="5"/>
      <c r="K29" s="5"/>
      <c r="L29" s="5"/>
    </row>
    <row r="30" spans="1:12">
      <c r="B30" t="s">
        <v>30</v>
      </c>
      <c r="C30" s="2">
        <f>A3/1*1</f>
        <v>1</v>
      </c>
      <c r="D30" t="s">
        <v>15</v>
      </c>
      <c r="E30" s="3" t="s">
        <v>18</v>
      </c>
      <c r="F30" s="2" t="s">
        <v>18</v>
      </c>
      <c r="G30" s="2">
        <f>15</f>
        <v>15</v>
      </c>
      <c r="H30" s="2">
        <f t="shared" si="2"/>
        <v>15</v>
      </c>
      <c r="J30" s="5"/>
      <c r="K30" s="5"/>
      <c r="L30" s="5"/>
    </row>
    <row r="31" spans="1:12">
      <c r="B31" s="6" t="s">
        <v>22</v>
      </c>
      <c r="H31" s="5">
        <f>SUM(H20:H30)</f>
        <v>576.79999999999995</v>
      </c>
      <c r="J31" s="5">
        <f t="shared" ref="J31:J32" si="3">H31*1.17</f>
        <v>674.85599999999988</v>
      </c>
      <c r="K31" s="5"/>
      <c r="L31" s="5"/>
    </row>
    <row r="32" spans="1:12">
      <c r="A32" s="6" t="s">
        <v>23</v>
      </c>
      <c r="B32" s="6" t="s">
        <v>24</v>
      </c>
      <c r="H32" s="5">
        <f>H19+H31</f>
        <v>844.64864</v>
      </c>
      <c r="J32" s="5">
        <f t="shared" si="3"/>
        <v>988.23890879999999</v>
      </c>
      <c r="K32" s="5"/>
      <c r="L32" s="5">
        <f>J32*1.21</f>
        <v>1195.7690796479999</v>
      </c>
    </row>
  </sheetData>
  <pageMargins left="0.7" right="0.7" top="0.75" bottom="0.75" header="0.3" footer="0.3"/>
  <ignoredErrors>
    <ignoredError sqref="E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B78D-FE14-4D33-BE18-43344DC40EFA}">
  <dimension ref="A1:L13"/>
  <sheetViews>
    <sheetView topLeftCell="G1" workbookViewId="0">
      <selection activeCell="K8" sqref="K8"/>
    </sheetView>
  </sheetViews>
  <sheetFormatPr defaultRowHeight="15"/>
  <cols>
    <col min="1" max="1" width="17.85546875" customWidth="1"/>
    <col min="2" max="2" width="97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45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42</v>
      </c>
      <c r="C6" s="2">
        <f>A3/1*1000/1000</f>
        <v>1</v>
      </c>
      <c r="D6" t="s">
        <v>0</v>
      </c>
      <c r="E6" s="3">
        <f>7500/10000</f>
        <v>0.75</v>
      </c>
      <c r="F6" s="2">
        <f>C6*E6</f>
        <v>0.75</v>
      </c>
      <c r="G6" s="2">
        <v>52.2</v>
      </c>
      <c r="H6" s="2">
        <f>F6*G6</f>
        <v>39.150000000000006</v>
      </c>
    </row>
    <row r="7" spans="1:12">
      <c r="B7" t="s">
        <v>14</v>
      </c>
      <c r="C7" s="2">
        <f>A3/1*1000/1000</f>
        <v>1</v>
      </c>
      <c r="D7" t="s">
        <v>15</v>
      </c>
      <c r="E7" s="3">
        <f>1000/10000</f>
        <v>0.1</v>
      </c>
      <c r="F7" s="2">
        <f>C7*E7</f>
        <v>0.1</v>
      </c>
      <c r="G7" s="2">
        <v>48.72</v>
      </c>
      <c r="H7" s="2">
        <f>F7*G7</f>
        <v>4.8719999999999999</v>
      </c>
    </row>
    <row r="8" spans="1:12">
      <c r="B8" s="1" t="s">
        <v>16</v>
      </c>
      <c r="F8" s="4">
        <f>SUM(F6:F7)</f>
        <v>0.85</v>
      </c>
      <c r="H8" s="4">
        <f>SUM(H6:H7)</f>
        <v>44.022000000000006</v>
      </c>
      <c r="J8" s="5">
        <f>H8*1.17</f>
        <v>51.505740000000003</v>
      </c>
      <c r="L8" s="2"/>
    </row>
    <row r="9" spans="1:12">
      <c r="A9" s="1" t="s">
        <v>17</v>
      </c>
      <c r="B9" t="s">
        <v>46</v>
      </c>
      <c r="C9" s="2">
        <f>A3/1*1</f>
        <v>1</v>
      </c>
      <c r="D9" t="s">
        <v>0</v>
      </c>
      <c r="E9" s="3" t="s">
        <v>18</v>
      </c>
      <c r="F9" s="2" t="s">
        <v>18</v>
      </c>
      <c r="G9" s="2">
        <f>(2104/10)</f>
        <v>210.4</v>
      </c>
      <c r="H9" s="2">
        <f>C9*G9</f>
        <v>210.4</v>
      </c>
      <c r="L9" s="2"/>
    </row>
    <row r="10" spans="1:12">
      <c r="B10" t="s">
        <v>44</v>
      </c>
      <c r="C10" s="2">
        <f>A3/1*1</f>
        <v>1</v>
      </c>
      <c r="D10" t="s">
        <v>34</v>
      </c>
      <c r="E10" s="3" t="s">
        <v>18</v>
      </c>
      <c r="F10" s="2" t="s">
        <v>18</v>
      </c>
      <c r="G10" s="2">
        <f>(1248/100)</f>
        <v>12.48</v>
      </c>
      <c r="H10" s="2">
        <f>C10*G10</f>
        <v>12.48</v>
      </c>
      <c r="J10" s="5"/>
      <c r="L10" s="2"/>
    </row>
    <row r="11" spans="1:12">
      <c r="B11" t="s">
        <v>36</v>
      </c>
      <c r="C11" s="2">
        <f>A3/1*1</f>
        <v>1</v>
      </c>
      <c r="D11" t="s">
        <v>15</v>
      </c>
      <c r="E11" s="3" t="s">
        <v>18</v>
      </c>
      <c r="F11" s="2" t="s">
        <v>18</v>
      </c>
      <c r="G11" s="2">
        <f>2</f>
        <v>2</v>
      </c>
      <c r="H11" s="2">
        <f>C11*G11</f>
        <v>2</v>
      </c>
      <c r="J11" s="5"/>
      <c r="L11" s="5"/>
    </row>
    <row r="12" spans="1:12">
      <c r="B12" s="1" t="s">
        <v>22</v>
      </c>
      <c r="H12" s="4">
        <f>SUM(H9:H11)</f>
        <v>224.88</v>
      </c>
      <c r="J12" s="5">
        <f>H12*1.17</f>
        <v>263.1096</v>
      </c>
      <c r="L12" s="2"/>
    </row>
    <row r="13" spans="1:12">
      <c r="A13" s="1" t="s">
        <v>23</v>
      </c>
      <c r="B13" s="1" t="s">
        <v>24</v>
      </c>
      <c r="H13" s="4">
        <f>H8+H12</f>
        <v>268.90199999999999</v>
      </c>
      <c r="J13" s="5">
        <f>H13*1.17</f>
        <v>314.61533999999995</v>
      </c>
      <c r="L13" s="5">
        <f>J13*1.21</f>
        <v>380.68456139999995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9517-70D1-4418-9644-9C4E5E127F2D}">
  <dimension ref="A1:L29"/>
  <sheetViews>
    <sheetView topLeftCell="C1" workbookViewId="0">
      <selection activeCell="J16" sqref="J16:L26"/>
    </sheetView>
  </sheetViews>
  <sheetFormatPr defaultRowHeight="15"/>
  <cols>
    <col min="1" max="1" width="17.85546875" customWidth="1"/>
    <col min="2" max="2" width="61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160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15" si="0">C6*E6</f>
        <v>0.1</v>
      </c>
      <c r="G6" s="2">
        <v>52.2</v>
      </c>
      <c r="H6" s="2">
        <f t="shared" ref="H6:H15" si="1">F6*G6</f>
        <v>5.2200000000000006</v>
      </c>
    </row>
    <row r="7" spans="1:12">
      <c r="B7" t="s">
        <v>155</v>
      </c>
      <c r="C7" s="2">
        <f>A3/1*1000/1000</f>
        <v>1</v>
      </c>
      <c r="D7" t="s">
        <v>0</v>
      </c>
      <c r="E7" s="3">
        <f>2000/10000</f>
        <v>0.2</v>
      </c>
      <c r="F7" s="2">
        <f t="shared" si="0"/>
        <v>0.2</v>
      </c>
      <c r="G7" s="2">
        <v>52.2</v>
      </c>
      <c r="H7" s="2">
        <f t="shared" si="1"/>
        <v>10.440000000000001</v>
      </c>
    </row>
    <row r="8" spans="1:12">
      <c r="B8" t="s">
        <v>26</v>
      </c>
      <c r="C8" s="2">
        <f>A3/1*1000/1000</f>
        <v>1</v>
      </c>
      <c r="D8" t="s">
        <v>0</v>
      </c>
      <c r="E8" s="3">
        <f>7500/10000</f>
        <v>0.75</v>
      </c>
      <c r="F8" s="2">
        <f t="shared" si="0"/>
        <v>0.75</v>
      </c>
      <c r="G8" s="2">
        <v>52.2</v>
      </c>
      <c r="H8" s="2">
        <f t="shared" si="1"/>
        <v>39.150000000000006</v>
      </c>
    </row>
    <row r="9" spans="1:12">
      <c r="B9" t="s">
        <v>161</v>
      </c>
      <c r="C9" s="2">
        <f>A3/1*1000/1000</f>
        <v>1</v>
      </c>
      <c r="D9" t="s">
        <v>0</v>
      </c>
      <c r="E9" s="3">
        <f>12500/10000</f>
        <v>1.25</v>
      </c>
      <c r="F9" s="2">
        <f t="shared" si="0"/>
        <v>1.25</v>
      </c>
      <c r="G9" s="2">
        <v>52.2</v>
      </c>
      <c r="H9" s="2">
        <f t="shared" si="1"/>
        <v>65.25</v>
      </c>
    </row>
    <row r="10" spans="1:12">
      <c r="B10" t="s">
        <v>150</v>
      </c>
      <c r="C10" s="2">
        <f>A3/1*1000/1000</f>
        <v>1</v>
      </c>
      <c r="D10" t="s">
        <v>0</v>
      </c>
      <c r="E10" s="3">
        <f>7500/10000</f>
        <v>0.75</v>
      </c>
      <c r="F10" s="2">
        <f t="shared" si="0"/>
        <v>0.75</v>
      </c>
      <c r="G10" s="2">
        <v>52.2</v>
      </c>
      <c r="H10" s="2">
        <f t="shared" si="1"/>
        <v>39.150000000000006</v>
      </c>
    </row>
    <row r="11" spans="1:12">
      <c r="B11" t="s">
        <v>151</v>
      </c>
      <c r="C11" s="2">
        <f>A3/1*1000/1000</f>
        <v>1</v>
      </c>
      <c r="D11" t="s">
        <v>0</v>
      </c>
      <c r="E11" s="3">
        <f>3500/10000</f>
        <v>0.35</v>
      </c>
      <c r="F11" s="2">
        <f t="shared" si="0"/>
        <v>0.35</v>
      </c>
      <c r="G11" s="2">
        <v>52.2</v>
      </c>
      <c r="H11" s="2">
        <f t="shared" si="1"/>
        <v>18.27</v>
      </c>
    </row>
    <row r="12" spans="1:12">
      <c r="B12" t="s">
        <v>162</v>
      </c>
      <c r="C12" s="2">
        <f>A3/1*1000/1000</f>
        <v>1</v>
      </c>
      <c r="D12" t="s">
        <v>15</v>
      </c>
      <c r="E12" s="3">
        <f>10000/10000</f>
        <v>1</v>
      </c>
      <c r="F12" s="2">
        <f t="shared" si="0"/>
        <v>1</v>
      </c>
      <c r="G12" s="2">
        <v>52.2</v>
      </c>
      <c r="H12" s="2">
        <f t="shared" si="1"/>
        <v>52.2</v>
      </c>
    </row>
    <row r="13" spans="1:12">
      <c r="B13" t="s">
        <v>11</v>
      </c>
      <c r="C13" s="2">
        <f>A3/1*1000/1000</f>
        <v>1</v>
      </c>
      <c r="D13" t="s">
        <v>0</v>
      </c>
      <c r="E13" s="3">
        <f>1000/10000</f>
        <v>0.1</v>
      </c>
      <c r="F13" s="2">
        <f t="shared" si="0"/>
        <v>0.1</v>
      </c>
      <c r="G13" s="2">
        <v>52.2</v>
      </c>
      <c r="H13" s="2">
        <f t="shared" si="1"/>
        <v>5.2200000000000006</v>
      </c>
    </row>
    <row r="14" spans="1:12">
      <c r="B14" t="s">
        <v>12</v>
      </c>
      <c r="C14" s="2">
        <f>A3/1*1000/1000</f>
        <v>1</v>
      </c>
      <c r="D14" t="s">
        <v>0</v>
      </c>
      <c r="E14" s="3">
        <f>1000/10000</f>
        <v>0.1</v>
      </c>
      <c r="F14" s="2">
        <f t="shared" si="0"/>
        <v>0.1</v>
      </c>
      <c r="G14" s="2">
        <v>52.2</v>
      </c>
      <c r="H14" s="2">
        <f t="shared" si="1"/>
        <v>5.2200000000000006</v>
      </c>
    </row>
    <row r="15" spans="1:12">
      <c r="B15" t="s">
        <v>14</v>
      </c>
      <c r="C15" s="2">
        <f>A3/1*1000/1000</f>
        <v>1</v>
      </c>
      <c r="D15" t="s">
        <v>15</v>
      </c>
      <c r="E15" s="3">
        <f>2000/10000</f>
        <v>0.2</v>
      </c>
      <c r="F15" s="2">
        <f t="shared" si="0"/>
        <v>0.2</v>
      </c>
      <c r="G15" s="2">
        <v>48.72</v>
      </c>
      <c r="H15" s="2">
        <f t="shared" si="1"/>
        <v>9.7439999999999998</v>
      </c>
    </row>
    <row r="16" spans="1:12">
      <c r="B16" s="6" t="s">
        <v>16</v>
      </c>
      <c r="F16" s="5">
        <f>SUM(F6:F15)</f>
        <v>4.8</v>
      </c>
      <c r="H16" s="5">
        <f>SUM(H6:H15)</f>
        <v>249.864</v>
      </c>
      <c r="J16" s="5">
        <f>H16*1.17</f>
        <v>292.34087999999997</v>
      </c>
      <c r="K16" s="5"/>
      <c r="L16" s="5"/>
    </row>
    <row r="17" spans="1:12">
      <c r="A17" s="6" t="s">
        <v>17</v>
      </c>
      <c r="B17" t="s">
        <v>163</v>
      </c>
      <c r="C17" s="2">
        <f>A3/1*1</f>
        <v>1</v>
      </c>
      <c r="D17" t="s">
        <v>0</v>
      </c>
      <c r="E17" s="3" t="s">
        <v>18</v>
      </c>
      <c r="F17" s="2" t="s">
        <v>18</v>
      </c>
      <c r="G17" s="2">
        <f>(40909/100)</f>
        <v>409.09</v>
      </c>
      <c r="H17" s="2">
        <f t="shared" ref="H17:H24" si="2">C17*G17</f>
        <v>409.09</v>
      </c>
      <c r="J17" s="5"/>
      <c r="K17" s="5"/>
      <c r="L17" s="5"/>
    </row>
    <row r="18" spans="1:12">
      <c r="B18" t="s">
        <v>164</v>
      </c>
      <c r="C18" s="2">
        <f>A3/1*1</f>
        <v>1</v>
      </c>
      <c r="D18" t="s">
        <v>0</v>
      </c>
      <c r="E18" s="3" t="s">
        <v>18</v>
      </c>
      <c r="F18" s="2" t="s">
        <v>18</v>
      </c>
      <c r="G18" s="2">
        <f>(12806/100)</f>
        <v>128.06</v>
      </c>
      <c r="H18" s="2">
        <f t="shared" si="2"/>
        <v>128.06</v>
      </c>
      <c r="J18" s="5"/>
      <c r="K18" s="5"/>
      <c r="L18" s="5"/>
    </row>
    <row r="19" spans="1:12">
      <c r="B19" t="s">
        <v>152</v>
      </c>
      <c r="C19" s="2">
        <f>A3/1*1</f>
        <v>1</v>
      </c>
      <c r="D19" t="s">
        <v>0</v>
      </c>
      <c r="E19" s="3" t="s">
        <v>18</v>
      </c>
      <c r="F19" s="2" t="s">
        <v>18</v>
      </c>
      <c r="G19" s="2">
        <f>(14543/100)</f>
        <v>145.43</v>
      </c>
      <c r="H19" s="2">
        <f t="shared" si="2"/>
        <v>145.43</v>
      </c>
      <c r="J19" s="5"/>
      <c r="K19" s="5"/>
      <c r="L19" s="5"/>
    </row>
    <row r="20" spans="1:12">
      <c r="B20" t="s">
        <v>20</v>
      </c>
      <c r="C20" s="2">
        <f>A3/1*1</f>
        <v>1</v>
      </c>
      <c r="D20" t="s">
        <v>13</v>
      </c>
      <c r="E20" s="3" t="s">
        <v>18</v>
      </c>
      <c r="F20" s="2" t="s">
        <v>18</v>
      </c>
      <c r="G20" s="2">
        <f>(1306/100)</f>
        <v>13.06</v>
      </c>
      <c r="H20" s="2">
        <f t="shared" si="2"/>
        <v>13.06</v>
      </c>
      <c r="J20" s="5"/>
      <c r="K20" s="5"/>
      <c r="L20" s="5"/>
    </row>
    <row r="21" spans="1:12">
      <c r="B21" t="s">
        <v>19</v>
      </c>
      <c r="C21" s="2">
        <f>A3/1*1</f>
        <v>1</v>
      </c>
      <c r="D21" t="s">
        <v>13</v>
      </c>
      <c r="E21" s="3" t="s">
        <v>18</v>
      </c>
      <c r="F21" s="2" t="s">
        <v>18</v>
      </c>
      <c r="G21" s="2">
        <f>(1045/100)</f>
        <v>10.45</v>
      </c>
      <c r="H21" s="2">
        <f t="shared" si="2"/>
        <v>10.45</v>
      </c>
      <c r="J21" s="5"/>
      <c r="K21" s="5"/>
      <c r="L21" s="5"/>
    </row>
    <row r="22" spans="1:12">
      <c r="B22" t="s">
        <v>136</v>
      </c>
      <c r="C22" s="2">
        <f>A3/1*1</f>
        <v>1</v>
      </c>
      <c r="D22" t="s">
        <v>13</v>
      </c>
      <c r="E22" s="3" t="s">
        <v>18</v>
      </c>
      <c r="F22" s="2" t="s">
        <v>18</v>
      </c>
      <c r="G22" s="2">
        <f>(316/100)</f>
        <v>3.16</v>
      </c>
      <c r="H22" s="2">
        <f t="shared" si="2"/>
        <v>3.16</v>
      </c>
      <c r="J22" s="5"/>
      <c r="K22" s="5"/>
      <c r="L22" s="5"/>
    </row>
    <row r="23" spans="1:12">
      <c r="B23" t="s">
        <v>135</v>
      </c>
      <c r="C23" s="2">
        <f>A3/1*1</f>
        <v>1</v>
      </c>
      <c r="D23" t="s">
        <v>13</v>
      </c>
      <c r="E23" s="3" t="s">
        <v>18</v>
      </c>
      <c r="F23" s="2" t="s">
        <v>18</v>
      </c>
      <c r="G23" s="2">
        <f>(396/100)</f>
        <v>3.96</v>
      </c>
      <c r="H23" s="2">
        <f t="shared" si="2"/>
        <v>3.96</v>
      </c>
      <c r="J23" s="5"/>
      <c r="K23" s="5"/>
      <c r="L23" s="5"/>
    </row>
    <row r="24" spans="1:12">
      <c r="B24" t="s">
        <v>21</v>
      </c>
      <c r="C24" s="2">
        <f>A3/1*1</f>
        <v>1</v>
      </c>
      <c r="D24" t="s">
        <v>15</v>
      </c>
      <c r="E24" s="3" t="s">
        <v>18</v>
      </c>
      <c r="F24" s="2" t="s">
        <v>18</v>
      </c>
      <c r="G24" s="2">
        <f>30</f>
        <v>30</v>
      </c>
      <c r="H24" s="2">
        <f t="shared" si="2"/>
        <v>30</v>
      </c>
      <c r="J24" s="5"/>
      <c r="K24" s="5"/>
      <c r="L24" s="5"/>
    </row>
    <row r="25" spans="1:12">
      <c r="B25" s="6" t="s">
        <v>22</v>
      </c>
      <c r="H25" s="5">
        <f>SUM(H17:H24)</f>
        <v>743.20999999999992</v>
      </c>
      <c r="J25" s="5">
        <f t="shared" ref="J25:J26" si="3">H25*1.17</f>
        <v>869.55569999999989</v>
      </c>
      <c r="K25" s="5"/>
      <c r="L25" s="5"/>
    </row>
    <row r="26" spans="1:12">
      <c r="A26" s="6" t="s">
        <v>23</v>
      </c>
      <c r="B26" s="6" t="s">
        <v>24</v>
      </c>
      <c r="H26" s="5">
        <f>H16+H25</f>
        <v>993.07399999999996</v>
      </c>
      <c r="J26" s="5">
        <f t="shared" si="3"/>
        <v>1161.8965799999999</v>
      </c>
      <c r="K26" s="5"/>
      <c r="L26" s="5">
        <f>J26*1.21</f>
        <v>1405.8948617999997</v>
      </c>
    </row>
    <row r="27" spans="1:12">
      <c r="J27" s="5"/>
      <c r="K27" s="5"/>
      <c r="L27" s="5"/>
    </row>
    <row r="28" spans="1:12">
      <c r="J28" s="5"/>
      <c r="K28" s="5"/>
      <c r="L28" s="5"/>
    </row>
    <row r="29" spans="1:12">
      <c r="J29" s="5"/>
      <c r="K29" s="5"/>
      <c r="L29" s="5"/>
    </row>
  </sheetData>
  <pageMargins left="0.7" right="0.7" top="0.75" bottom="0.75" header="0.3" footer="0.3"/>
  <ignoredErrors>
    <ignoredError sqref="E9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712B-40AF-43A4-8962-F6723D1B79FF}">
  <dimension ref="A1:L26"/>
  <sheetViews>
    <sheetView topLeftCell="C1" workbookViewId="0">
      <selection activeCell="J16" sqref="J16:M21"/>
    </sheetView>
  </sheetViews>
  <sheetFormatPr defaultRowHeight="15"/>
  <cols>
    <col min="1" max="1" width="17.85546875" customWidth="1"/>
    <col min="2" max="2" width="59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165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15" si="0">C6*E6</f>
        <v>0.1</v>
      </c>
      <c r="G6" s="2">
        <v>52.2</v>
      </c>
      <c r="H6" s="2">
        <f t="shared" ref="H6:H15" si="1">F6*G6</f>
        <v>5.2200000000000006</v>
      </c>
    </row>
    <row r="7" spans="1:12">
      <c r="B7" t="s">
        <v>166</v>
      </c>
      <c r="C7" s="2">
        <f>A3/1*1000/1000</f>
        <v>1</v>
      </c>
      <c r="D7" t="s">
        <v>0</v>
      </c>
      <c r="E7" s="3">
        <f>2000/10000</f>
        <v>0.2</v>
      </c>
      <c r="F7" s="2">
        <f t="shared" si="0"/>
        <v>0.2</v>
      </c>
      <c r="G7" s="2">
        <v>52.2</v>
      </c>
      <c r="H7" s="2">
        <f t="shared" si="1"/>
        <v>10.440000000000001</v>
      </c>
    </row>
    <row r="8" spans="1:12">
      <c r="B8" t="s">
        <v>10</v>
      </c>
      <c r="C8" s="2">
        <f>A3/1*1000/1000</f>
        <v>1</v>
      </c>
      <c r="D8" t="s">
        <v>0</v>
      </c>
      <c r="E8" s="3">
        <f>5000/10000</f>
        <v>0.5</v>
      </c>
      <c r="F8" s="2">
        <f t="shared" si="0"/>
        <v>0.5</v>
      </c>
      <c r="G8" s="2">
        <v>52.2</v>
      </c>
      <c r="H8" s="2">
        <f t="shared" si="1"/>
        <v>26.1</v>
      </c>
    </row>
    <row r="9" spans="1:12">
      <c r="B9" t="s">
        <v>167</v>
      </c>
      <c r="C9" s="2">
        <f>A3/1*1000/1000</f>
        <v>1</v>
      </c>
      <c r="D9" t="s">
        <v>34</v>
      </c>
      <c r="E9" s="3">
        <f>2200/10000</f>
        <v>0.22</v>
      </c>
      <c r="F9" s="2">
        <f t="shared" si="0"/>
        <v>0.22</v>
      </c>
      <c r="G9" s="2">
        <v>52.2</v>
      </c>
      <c r="H9" s="2">
        <f t="shared" si="1"/>
        <v>11.484</v>
      </c>
    </row>
    <row r="10" spans="1:12">
      <c r="B10" t="s">
        <v>168</v>
      </c>
      <c r="C10" s="2">
        <f>A3/1*1000/1000</f>
        <v>1</v>
      </c>
      <c r="D10" t="s">
        <v>0</v>
      </c>
      <c r="E10" s="3">
        <f>1100/10000</f>
        <v>0.11</v>
      </c>
      <c r="F10" s="2">
        <f t="shared" si="0"/>
        <v>0.11</v>
      </c>
      <c r="G10" s="2">
        <v>52.2</v>
      </c>
      <c r="H10" s="2">
        <f t="shared" si="1"/>
        <v>5.742</v>
      </c>
    </row>
    <row r="11" spans="1:12">
      <c r="B11" t="s">
        <v>169</v>
      </c>
      <c r="C11" s="2">
        <f>A3/1*1000/1000</f>
        <v>1</v>
      </c>
      <c r="D11" t="s">
        <v>0</v>
      </c>
      <c r="E11" s="3">
        <f>2800/10000</f>
        <v>0.28000000000000003</v>
      </c>
      <c r="F11" s="2">
        <f t="shared" si="0"/>
        <v>0.28000000000000003</v>
      </c>
      <c r="G11" s="2">
        <v>52.2</v>
      </c>
      <c r="H11" s="2">
        <f t="shared" si="1"/>
        <v>14.616000000000001</v>
      </c>
    </row>
    <row r="12" spans="1:12">
      <c r="B12" t="s">
        <v>11</v>
      </c>
      <c r="C12" s="2">
        <f>A3/1*1000/1000</f>
        <v>1</v>
      </c>
      <c r="D12" t="s">
        <v>0</v>
      </c>
      <c r="E12" s="3">
        <f>1000/10000</f>
        <v>0.1</v>
      </c>
      <c r="F12" s="2">
        <f t="shared" si="0"/>
        <v>0.1</v>
      </c>
      <c r="G12" s="2">
        <v>52.2</v>
      </c>
      <c r="H12" s="2">
        <f t="shared" si="1"/>
        <v>5.2200000000000006</v>
      </c>
    </row>
    <row r="13" spans="1:12">
      <c r="B13" t="s">
        <v>170</v>
      </c>
      <c r="C13" s="2">
        <f>A3/1*1000/1000</f>
        <v>1</v>
      </c>
      <c r="D13" t="s">
        <v>0</v>
      </c>
      <c r="E13" s="3">
        <f>500/10000</f>
        <v>0.05</v>
      </c>
      <c r="F13" s="2">
        <f t="shared" si="0"/>
        <v>0.05</v>
      </c>
      <c r="G13" s="2">
        <v>52.2</v>
      </c>
      <c r="H13" s="2">
        <f t="shared" si="1"/>
        <v>2.6100000000000003</v>
      </c>
    </row>
    <row r="14" spans="1:12">
      <c r="B14" t="s">
        <v>29</v>
      </c>
      <c r="C14" s="2">
        <f>A3/1*1000/1000</f>
        <v>1</v>
      </c>
      <c r="D14" t="s">
        <v>15</v>
      </c>
      <c r="E14" s="3">
        <f>3500/10000</f>
        <v>0.35</v>
      </c>
      <c r="F14" s="2">
        <f t="shared" si="0"/>
        <v>0.35</v>
      </c>
      <c r="G14" s="2">
        <v>48.72</v>
      </c>
      <c r="H14" s="2">
        <f t="shared" si="1"/>
        <v>17.052</v>
      </c>
    </row>
    <row r="15" spans="1:12">
      <c r="B15" t="s">
        <v>14</v>
      </c>
      <c r="C15" s="2">
        <f>A3/1*1000/1000</f>
        <v>1</v>
      </c>
      <c r="D15" t="s">
        <v>15</v>
      </c>
      <c r="E15" s="3">
        <f>1500/10000</f>
        <v>0.15</v>
      </c>
      <c r="F15" s="2">
        <f t="shared" si="0"/>
        <v>0.15</v>
      </c>
      <c r="G15" s="2">
        <v>48.72</v>
      </c>
      <c r="H15" s="2">
        <f t="shared" si="1"/>
        <v>7.3079999999999998</v>
      </c>
    </row>
    <row r="16" spans="1:12">
      <c r="B16" s="6" t="s">
        <v>16</v>
      </c>
      <c r="F16" s="5">
        <f>SUM(F6:F15)</f>
        <v>2.06</v>
      </c>
      <c r="H16" s="5">
        <f>SUM(H6:H15)</f>
        <v>105.792</v>
      </c>
      <c r="J16" s="5">
        <f>H16*1.17</f>
        <v>123.77664</v>
      </c>
      <c r="K16" s="5"/>
      <c r="L16" s="5"/>
    </row>
    <row r="17" spans="1:12">
      <c r="A17" s="6" t="s">
        <v>17</v>
      </c>
      <c r="B17" t="s">
        <v>171</v>
      </c>
      <c r="C17" s="2">
        <f>A3/1*1</f>
        <v>1</v>
      </c>
      <c r="D17" t="s">
        <v>34</v>
      </c>
      <c r="E17" s="3" t="s">
        <v>18</v>
      </c>
      <c r="F17" s="2" t="s">
        <v>18</v>
      </c>
      <c r="G17" s="2">
        <f>(851/100)</f>
        <v>8.51</v>
      </c>
      <c r="H17" s="2">
        <f>C17*G17</f>
        <v>8.51</v>
      </c>
      <c r="J17" s="5"/>
      <c r="K17" s="5"/>
      <c r="L17" s="5"/>
    </row>
    <row r="18" spans="1:12">
      <c r="B18" t="s">
        <v>172</v>
      </c>
      <c r="C18" s="2">
        <f>A3/1*1</f>
        <v>1</v>
      </c>
      <c r="D18" t="s">
        <v>0</v>
      </c>
      <c r="E18" s="3" t="s">
        <v>18</v>
      </c>
      <c r="F18" s="2" t="s">
        <v>18</v>
      </c>
      <c r="G18" s="2">
        <f>(1703/100)</f>
        <v>17.03</v>
      </c>
      <c r="H18" s="2">
        <f>C18*G18</f>
        <v>17.03</v>
      </c>
      <c r="J18" s="5"/>
      <c r="K18" s="5"/>
      <c r="L18" s="5"/>
    </row>
    <row r="19" spans="1:12">
      <c r="B19" t="s">
        <v>30</v>
      </c>
      <c r="C19" s="2">
        <f>A3/1*1</f>
        <v>1</v>
      </c>
      <c r="D19" t="s">
        <v>15</v>
      </c>
      <c r="E19" s="3" t="s">
        <v>18</v>
      </c>
      <c r="F19" s="2" t="s">
        <v>18</v>
      </c>
      <c r="G19" s="2">
        <f>10</f>
        <v>10</v>
      </c>
      <c r="H19" s="2">
        <f>C19*G19</f>
        <v>10</v>
      </c>
      <c r="J19" s="5"/>
      <c r="K19" s="5"/>
      <c r="L19" s="5"/>
    </row>
    <row r="20" spans="1:12">
      <c r="B20" s="6" t="s">
        <v>22</v>
      </c>
      <c r="H20" s="5">
        <f>SUM(H17:H19)</f>
        <v>35.54</v>
      </c>
      <c r="J20" s="5">
        <f t="shared" ref="J20:J21" si="2">H20*1.17</f>
        <v>41.581799999999994</v>
      </c>
      <c r="K20" s="5"/>
      <c r="L20" s="5"/>
    </row>
    <row r="21" spans="1:12">
      <c r="A21" s="6" t="s">
        <v>23</v>
      </c>
      <c r="B21" s="6" t="s">
        <v>24</v>
      </c>
      <c r="H21" s="5">
        <f>H16+H20</f>
        <v>141.33199999999999</v>
      </c>
      <c r="J21" s="5">
        <f t="shared" si="2"/>
        <v>165.35843999999997</v>
      </c>
      <c r="K21" s="5"/>
      <c r="L21" s="5">
        <f>J21*1.21</f>
        <v>200.08371239999997</v>
      </c>
    </row>
    <row r="22" spans="1:12">
      <c r="J22" s="5"/>
      <c r="K22" s="5"/>
      <c r="L22" s="5"/>
    </row>
    <row r="23" spans="1:12">
      <c r="J23" s="5"/>
      <c r="K23" s="5"/>
      <c r="L23" s="5"/>
    </row>
    <row r="24" spans="1:12">
      <c r="J24" s="5"/>
      <c r="K24" s="5"/>
      <c r="L24" s="5"/>
    </row>
    <row r="25" spans="1:12">
      <c r="J25" s="5"/>
      <c r="K25" s="5"/>
      <c r="L25" s="5"/>
    </row>
    <row r="26" spans="1:12">
      <c r="J26" s="5"/>
      <c r="K26" s="5"/>
      <c r="L26" s="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DED6-73F6-4325-A485-EF31A2064DEF}">
  <dimension ref="A1:L23"/>
  <sheetViews>
    <sheetView topLeftCell="C1" workbookViewId="0">
      <selection activeCell="J17" sqref="J17"/>
    </sheetView>
  </sheetViews>
  <sheetFormatPr defaultRowHeight="15"/>
  <cols>
    <col min="1" max="1" width="17.85546875" customWidth="1"/>
    <col min="2" max="2" width="108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173</v>
      </c>
    </row>
    <row r="3" spans="1:8">
      <c r="A3">
        <v>1</v>
      </c>
      <c r="B3" t="s">
        <v>0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25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16" si="0">C6*E6</f>
        <v>0.1</v>
      </c>
      <c r="G6" s="2">
        <v>52.2</v>
      </c>
      <c r="H6" s="2">
        <f t="shared" ref="H6:H16" si="1">F6*G6</f>
        <v>5.2200000000000006</v>
      </c>
    </row>
    <row r="7" spans="1:8">
      <c r="B7" t="s">
        <v>131</v>
      </c>
      <c r="C7" s="2">
        <f>A3/1*1000/1000</f>
        <v>1</v>
      </c>
      <c r="D7" t="s">
        <v>0</v>
      </c>
      <c r="E7" s="3">
        <f>2500/10000</f>
        <v>0.25</v>
      </c>
      <c r="F7" s="2">
        <f t="shared" si="0"/>
        <v>0.25</v>
      </c>
      <c r="G7" s="2">
        <v>52.2</v>
      </c>
      <c r="H7" s="2">
        <f t="shared" si="1"/>
        <v>13.05</v>
      </c>
    </row>
    <row r="8" spans="1:8">
      <c r="B8" t="s">
        <v>174</v>
      </c>
      <c r="C8" s="2">
        <f>A3/1*1000/1000</f>
        <v>1</v>
      </c>
      <c r="D8" t="s">
        <v>0</v>
      </c>
      <c r="E8" s="3">
        <f>7500/10000</f>
        <v>0.75</v>
      </c>
      <c r="F8" s="2">
        <f t="shared" si="0"/>
        <v>0.75</v>
      </c>
      <c r="G8" s="2">
        <v>52.2</v>
      </c>
      <c r="H8" s="2">
        <f t="shared" si="1"/>
        <v>39.150000000000006</v>
      </c>
    </row>
    <row r="9" spans="1:8">
      <c r="B9" t="s">
        <v>175</v>
      </c>
      <c r="C9" s="2">
        <f>A3/1*1000/1000</f>
        <v>1</v>
      </c>
      <c r="D9" t="s">
        <v>0</v>
      </c>
      <c r="E9" s="3">
        <f>7500/10000</f>
        <v>0.75</v>
      </c>
      <c r="F9" s="2">
        <f t="shared" si="0"/>
        <v>0.75</v>
      </c>
      <c r="G9" s="2">
        <v>52.2</v>
      </c>
      <c r="H9" s="2">
        <f t="shared" si="1"/>
        <v>39.150000000000006</v>
      </c>
    </row>
    <row r="10" spans="1:8">
      <c r="B10" t="s">
        <v>176</v>
      </c>
      <c r="C10" s="2">
        <f>A3/1*1000/1000</f>
        <v>1</v>
      </c>
      <c r="D10" t="s">
        <v>0</v>
      </c>
      <c r="E10" s="3">
        <f>5000/10000</f>
        <v>0.5</v>
      </c>
      <c r="F10" s="2">
        <f t="shared" si="0"/>
        <v>0.5</v>
      </c>
      <c r="G10" s="2">
        <v>52.2</v>
      </c>
      <c r="H10" s="2">
        <f t="shared" si="1"/>
        <v>26.1</v>
      </c>
    </row>
    <row r="11" spans="1:8">
      <c r="B11" t="s">
        <v>27</v>
      </c>
      <c r="C11" s="2">
        <f>A3/1*1000/1000</f>
        <v>1</v>
      </c>
      <c r="D11" t="s">
        <v>0</v>
      </c>
      <c r="E11" s="3">
        <f>2000/10000</f>
        <v>0.2</v>
      </c>
      <c r="F11" s="2">
        <f t="shared" si="0"/>
        <v>0.2</v>
      </c>
      <c r="G11" s="2">
        <v>52.2</v>
      </c>
      <c r="H11" s="2">
        <f t="shared" si="1"/>
        <v>10.440000000000001</v>
      </c>
    </row>
    <row r="12" spans="1:8">
      <c r="B12" t="s">
        <v>134</v>
      </c>
      <c r="C12" s="2">
        <f>A3/1*1000/1000</f>
        <v>1</v>
      </c>
      <c r="D12" t="s">
        <v>0</v>
      </c>
      <c r="E12" s="3">
        <f>1600/10000</f>
        <v>0.16</v>
      </c>
      <c r="F12" s="2">
        <f t="shared" si="0"/>
        <v>0.16</v>
      </c>
      <c r="G12" s="2">
        <v>52.2</v>
      </c>
      <c r="H12" s="2">
        <f t="shared" si="1"/>
        <v>8.3520000000000003</v>
      </c>
    </row>
    <row r="13" spans="1:8">
      <c r="B13" t="s">
        <v>108</v>
      </c>
      <c r="C13" s="2">
        <f>A3/1*1000/1000</f>
        <v>1</v>
      </c>
      <c r="D13" t="s">
        <v>0</v>
      </c>
      <c r="E13" s="3">
        <f>2000/10000</f>
        <v>0.2</v>
      </c>
      <c r="F13" s="2">
        <f t="shared" si="0"/>
        <v>0.2</v>
      </c>
      <c r="G13" s="2">
        <v>52.2</v>
      </c>
      <c r="H13" s="2">
        <f t="shared" si="1"/>
        <v>10.440000000000001</v>
      </c>
    </row>
    <row r="14" spans="1:8">
      <c r="B14" t="s">
        <v>11</v>
      </c>
      <c r="C14" s="2">
        <f>A3/1*1000/1000</f>
        <v>1</v>
      </c>
      <c r="D14" t="s">
        <v>0</v>
      </c>
      <c r="E14" s="3">
        <f>1000/10000</f>
        <v>0.1</v>
      </c>
      <c r="F14" s="2">
        <f t="shared" si="0"/>
        <v>0.1</v>
      </c>
      <c r="G14" s="2">
        <v>52.2</v>
      </c>
      <c r="H14" s="2">
        <f t="shared" si="1"/>
        <v>5.2200000000000006</v>
      </c>
    </row>
    <row r="15" spans="1:8">
      <c r="B15" t="s">
        <v>170</v>
      </c>
      <c r="C15" s="2">
        <f>A3/1*1000/1000</f>
        <v>1</v>
      </c>
      <c r="D15" t="s">
        <v>0</v>
      </c>
      <c r="E15" s="3">
        <f>500/10000</f>
        <v>0.05</v>
      </c>
      <c r="F15" s="2">
        <f t="shared" si="0"/>
        <v>0.05</v>
      </c>
      <c r="G15" s="2">
        <v>52.2</v>
      </c>
      <c r="H15" s="2">
        <f t="shared" si="1"/>
        <v>2.6100000000000003</v>
      </c>
    </row>
    <row r="16" spans="1:8">
      <c r="B16" t="s">
        <v>14</v>
      </c>
      <c r="C16" s="2">
        <f>A3/1*1000/1000</f>
        <v>1</v>
      </c>
      <c r="D16" t="s">
        <v>15</v>
      </c>
      <c r="E16" s="3">
        <f>1500/10000</f>
        <v>0.15</v>
      </c>
      <c r="F16" s="2">
        <f t="shared" si="0"/>
        <v>0.15</v>
      </c>
      <c r="G16" s="2">
        <v>48.72</v>
      </c>
      <c r="H16" s="2">
        <f t="shared" si="1"/>
        <v>7.3079999999999998</v>
      </c>
    </row>
    <row r="17" spans="1:12">
      <c r="B17" s="6" t="s">
        <v>16</v>
      </c>
      <c r="F17" s="5">
        <f>SUM(F6:F16)</f>
        <v>3.2100000000000004</v>
      </c>
      <c r="H17" s="5">
        <f>SUM(H6:H16)</f>
        <v>167.04000000000002</v>
      </c>
      <c r="J17" s="5">
        <f>H17*1.17</f>
        <v>195.43680000000001</v>
      </c>
      <c r="K17" s="5"/>
      <c r="L17" s="5"/>
    </row>
    <row r="18" spans="1:12">
      <c r="A18" s="6" t="s">
        <v>17</v>
      </c>
      <c r="B18" t="s">
        <v>177</v>
      </c>
      <c r="C18" s="2">
        <f>A3/1*1</f>
        <v>1</v>
      </c>
      <c r="D18" t="s">
        <v>0</v>
      </c>
      <c r="E18" s="3" t="s">
        <v>18</v>
      </c>
      <c r="F18" s="2" t="s">
        <v>18</v>
      </c>
      <c r="G18" s="2">
        <f>2875</f>
        <v>2875</v>
      </c>
      <c r="H18" s="2">
        <f>C18*G18</f>
        <v>2875</v>
      </c>
      <c r="J18" s="5"/>
      <c r="K18" s="5"/>
      <c r="L18" s="5"/>
    </row>
    <row r="19" spans="1:12">
      <c r="B19" t="s">
        <v>178</v>
      </c>
      <c r="C19" s="2">
        <f>A3/1*1</f>
        <v>1</v>
      </c>
      <c r="D19" t="s">
        <v>0</v>
      </c>
      <c r="E19" s="3" t="s">
        <v>18</v>
      </c>
      <c r="F19" s="2" t="s">
        <v>18</v>
      </c>
      <c r="G19" s="2">
        <f>(1364/100)</f>
        <v>13.64</v>
      </c>
      <c r="H19" s="2">
        <f>C19*G19</f>
        <v>13.64</v>
      </c>
      <c r="J19" s="5"/>
      <c r="K19" s="5"/>
      <c r="L19" s="5"/>
    </row>
    <row r="20" spans="1:12">
      <c r="B20" t="s">
        <v>179</v>
      </c>
      <c r="C20" s="2">
        <f>A3/1*1</f>
        <v>1</v>
      </c>
      <c r="D20" t="s">
        <v>0</v>
      </c>
      <c r="E20" s="3" t="s">
        <v>18</v>
      </c>
      <c r="F20" s="2" t="s">
        <v>18</v>
      </c>
      <c r="G20" s="2">
        <f>(135/100)</f>
        <v>1.35</v>
      </c>
      <c r="H20" s="2">
        <f>C20*G20</f>
        <v>1.35</v>
      </c>
      <c r="J20" s="5"/>
      <c r="K20" s="5"/>
      <c r="L20" s="5"/>
    </row>
    <row r="21" spans="1:12">
      <c r="B21" t="s">
        <v>21</v>
      </c>
      <c r="C21" s="2">
        <f>A3/1*1</f>
        <v>1</v>
      </c>
      <c r="D21" t="s">
        <v>15</v>
      </c>
      <c r="E21" s="3" t="s">
        <v>18</v>
      </c>
      <c r="F21" s="2" t="s">
        <v>18</v>
      </c>
      <c r="G21" s="2">
        <f>25</f>
        <v>25</v>
      </c>
      <c r="H21" s="2">
        <f>C21*G21</f>
        <v>25</v>
      </c>
      <c r="J21" s="5"/>
      <c r="K21" s="5"/>
      <c r="L21" s="5"/>
    </row>
    <row r="22" spans="1:12">
      <c r="B22" s="6" t="s">
        <v>22</v>
      </c>
      <c r="H22" s="5">
        <f>SUM(H18:H21)</f>
        <v>2914.99</v>
      </c>
      <c r="J22" s="5">
        <f t="shared" ref="J22:J23" si="2">H22*1.17</f>
        <v>3410.5382999999997</v>
      </c>
      <c r="K22" s="5"/>
      <c r="L22" s="5"/>
    </row>
    <row r="23" spans="1:12">
      <c r="A23" s="6" t="s">
        <v>23</v>
      </c>
      <c r="B23" s="6" t="s">
        <v>24</v>
      </c>
      <c r="H23" s="5">
        <f>H17+H22</f>
        <v>3082.0299999999997</v>
      </c>
      <c r="J23" s="5">
        <f t="shared" si="2"/>
        <v>3605.9750999999997</v>
      </c>
      <c r="K23" s="5"/>
      <c r="L23" s="5">
        <f>J23*1.21</f>
        <v>4363.2298709999995</v>
      </c>
    </row>
  </sheetData>
  <pageMargins left="0.7" right="0.7" top="0.75" bottom="0.75" header="0.3" footer="0.3"/>
  <ignoredErrors>
    <ignoredError sqref="E12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85EA-2654-4F76-8CEF-566DFAC6C602}">
  <dimension ref="A1:L13"/>
  <sheetViews>
    <sheetView workbookViewId="0">
      <selection activeCell="I22" sqref="I22"/>
    </sheetView>
  </sheetViews>
  <sheetFormatPr defaultRowHeight="15"/>
  <cols>
    <col min="1" max="1" width="17.85546875" customWidth="1"/>
    <col min="2" max="2" width="73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1" max="12" width="9.140625" style="2"/>
  </cols>
  <sheetData>
    <row r="1" spans="1:12">
      <c r="A1" s="6" t="s">
        <v>180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181</v>
      </c>
      <c r="C6" s="2">
        <f>A3/1*1000/1000</f>
        <v>1</v>
      </c>
      <c r="D6" t="s">
        <v>0</v>
      </c>
      <c r="E6" s="3">
        <f>4000/10000</f>
        <v>0.4</v>
      </c>
      <c r="F6" s="2">
        <f>C6*E6</f>
        <v>0.4</v>
      </c>
      <c r="G6" s="2">
        <v>52.2</v>
      </c>
      <c r="H6" s="2">
        <f>F6*G6</f>
        <v>20.880000000000003</v>
      </c>
    </row>
    <row r="7" spans="1:12">
      <c r="B7" t="s">
        <v>182</v>
      </c>
      <c r="C7" s="2">
        <f>A3/1*1000/1000</f>
        <v>1</v>
      </c>
      <c r="D7" t="s">
        <v>0</v>
      </c>
      <c r="E7" s="3">
        <f>2500/10000</f>
        <v>0.25</v>
      </c>
      <c r="F7" s="2">
        <f>C7*E7</f>
        <v>0.25</v>
      </c>
      <c r="G7" s="2">
        <v>52.2</v>
      </c>
      <c r="H7" s="2">
        <f>F7*G7</f>
        <v>13.05</v>
      </c>
    </row>
    <row r="8" spans="1:12">
      <c r="B8" t="s">
        <v>14</v>
      </c>
      <c r="C8" s="2">
        <f>A3/1*1000/1000</f>
        <v>1</v>
      </c>
      <c r="D8" t="s">
        <v>15</v>
      </c>
      <c r="E8" s="3">
        <f>1000/10000</f>
        <v>0.1</v>
      </c>
      <c r="F8" s="2">
        <f>C8*E8</f>
        <v>0.1</v>
      </c>
      <c r="G8" s="2">
        <v>48.72</v>
      </c>
      <c r="H8" s="2">
        <f>F8*G8</f>
        <v>4.8719999999999999</v>
      </c>
    </row>
    <row r="9" spans="1:12">
      <c r="B9" s="6" t="s">
        <v>16</v>
      </c>
      <c r="F9" s="5">
        <f>SUM(F6:F8)</f>
        <v>0.75</v>
      </c>
      <c r="H9" s="5">
        <f>SUM(H6:H8)</f>
        <v>38.802000000000007</v>
      </c>
      <c r="J9" s="5">
        <f>H9*1.17</f>
        <v>45.398340000000005</v>
      </c>
    </row>
    <row r="10" spans="1:12">
      <c r="A10" s="6" t="s">
        <v>17</v>
      </c>
      <c r="B10" t="s">
        <v>183</v>
      </c>
      <c r="C10" s="2">
        <f>A3/1*1</f>
        <v>1</v>
      </c>
      <c r="D10" t="s">
        <v>0</v>
      </c>
      <c r="E10" s="3" t="s">
        <v>18</v>
      </c>
      <c r="F10" s="2" t="s">
        <v>18</v>
      </c>
      <c r="G10" s="2">
        <f>(18926/100)</f>
        <v>189.26</v>
      </c>
      <c r="H10" s="2">
        <f>C10*G10</f>
        <v>189.26</v>
      </c>
    </row>
    <row r="11" spans="1:12">
      <c r="B11" t="s">
        <v>184</v>
      </c>
      <c r="C11" s="2">
        <f>A3/1*1</f>
        <v>1</v>
      </c>
      <c r="D11" t="s">
        <v>0</v>
      </c>
      <c r="E11" s="3" t="s">
        <v>18</v>
      </c>
      <c r="F11" s="2" t="s">
        <v>18</v>
      </c>
      <c r="G11" s="2">
        <f>9</f>
        <v>9</v>
      </c>
      <c r="H11" s="2">
        <f>C11*G11</f>
        <v>9</v>
      </c>
    </row>
    <row r="12" spans="1:12">
      <c r="B12" s="6" t="s">
        <v>22</v>
      </c>
      <c r="H12" s="5">
        <f>SUM(H10:H11)</f>
        <v>198.26</v>
      </c>
      <c r="J12" s="5">
        <f>H12*1.17</f>
        <v>231.96419999999998</v>
      </c>
    </row>
    <row r="13" spans="1:12">
      <c r="A13" s="6" t="s">
        <v>23</v>
      </c>
      <c r="B13" s="6" t="s">
        <v>24</v>
      </c>
      <c r="H13" s="5">
        <f>H9+H12</f>
        <v>237.06200000000001</v>
      </c>
      <c r="J13" s="5">
        <f>H13*1.17</f>
        <v>277.36254000000002</v>
      </c>
      <c r="L13" s="5">
        <f>J13*1.21</f>
        <v>335.60867340000004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A17F-1B89-4BAC-82F6-DF829B35DCA0}">
  <dimension ref="A1:L12"/>
  <sheetViews>
    <sheetView workbookViewId="0"/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185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31</v>
      </c>
      <c r="C6" s="2">
        <f>A3/1*1250/1000</f>
        <v>1.25</v>
      </c>
      <c r="D6" t="s">
        <v>32</v>
      </c>
      <c r="E6" s="3">
        <f>10000/10000</f>
        <v>1</v>
      </c>
      <c r="F6" s="2">
        <f>C6*E6</f>
        <v>1.25</v>
      </c>
      <c r="G6" s="2">
        <v>48.72</v>
      </c>
      <c r="H6" s="2">
        <f>F6*G6</f>
        <v>60.9</v>
      </c>
    </row>
    <row r="7" spans="1:12">
      <c r="B7" t="s">
        <v>33</v>
      </c>
      <c r="C7" s="2">
        <f>A3/1*1250/1000</f>
        <v>1.25</v>
      </c>
      <c r="D7" t="s">
        <v>32</v>
      </c>
      <c r="E7" s="3">
        <f>10000/10000</f>
        <v>1</v>
      </c>
      <c r="F7" s="2">
        <f>C7*E7</f>
        <v>1.25</v>
      </c>
      <c r="G7" s="2">
        <v>48.72</v>
      </c>
      <c r="H7" s="2">
        <f>F7*G7</f>
        <v>60.9</v>
      </c>
    </row>
    <row r="8" spans="1:12">
      <c r="B8" s="6" t="s">
        <v>16</v>
      </c>
      <c r="F8" s="5">
        <f>SUM(F6:F7)</f>
        <v>2.5</v>
      </c>
      <c r="H8" s="5">
        <f>SUM(H6:H7)</f>
        <v>121.8</v>
      </c>
      <c r="J8" s="5">
        <f>H8*1.17</f>
        <v>142.506</v>
      </c>
      <c r="K8" s="2"/>
      <c r="L8" s="2"/>
    </row>
    <row r="9" spans="1:12">
      <c r="A9" s="6" t="s">
        <v>17</v>
      </c>
      <c r="B9" t="s">
        <v>21</v>
      </c>
      <c r="C9" s="2">
        <f>A3/1*1</f>
        <v>1</v>
      </c>
      <c r="D9" t="s">
        <v>15</v>
      </c>
      <c r="E9" s="3" t="s">
        <v>18</v>
      </c>
      <c r="F9" s="2" t="s">
        <v>18</v>
      </c>
      <c r="G9" s="2">
        <f>60</f>
        <v>60</v>
      </c>
      <c r="H9" s="2">
        <f>C9*G9</f>
        <v>60</v>
      </c>
      <c r="K9" s="2"/>
      <c r="L9" s="2"/>
    </row>
    <row r="10" spans="1:12">
      <c r="B10" s="6" t="s">
        <v>22</v>
      </c>
      <c r="H10" s="5">
        <f>SUM(H9:H9)</f>
        <v>60</v>
      </c>
      <c r="J10" s="5">
        <f>H10*1.17</f>
        <v>70.199999999999989</v>
      </c>
      <c r="K10" s="2"/>
      <c r="L10" s="2"/>
    </row>
    <row r="11" spans="1:12">
      <c r="A11" s="6" t="s">
        <v>23</v>
      </c>
      <c r="B11" s="6" t="s">
        <v>24</v>
      </c>
      <c r="H11" s="5">
        <f>H8+H10</f>
        <v>181.8</v>
      </c>
      <c r="J11" s="5">
        <f>H11*1.17</f>
        <v>212.70599999999999</v>
      </c>
      <c r="K11" s="2"/>
      <c r="L11" s="5">
        <f>J11*1.21</f>
        <v>257.37425999999999</v>
      </c>
    </row>
    <row r="12" spans="1:12">
      <c r="J12" s="5"/>
      <c r="K12" s="2"/>
      <c r="L12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2E9AF-93E7-4000-9BFE-81AC8AC8C207}">
  <dimension ref="A1:L13"/>
  <sheetViews>
    <sheetView topLeftCell="G1" workbookViewId="0">
      <selection activeCell="K8" sqref="K8"/>
    </sheetView>
  </sheetViews>
  <sheetFormatPr defaultRowHeight="15"/>
  <cols>
    <col min="1" max="1" width="17.85546875" customWidth="1"/>
    <col min="2" max="2" width="94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47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42</v>
      </c>
      <c r="C6" s="2">
        <f>A3/1*1000/1000</f>
        <v>1</v>
      </c>
      <c r="D6" t="s">
        <v>0</v>
      </c>
      <c r="E6" s="3">
        <f>9000/10000</f>
        <v>0.9</v>
      </c>
      <c r="F6" s="2">
        <f>C6*E6</f>
        <v>0.9</v>
      </c>
      <c r="G6" s="2">
        <f>63800/1000</f>
        <v>63.8</v>
      </c>
      <c r="H6" s="2">
        <f>F6*G6</f>
        <v>57.42</v>
      </c>
    </row>
    <row r="7" spans="1:12">
      <c r="B7" t="s">
        <v>14</v>
      </c>
      <c r="C7" s="2">
        <f>A3/1*1000/1000</f>
        <v>1</v>
      </c>
      <c r="D7" t="s">
        <v>15</v>
      </c>
      <c r="E7" s="3">
        <f>1000/10000</f>
        <v>0.1</v>
      </c>
      <c r="F7" s="2">
        <f>C7*E7</f>
        <v>0.1</v>
      </c>
      <c r="G7" s="2">
        <f>52200/1000</f>
        <v>52.2</v>
      </c>
      <c r="H7" s="2">
        <f>F7*G7</f>
        <v>5.2200000000000006</v>
      </c>
    </row>
    <row r="8" spans="1:12">
      <c r="B8" s="1" t="s">
        <v>16</v>
      </c>
      <c r="F8" s="4">
        <f>SUM(F6:F7)</f>
        <v>1</v>
      </c>
      <c r="H8" s="4">
        <f>SUM(H6:H7)</f>
        <v>62.64</v>
      </c>
      <c r="J8" s="5">
        <f>H8*1.17</f>
        <v>73.288799999999995</v>
      </c>
      <c r="L8" s="2"/>
    </row>
    <row r="9" spans="1:12">
      <c r="A9" s="1" t="s">
        <v>17</v>
      </c>
      <c r="B9" t="s">
        <v>48</v>
      </c>
      <c r="C9" s="2">
        <f>A3/1*1</f>
        <v>1</v>
      </c>
      <c r="D9" t="s">
        <v>0</v>
      </c>
      <c r="E9" s="3" t="s">
        <v>18</v>
      </c>
      <c r="F9" s="2" t="s">
        <v>18</v>
      </c>
      <c r="G9" s="2">
        <f>(2848/10)</f>
        <v>284.8</v>
      </c>
      <c r="H9" s="2">
        <f>C9*G9</f>
        <v>284.8</v>
      </c>
      <c r="L9" s="2"/>
    </row>
    <row r="10" spans="1:12">
      <c r="B10" t="s">
        <v>44</v>
      </c>
      <c r="C10" s="2">
        <f>A3/1*1</f>
        <v>1</v>
      </c>
      <c r="D10" t="s">
        <v>34</v>
      </c>
      <c r="E10" s="3" t="s">
        <v>18</v>
      </c>
      <c r="F10" s="2" t="s">
        <v>18</v>
      </c>
      <c r="G10" s="2">
        <f>(1248/100)</f>
        <v>12.48</v>
      </c>
      <c r="H10" s="2">
        <f>C10*G10</f>
        <v>12.48</v>
      </c>
      <c r="J10" s="5"/>
      <c r="L10" s="2"/>
    </row>
    <row r="11" spans="1:12">
      <c r="B11" t="s">
        <v>36</v>
      </c>
      <c r="C11" s="2">
        <f>A3/1*1</f>
        <v>1</v>
      </c>
      <c r="D11" t="s">
        <v>15</v>
      </c>
      <c r="E11" s="3" t="s">
        <v>18</v>
      </c>
      <c r="F11" s="2" t="s">
        <v>18</v>
      </c>
      <c r="G11" s="2">
        <f>2</f>
        <v>2</v>
      </c>
      <c r="H11" s="2">
        <f>C11*G11</f>
        <v>2</v>
      </c>
      <c r="J11" s="5"/>
      <c r="L11" s="5"/>
    </row>
    <row r="12" spans="1:12">
      <c r="B12" s="1" t="s">
        <v>22</v>
      </c>
      <c r="H12" s="4">
        <f>SUM(H9:H11)</f>
        <v>299.28000000000003</v>
      </c>
      <c r="J12" s="5">
        <f>H12*1.17</f>
        <v>350.1576</v>
      </c>
      <c r="L12" s="2"/>
    </row>
    <row r="13" spans="1:12">
      <c r="A13" s="1" t="s">
        <v>23</v>
      </c>
      <c r="B13" s="1" t="s">
        <v>24</v>
      </c>
      <c r="H13" s="4">
        <f>H8+H12</f>
        <v>361.92</v>
      </c>
      <c r="J13" s="5">
        <f>H13*1.17</f>
        <v>423.44639999999998</v>
      </c>
      <c r="L13" s="5">
        <f>J13*1.21</f>
        <v>512.37014399999998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4DD0D-EB12-4F55-95C7-650C5F9AAB07}">
  <dimension ref="A1:L12"/>
  <sheetViews>
    <sheetView topLeftCell="G1" workbookViewId="0">
      <selection activeCell="K8" sqref="K8"/>
    </sheetView>
  </sheetViews>
  <sheetFormatPr defaultRowHeight="15"/>
  <cols>
    <col min="1" max="1" width="17.85546875" customWidth="1"/>
    <col min="2" max="2" width="83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49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37</v>
      </c>
      <c r="C6" s="2">
        <f>A3/1*1000/1000</f>
        <v>1</v>
      </c>
      <c r="D6" t="s">
        <v>0</v>
      </c>
      <c r="E6" s="3">
        <f>2500/10000</f>
        <v>0.25</v>
      </c>
      <c r="F6" s="2">
        <f>C6*E6</f>
        <v>0.25</v>
      </c>
      <c r="G6" s="2">
        <v>52.2</v>
      </c>
      <c r="H6" s="2">
        <f>F6*G6</f>
        <v>13.05</v>
      </c>
    </row>
    <row r="7" spans="1:12">
      <c r="B7" s="1" t="s">
        <v>16</v>
      </c>
      <c r="F7" s="4">
        <f>SUM(F6:F6)</f>
        <v>0.25</v>
      </c>
      <c r="H7" s="4">
        <f>SUM(H6:H6)</f>
        <v>13.05</v>
      </c>
      <c r="J7" s="5">
        <f>H7*1.17</f>
        <v>15.2685</v>
      </c>
      <c r="L7" s="2"/>
    </row>
    <row r="8" spans="1:12">
      <c r="A8" s="1" t="s">
        <v>17</v>
      </c>
      <c r="B8" t="s">
        <v>50</v>
      </c>
      <c r="C8" s="2">
        <f>A3/1*1</f>
        <v>1</v>
      </c>
      <c r="D8" t="s">
        <v>0</v>
      </c>
      <c r="E8" s="3" t="s">
        <v>18</v>
      </c>
      <c r="F8" s="2" t="s">
        <v>18</v>
      </c>
      <c r="G8" s="2">
        <f>(976/10)</f>
        <v>97.6</v>
      </c>
      <c r="H8" s="2">
        <f>C8*G8</f>
        <v>97.6</v>
      </c>
      <c r="L8" s="2"/>
    </row>
    <row r="9" spans="1:12">
      <c r="B9" t="s">
        <v>38</v>
      </c>
      <c r="C9" s="2">
        <f>A3/1*1</f>
        <v>1</v>
      </c>
      <c r="D9" t="s">
        <v>0</v>
      </c>
      <c r="E9" s="3" t="s">
        <v>18</v>
      </c>
      <c r="F9" s="2" t="s">
        <v>18</v>
      </c>
      <c r="G9" s="2">
        <f>(25/10)</f>
        <v>2.5</v>
      </c>
      <c r="H9" s="2">
        <f>C9*G9</f>
        <v>2.5</v>
      </c>
      <c r="J9" s="5"/>
      <c r="L9" s="2"/>
    </row>
    <row r="10" spans="1:12">
      <c r="B10" s="1" t="s">
        <v>22</v>
      </c>
      <c r="H10" s="4">
        <f>SUM(H8:H9)</f>
        <v>100.1</v>
      </c>
      <c r="J10" s="5">
        <f>H10*1.17</f>
        <v>117.11699999999999</v>
      </c>
      <c r="L10" s="2"/>
    </row>
    <row r="11" spans="1:12">
      <c r="A11" s="1" t="s">
        <v>23</v>
      </c>
      <c r="B11" s="1" t="s">
        <v>24</v>
      </c>
      <c r="H11" s="4">
        <f>H7+H10</f>
        <v>113.14999999999999</v>
      </c>
      <c r="J11" s="5">
        <f>H11*1.17</f>
        <v>132.38549999999998</v>
      </c>
      <c r="L11" s="5">
        <f>J11*1.21</f>
        <v>160.18645499999997</v>
      </c>
    </row>
    <row r="12" spans="1:12">
      <c r="J12" s="5"/>
      <c r="L12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21E7-255F-47F2-96E4-C1F8F54B8E75}">
  <dimension ref="A1:L12"/>
  <sheetViews>
    <sheetView topLeftCell="B1" workbookViewId="0">
      <selection activeCell="K8" sqref="K8"/>
    </sheetView>
  </sheetViews>
  <sheetFormatPr defaultRowHeight="15"/>
  <cols>
    <col min="1" max="1" width="17.85546875" customWidth="1"/>
    <col min="2" max="2" width="55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51</v>
      </c>
    </row>
    <row r="3" spans="1:12">
      <c r="A3">
        <v>1</v>
      </c>
      <c r="B3" t="s">
        <v>34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35</v>
      </c>
      <c r="C6" s="2">
        <f>A3/1*1000/1000</f>
        <v>1</v>
      </c>
      <c r="D6" t="s">
        <v>0</v>
      </c>
      <c r="E6" s="3">
        <f>6000/10000</f>
        <v>0.6</v>
      </c>
      <c r="F6" s="2">
        <f>C6*E6</f>
        <v>0.6</v>
      </c>
      <c r="G6" s="2">
        <v>52.2</v>
      </c>
      <c r="H6" s="2">
        <f>F6*G6</f>
        <v>31.32</v>
      </c>
    </row>
    <row r="7" spans="1:12">
      <c r="B7" s="1" t="s">
        <v>16</v>
      </c>
      <c r="F7" s="4">
        <f>SUM(F6:F6)</f>
        <v>0.6</v>
      </c>
      <c r="H7" s="4">
        <f>SUM(H6:H6)</f>
        <v>31.32</v>
      </c>
      <c r="J7" s="5">
        <f>H7*1.17</f>
        <v>36.644399999999997</v>
      </c>
      <c r="L7" s="2"/>
    </row>
    <row r="8" spans="1:12">
      <c r="A8" s="1" t="s">
        <v>17</v>
      </c>
      <c r="B8" t="s">
        <v>52</v>
      </c>
      <c r="C8" s="2">
        <f>A3/1*1</f>
        <v>1</v>
      </c>
      <c r="D8" t="s">
        <v>34</v>
      </c>
      <c r="E8" s="3" t="s">
        <v>18</v>
      </c>
      <c r="F8" s="2" t="s">
        <v>18</v>
      </c>
      <c r="G8" s="2">
        <f>(736/10)</f>
        <v>73.599999999999994</v>
      </c>
      <c r="H8" s="2">
        <f>C8*G8</f>
        <v>73.599999999999994</v>
      </c>
      <c r="L8" s="2"/>
    </row>
    <row r="9" spans="1:12">
      <c r="B9" t="s">
        <v>36</v>
      </c>
      <c r="C9" s="2">
        <f>A3/1*1</f>
        <v>1</v>
      </c>
      <c r="D9" t="s">
        <v>15</v>
      </c>
      <c r="E9" s="3" t="s">
        <v>18</v>
      </c>
      <c r="F9" s="2" t="s">
        <v>18</v>
      </c>
      <c r="G9" s="2">
        <f>2</f>
        <v>2</v>
      </c>
      <c r="H9" s="2">
        <f>C9*G9</f>
        <v>2</v>
      </c>
      <c r="J9" s="5"/>
      <c r="L9" s="2"/>
    </row>
    <row r="10" spans="1:12">
      <c r="B10" s="1" t="s">
        <v>22</v>
      </c>
      <c r="H10" s="4">
        <f>SUM(H8:H9)</f>
        <v>75.599999999999994</v>
      </c>
      <c r="J10" s="5">
        <f>H10*1.17</f>
        <v>88.451999999999984</v>
      </c>
      <c r="L10" s="2"/>
    </row>
    <row r="11" spans="1:12">
      <c r="A11" s="1" t="s">
        <v>23</v>
      </c>
      <c r="B11" s="1" t="s">
        <v>24</v>
      </c>
      <c r="H11" s="4">
        <f>H7+H10</f>
        <v>106.91999999999999</v>
      </c>
      <c r="J11" s="5">
        <f>H11*1.17</f>
        <v>125.09639999999997</v>
      </c>
      <c r="L11" s="5">
        <f>J11*1.21</f>
        <v>151.36664399999995</v>
      </c>
    </row>
    <row r="12" spans="1:12">
      <c r="J12" s="5"/>
      <c r="L1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3675-41BD-4F87-92E8-22BA1ECE2FAB}">
  <dimension ref="A1:L12"/>
  <sheetViews>
    <sheetView topLeftCell="E1" workbookViewId="0">
      <selection activeCell="J8" sqref="J8:L11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53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31</v>
      </c>
      <c r="C6" s="2">
        <f>A3/1*750/1000</f>
        <v>0.75</v>
      </c>
      <c r="D6" t="s">
        <v>32</v>
      </c>
      <c r="E6" s="3">
        <f>10000/10000</f>
        <v>1</v>
      </c>
      <c r="F6" s="2">
        <f>C6*E6</f>
        <v>0.75</v>
      </c>
      <c r="G6" s="2">
        <v>48.72</v>
      </c>
      <c r="H6" s="2">
        <f>F6*G6</f>
        <v>36.54</v>
      </c>
    </row>
    <row r="7" spans="1:12">
      <c r="B7" t="s">
        <v>33</v>
      </c>
      <c r="C7" s="2">
        <f>A3/1*750/1000</f>
        <v>0.75</v>
      </c>
      <c r="D7" t="s">
        <v>32</v>
      </c>
      <c r="E7" s="3">
        <f>10000/10000</f>
        <v>1</v>
      </c>
      <c r="F7" s="2">
        <f>C7*E7</f>
        <v>0.75</v>
      </c>
      <c r="G7" s="2">
        <v>48.72</v>
      </c>
      <c r="H7" s="2">
        <f>F7*G7</f>
        <v>36.54</v>
      </c>
    </row>
    <row r="8" spans="1:12">
      <c r="B8" s="1" t="s">
        <v>16</v>
      </c>
      <c r="F8" s="4">
        <f>SUM(F6:F7)</f>
        <v>1.5</v>
      </c>
      <c r="H8" s="4">
        <f>SUM(H6:H7)</f>
        <v>73.08</v>
      </c>
      <c r="J8" s="5">
        <f>H8*1.17</f>
        <v>85.503599999999992</v>
      </c>
      <c r="L8" s="2"/>
    </row>
    <row r="9" spans="1:12">
      <c r="A9" s="1" t="s">
        <v>17</v>
      </c>
      <c r="B9" t="s">
        <v>21</v>
      </c>
      <c r="C9" s="2">
        <f>A3/1*1</f>
        <v>1</v>
      </c>
      <c r="D9" t="s">
        <v>15</v>
      </c>
      <c r="E9" s="3" t="s">
        <v>18</v>
      </c>
      <c r="F9" s="2" t="s">
        <v>18</v>
      </c>
      <c r="G9" s="2">
        <f>10</f>
        <v>10</v>
      </c>
      <c r="H9" s="2">
        <f>C9*G9</f>
        <v>10</v>
      </c>
      <c r="L9" s="2"/>
    </row>
    <row r="10" spans="1:12">
      <c r="B10" s="1" t="s">
        <v>22</v>
      </c>
      <c r="H10" s="4">
        <f>SUM(H9:H9)</f>
        <v>10</v>
      </c>
      <c r="J10" s="5">
        <f>H10*1.17</f>
        <v>11.7</v>
      </c>
      <c r="L10" s="2"/>
    </row>
    <row r="11" spans="1:12">
      <c r="A11" s="1" t="s">
        <v>23</v>
      </c>
      <c r="B11" s="1" t="s">
        <v>24</v>
      </c>
      <c r="H11" s="4">
        <f>H8+H10</f>
        <v>83.08</v>
      </c>
      <c r="J11" s="5">
        <f>H11*1.17</f>
        <v>97.203599999999994</v>
      </c>
      <c r="L11" s="5">
        <f>J11*1.21</f>
        <v>117.616356</v>
      </c>
    </row>
    <row r="12" spans="1:12">
      <c r="J12" s="5"/>
      <c r="L12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E4AC-18D0-4597-8CCD-E0B280529C6E}">
  <dimension ref="A1:L11"/>
  <sheetViews>
    <sheetView workbookViewId="0">
      <selection activeCell="D17" sqref="D17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54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31</v>
      </c>
      <c r="C6" s="2">
        <f>A3/1*250/1000</f>
        <v>0.25</v>
      </c>
      <c r="D6" t="s">
        <v>32</v>
      </c>
      <c r="E6" s="3">
        <f>10000/10000</f>
        <v>1</v>
      </c>
      <c r="F6" s="2">
        <f>C6*E6</f>
        <v>0.25</v>
      </c>
      <c r="G6" s="2">
        <v>48.72</v>
      </c>
      <c r="H6" s="2">
        <f>F6*G6</f>
        <v>12.18</v>
      </c>
    </row>
    <row r="7" spans="1:12">
      <c r="B7" t="s">
        <v>33</v>
      </c>
      <c r="C7" s="2">
        <f>A3/1*500/1000</f>
        <v>0.5</v>
      </c>
      <c r="D7" t="s">
        <v>32</v>
      </c>
      <c r="E7" s="3">
        <f>10000/10000</f>
        <v>1</v>
      </c>
      <c r="F7" s="2">
        <f>C7*E7</f>
        <v>0.5</v>
      </c>
      <c r="G7" s="2">
        <v>48.2</v>
      </c>
      <c r="H7" s="2">
        <f>F7*G7</f>
        <v>24.1</v>
      </c>
    </row>
    <row r="8" spans="1:12">
      <c r="B8" s="1" t="s">
        <v>16</v>
      </c>
      <c r="F8" s="4">
        <f>SUM(F6:F7)</f>
        <v>0.75</v>
      </c>
      <c r="H8" s="4">
        <f>SUM(H6:H7)</f>
        <v>36.28</v>
      </c>
      <c r="J8" s="5">
        <f>H8*1.17</f>
        <v>42.447600000000001</v>
      </c>
      <c r="L8" s="2"/>
    </row>
    <row r="9" spans="1:12">
      <c r="A9" s="1" t="s">
        <v>17</v>
      </c>
      <c r="B9" t="s">
        <v>21</v>
      </c>
      <c r="C9" s="2">
        <f>A3/1*1</f>
        <v>1</v>
      </c>
      <c r="D9" t="s">
        <v>15</v>
      </c>
      <c r="E9" s="3" t="s">
        <v>18</v>
      </c>
      <c r="F9" s="2" t="s">
        <v>18</v>
      </c>
      <c r="G9" s="2">
        <f>10</f>
        <v>10</v>
      </c>
      <c r="H9" s="2">
        <f>C9*G9</f>
        <v>10</v>
      </c>
      <c r="L9" s="2"/>
    </row>
    <row r="10" spans="1:12">
      <c r="B10" s="1" t="s">
        <v>22</v>
      </c>
      <c r="H10" s="4">
        <f>SUM(H9:H9)</f>
        <v>10</v>
      </c>
      <c r="J10" s="5">
        <f>H10*1.17</f>
        <v>11.7</v>
      </c>
      <c r="L10" s="2"/>
    </row>
    <row r="11" spans="1:12">
      <c r="A11" s="1" t="s">
        <v>23</v>
      </c>
      <c r="B11" s="1" t="s">
        <v>24</v>
      </c>
      <c r="H11" s="4">
        <f>H8+H10</f>
        <v>46.28</v>
      </c>
      <c r="J11" s="5">
        <f>H11*1.17</f>
        <v>54.147599999999997</v>
      </c>
      <c r="L11" s="5">
        <f>J11*1.21</f>
        <v>65.518595999999988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E22C-98E7-4DF3-A2BB-53B8B95858D3}">
  <dimension ref="A1:L51"/>
  <sheetViews>
    <sheetView tabSelected="1" topLeftCell="A37" workbookViewId="0">
      <selection activeCell="L51" sqref="L51"/>
    </sheetView>
  </sheetViews>
  <sheetFormatPr defaultRowHeight="15"/>
  <cols>
    <col min="1" max="1" width="17.85546875" customWidth="1"/>
    <col min="2" max="2" width="92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0" max="12" width="9.140625" style="2"/>
  </cols>
  <sheetData>
    <row r="1" spans="1:8">
      <c r="A1" s="1" t="s">
        <v>55</v>
      </c>
    </row>
    <row r="3" spans="1:8">
      <c r="A3">
        <v>1</v>
      </c>
      <c r="B3" t="s">
        <v>56</v>
      </c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>
      <c r="A6" s="1" t="s">
        <v>9</v>
      </c>
      <c r="B6" t="s">
        <v>57</v>
      </c>
      <c r="C6" s="2">
        <f>A3/1*2000/1000</f>
        <v>2</v>
      </c>
      <c r="D6" t="s">
        <v>0</v>
      </c>
      <c r="E6" s="3">
        <f>200/10000</f>
        <v>0.02</v>
      </c>
      <c r="F6" s="2">
        <f t="shared" ref="F6:F29" si="0">C6*E6</f>
        <v>0.04</v>
      </c>
      <c r="G6" s="2">
        <v>48.72</v>
      </c>
      <c r="H6" s="2">
        <f t="shared" ref="H6:H29" si="1">F6*G6</f>
        <v>1.9488000000000001</v>
      </c>
    </row>
    <row r="7" spans="1:8">
      <c r="B7" t="s">
        <v>58</v>
      </c>
      <c r="C7" s="2">
        <f>A3/1*6000/1000</f>
        <v>6</v>
      </c>
      <c r="D7" t="s">
        <v>13</v>
      </c>
      <c r="E7" s="3">
        <f>1500/10000</f>
        <v>0.15</v>
      </c>
      <c r="F7" s="2">
        <f t="shared" si="0"/>
        <v>0.89999999999999991</v>
      </c>
      <c r="G7" s="2">
        <v>48.72</v>
      </c>
      <c r="H7" s="2">
        <f t="shared" si="1"/>
        <v>43.847999999999992</v>
      </c>
    </row>
    <row r="8" spans="1:8">
      <c r="B8" t="s">
        <v>59</v>
      </c>
      <c r="C8" s="2">
        <f>A3/1*1000/1000</f>
        <v>1</v>
      </c>
      <c r="D8" t="s">
        <v>0</v>
      </c>
      <c r="E8" s="3">
        <f>5000/10000</f>
        <v>0.5</v>
      </c>
      <c r="F8" s="2">
        <f t="shared" si="0"/>
        <v>0.5</v>
      </c>
      <c r="G8" s="2">
        <v>48.72</v>
      </c>
      <c r="H8" s="2">
        <f t="shared" si="1"/>
        <v>24.36</v>
      </c>
    </row>
    <row r="9" spans="1:8">
      <c r="B9" t="s">
        <v>60</v>
      </c>
      <c r="C9" s="2">
        <f>A3/1*1000/1000</f>
        <v>1</v>
      </c>
      <c r="D9" t="s">
        <v>13</v>
      </c>
      <c r="E9" s="3">
        <f>2500/10000</f>
        <v>0.25</v>
      </c>
      <c r="F9" s="2">
        <f t="shared" si="0"/>
        <v>0.25</v>
      </c>
      <c r="G9" s="2">
        <v>52.2</v>
      </c>
      <c r="H9" s="2">
        <f t="shared" si="1"/>
        <v>13.05</v>
      </c>
    </row>
    <row r="10" spans="1:8">
      <c r="B10" t="s">
        <v>61</v>
      </c>
      <c r="C10" s="2">
        <f>A3/1*1000/1000</f>
        <v>1</v>
      </c>
      <c r="D10" t="s">
        <v>0</v>
      </c>
      <c r="E10" s="3">
        <f>27500/10000</f>
        <v>2.75</v>
      </c>
      <c r="F10" s="2">
        <f t="shared" si="0"/>
        <v>2.75</v>
      </c>
      <c r="G10" s="2">
        <v>52.2</v>
      </c>
      <c r="H10" s="2">
        <f t="shared" si="1"/>
        <v>143.55000000000001</v>
      </c>
    </row>
    <row r="11" spans="1:8">
      <c r="B11" t="s">
        <v>62</v>
      </c>
      <c r="C11" s="2">
        <v>2.5</v>
      </c>
      <c r="D11" t="s">
        <v>63</v>
      </c>
      <c r="E11" s="3">
        <f>10000/10000</f>
        <v>1</v>
      </c>
      <c r="F11" s="2">
        <f t="shared" si="0"/>
        <v>2.5</v>
      </c>
      <c r="G11" s="2">
        <v>48.72</v>
      </c>
      <c r="H11" s="2">
        <f t="shared" si="1"/>
        <v>121.8</v>
      </c>
    </row>
    <row r="12" spans="1:8">
      <c r="B12" t="s">
        <v>64</v>
      </c>
      <c r="C12" s="2">
        <v>2.5</v>
      </c>
      <c r="D12" t="s">
        <v>63</v>
      </c>
      <c r="E12" s="3">
        <f>5000/10000</f>
        <v>0.5</v>
      </c>
      <c r="F12" s="2">
        <f t="shared" si="0"/>
        <v>1.25</v>
      </c>
      <c r="G12" s="2">
        <v>48.72</v>
      </c>
      <c r="H12" s="2">
        <f t="shared" si="1"/>
        <v>60.9</v>
      </c>
    </row>
    <row r="13" spans="1:8">
      <c r="B13" t="s">
        <v>65</v>
      </c>
      <c r="C13" s="2">
        <f>A3/1*8000/1000</f>
        <v>8</v>
      </c>
      <c r="D13" t="s">
        <v>13</v>
      </c>
      <c r="E13" s="3">
        <f>2500/10000</f>
        <v>0.25</v>
      </c>
      <c r="F13" s="2">
        <f t="shared" si="0"/>
        <v>2</v>
      </c>
      <c r="G13" s="2">
        <v>48.72</v>
      </c>
      <c r="H13" s="2">
        <f t="shared" si="1"/>
        <v>97.44</v>
      </c>
    </row>
    <row r="14" spans="1:8">
      <c r="B14" t="s">
        <v>66</v>
      </c>
      <c r="C14" s="2">
        <f>A3/1*1000/1000</f>
        <v>1</v>
      </c>
      <c r="D14" t="s">
        <v>15</v>
      </c>
      <c r="E14" s="3">
        <f>15000/10000</f>
        <v>1.5</v>
      </c>
      <c r="F14" s="2">
        <f t="shared" si="0"/>
        <v>1.5</v>
      </c>
      <c r="G14" s="2">
        <v>52.2</v>
      </c>
      <c r="H14" s="2">
        <f t="shared" si="1"/>
        <v>78.300000000000011</v>
      </c>
    </row>
    <row r="15" spans="1:8">
      <c r="B15" t="s">
        <v>67</v>
      </c>
      <c r="C15" s="2">
        <f>A3/1*1000/1000</f>
        <v>1</v>
      </c>
      <c r="D15" t="s">
        <v>15</v>
      </c>
      <c r="E15" s="3">
        <f>15000/10000</f>
        <v>1.5</v>
      </c>
      <c r="F15" s="2">
        <f t="shared" si="0"/>
        <v>1.5</v>
      </c>
      <c r="G15" s="2">
        <v>52.2</v>
      </c>
      <c r="H15" s="2">
        <f t="shared" si="1"/>
        <v>78.300000000000011</v>
      </c>
    </row>
    <row r="16" spans="1:8">
      <c r="B16" t="s">
        <v>68</v>
      </c>
      <c r="C16" s="2">
        <f>A3/1*1000/1000</f>
        <v>1</v>
      </c>
      <c r="D16" t="s">
        <v>0</v>
      </c>
      <c r="E16" s="3">
        <f>10000/10000</f>
        <v>1</v>
      </c>
      <c r="F16" s="2">
        <f t="shared" si="0"/>
        <v>1</v>
      </c>
      <c r="G16" s="2">
        <v>52.2</v>
      </c>
      <c r="H16" s="2">
        <f t="shared" si="1"/>
        <v>52.2</v>
      </c>
    </row>
    <row r="17" spans="1:10">
      <c r="B17" t="s">
        <v>69</v>
      </c>
      <c r="C17" s="2">
        <v>2.5</v>
      </c>
      <c r="D17" t="s">
        <v>63</v>
      </c>
      <c r="E17" s="3">
        <f>500/10000</f>
        <v>0.05</v>
      </c>
      <c r="F17" s="2">
        <f t="shared" si="0"/>
        <v>0.125</v>
      </c>
      <c r="G17" s="2">
        <v>52.2</v>
      </c>
      <c r="H17" s="2">
        <f t="shared" si="1"/>
        <v>6.5250000000000004</v>
      </c>
    </row>
    <row r="18" spans="1:10">
      <c r="B18" t="s">
        <v>70</v>
      </c>
      <c r="C18" s="2">
        <v>2.5</v>
      </c>
      <c r="D18" t="s">
        <v>63</v>
      </c>
      <c r="E18" s="3">
        <f>5000/10000</f>
        <v>0.5</v>
      </c>
      <c r="F18" s="2">
        <f t="shared" si="0"/>
        <v>1.25</v>
      </c>
      <c r="G18" s="2">
        <v>48.72</v>
      </c>
      <c r="H18" s="2">
        <f t="shared" si="1"/>
        <v>60.9</v>
      </c>
    </row>
    <row r="19" spans="1:10">
      <c r="B19" t="s">
        <v>71</v>
      </c>
      <c r="C19" s="2">
        <f>A3/1*4000/1000</f>
        <v>4</v>
      </c>
      <c r="D19" t="s">
        <v>13</v>
      </c>
      <c r="E19" s="3">
        <f>1000/10000</f>
        <v>0.1</v>
      </c>
      <c r="F19" s="2">
        <f t="shared" si="0"/>
        <v>0.4</v>
      </c>
      <c r="G19" s="2">
        <v>48.72</v>
      </c>
      <c r="H19" s="2">
        <f t="shared" si="1"/>
        <v>19.488</v>
      </c>
    </row>
    <row r="20" spans="1:10">
      <c r="B20" t="s">
        <v>72</v>
      </c>
      <c r="C20" s="2">
        <f>A3/1*3000/1000</f>
        <v>3</v>
      </c>
      <c r="D20" t="s">
        <v>63</v>
      </c>
      <c r="E20" s="3">
        <f>3500/10000</f>
        <v>0.35</v>
      </c>
      <c r="F20" s="2">
        <f t="shared" si="0"/>
        <v>1.0499999999999998</v>
      </c>
      <c r="G20" s="2">
        <v>48.72</v>
      </c>
      <c r="H20" s="2">
        <f t="shared" si="1"/>
        <v>51.155999999999992</v>
      </c>
    </row>
    <row r="21" spans="1:10">
      <c r="B21" t="s">
        <v>73</v>
      </c>
      <c r="C21" s="2">
        <f>A3/1*3000/1000</f>
        <v>3</v>
      </c>
      <c r="D21" t="s">
        <v>63</v>
      </c>
      <c r="E21" s="3">
        <f>11000/10000</f>
        <v>1.1000000000000001</v>
      </c>
      <c r="F21" s="2">
        <f t="shared" si="0"/>
        <v>3.3000000000000003</v>
      </c>
      <c r="G21" s="2">
        <v>48.72</v>
      </c>
      <c r="H21" s="2">
        <f t="shared" si="1"/>
        <v>160.77600000000001</v>
      </c>
    </row>
    <row r="22" spans="1:10">
      <c r="B22" t="s">
        <v>74</v>
      </c>
      <c r="C22" s="2">
        <f>A3/1*3000/1000</f>
        <v>3</v>
      </c>
      <c r="D22" t="s">
        <v>63</v>
      </c>
      <c r="E22" s="3">
        <f>1500/10000</f>
        <v>0.15</v>
      </c>
      <c r="F22" s="2">
        <f t="shared" si="0"/>
        <v>0.44999999999999996</v>
      </c>
      <c r="G22" s="2">
        <v>48.72</v>
      </c>
      <c r="H22" s="2">
        <f t="shared" si="1"/>
        <v>21.923999999999996</v>
      </c>
    </row>
    <row r="23" spans="1:10">
      <c r="B23" t="s">
        <v>75</v>
      </c>
      <c r="C23" s="2">
        <v>2.5</v>
      </c>
      <c r="D23" t="s">
        <v>63</v>
      </c>
      <c r="E23" s="3">
        <f>13500/10000</f>
        <v>1.35</v>
      </c>
      <c r="F23" s="2">
        <f t="shared" si="0"/>
        <v>3.375</v>
      </c>
      <c r="G23" s="2">
        <v>48.72</v>
      </c>
      <c r="H23" s="2">
        <f t="shared" si="1"/>
        <v>164.43</v>
      </c>
    </row>
    <row r="24" spans="1:10">
      <c r="B24" t="s">
        <v>76</v>
      </c>
      <c r="C24" s="2">
        <v>2.5</v>
      </c>
      <c r="D24" t="s">
        <v>63</v>
      </c>
      <c r="E24" s="3">
        <f>1500/10000</f>
        <v>0.15</v>
      </c>
      <c r="F24" s="2">
        <f t="shared" si="0"/>
        <v>0.375</v>
      </c>
      <c r="G24" s="2">
        <v>48.72</v>
      </c>
      <c r="H24" s="2">
        <f t="shared" si="1"/>
        <v>18.27</v>
      </c>
    </row>
    <row r="25" spans="1:10">
      <c r="B25" t="s">
        <v>77</v>
      </c>
      <c r="C25" s="2">
        <f>A3/1*8000/1000</f>
        <v>8</v>
      </c>
      <c r="D25" t="s">
        <v>13</v>
      </c>
      <c r="E25" s="3">
        <f>1000/10000</f>
        <v>0.1</v>
      </c>
      <c r="F25" s="2">
        <f t="shared" si="0"/>
        <v>0.8</v>
      </c>
      <c r="G25" s="2">
        <v>48.72</v>
      </c>
      <c r="H25" s="2">
        <f t="shared" si="1"/>
        <v>38.975999999999999</v>
      </c>
    </row>
    <row r="26" spans="1:10">
      <c r="B26" t="s">
        <v>78</v>
      </c>
      <c r="C26" s="2">
        <f>A3/1*1000/1000</f>
        <v>1</v>
      </c>
      <c r="D26" t="s">
        <v>0</v>
      </c>
      <c r="E26" s="3">
        <f>4000/10000</f>
        <v>0.4</v>
      </c>
      <c r="F26" s="2">
        <f t="shared" si="0"/>
        <v>0.4</v>
      </c>
      <c r="G26" s="2">
        <v>52.2</v>
      </c>
      <c r="H26" s="2">
        <f t="shared" si="1"/>
        <v>20.880000000000003</v>
      </c>
    </row>
    <row r="27" spans="1:10">
      <c r="B27" t="s">
        <v>79</v>
      </c>
      <c r="C27" s="2">
        <f>A3/1*1000/1000</f>
        <v>1</v>
      </c>
      <c r="D27" t="s">
        <v>0</v>
      </c>
      <c r="E27" s="3">
        <f>3000/10000</f>
        <v>0.3</v>
      </c>
      <c r="F27" s="2">
        <f t="shared" si="0"/>
        <v>0.3</v>
      </c>
      <c r="G27" s="2">
        <v>52.2</v>
      </c>
      <c r="H27" s="2">
        <f t="shared" si="1"/>
        <v>15.66</v>
      </c>
    </row>
    <row r="28" spans="1:10">
      <c r="B28" t="s">
        <v>80</v>
      </c>
      <c r="C28" s="2">
        <f>A3/1*150/1000</f>
        <v>0.15</v>
      </c>
      <c r="D28" t="s">
        <v>81</v>
      </c>
      <c r="E28" s="3">
        <f>10000/10000</f>
        <v>1</v>
      </c>
      <c r="F28" s="2">
        <f t="shared" si="0"/>
        <v>0.15</v>
      </c>
      <c r="G28" s="2">
        <v>48.72</v>
      </c>
      <c r="H28" s="2">
        <f t="shared" si="1"/>
        <v>7.3079999999999998</v>
      </c>
    </row>
    <row r="29" spans="1:10">
      <c r="B29" t="s">
        <v>14</v>
      </c>
      <c r="C29" s="2">
        <f>A3/1*1000/1000</f>
        <v>1</v>
      </c>
      <c r="D29" t="s">
        <v>15</v>
      </c>
      <c r="E29" s="3">
        <f>3000/10000</f>
        <v>0.3</v>
      </c>
      <c r="F29" s="2">
        <f t="shared" si="0"/>
        <v>0.3</v>
      </c>
      <c r="G29" s="2">
        <v>48.72</v>
      </c>
      <c r="H29" s="2">
        <f t="shared" si="1"/>
        <v>14.616</v>
      </c>
    </row>
    <row r="30" spans="1:10">
      <c r="B30" s="1" t="s">
        <v>16</v>
      </c>
      <c r="F30" s="4">
        <f>SUM(F6:F29)</f>
        <v>26.465</v>
      </c>
      <c r="H30" s="4">
        <f>SUM(H6:H29)</f>
        <v>1316.6058</v>
      </c>
      <c r="J30" s="5">
        <f>H30*1.17</f>
        <v>1540.4287859999999</v>
      </c>
    </row>
    <row r="31" spans="1:10">
      <c r="A31" s="1" t="s">
        <v>17</v>
      </c>
      <c r="B31" t="s">
        <v>82</v>
      </c>
      <c r="C31" s="2">
        <f>A3/1*2</f>
        <v>2</v>
      </c>
      <c r="D31" t="s">
        <v>0</v>
      </c>
      <c r="E31" s="3" t="s">
        <v>18</v>
      </c>
      <c r="F31" s="2" t="s">
        <v>18</v>
      </c>
      <c r="G31" s="2">
        <f>(758/100)</f>
        <v>7.58</v>
      </c>
      <c r="H31" s="2">
        <f t="shared" ref="H31:H49" si="2">C31*G31</f>
        <v>15.16</v>
      </c>
    </row>
    <row r="32" spans="1:10">
      <c r="B32" t="s">
        <v>83</v>
      </c>
      <c r="C32" s="2">
        <f>A3/1*6</f>
        <v>6</v>
      </c>
      <c r="D32" t="s">
        <v>63</v>
      </c>
      <c r="E32" s="3" t="s">
        <v>18</v>
      </c>
      <c r="F32" s="2" t="s">
        <v>18</v>
      </c>
      <c r="G32" s="2">
        <f>(144/100)</f>
        <v>1.44</v>
      </c>
      <c r="H32" s="2">
        <f t="shared" si="2"/>
        <v>8.64</v>
      </c>
    </row>
    <row r="33" spans="2:8">
      <c r="B33" t="s">
        <v>84</v>
      </c>
      <c r="C33" s="2">
        <f>A3/1*1</f>
        <v>1</v>
      </c>
      <c r="D33" t="s">
        <v>85</v>
      </c>
      <c r="E33" s="3" t="s">
        <v>18</v>
      </c>
      <c r="F33" s="2" t="s">
        <v>18</v>
      </c>
      <c r="G33" s="2">
        <f>(385/10)</f>
        <v>38.5</v>
      </c>
      <c r="H33" s="2">
        <f t="shared" si="2"/>
        <v>38.5</v>
      </c>
    </row>
    <row r="34" spans="2:8">
      <c r="B34" t="s">
        <v>86</v>
      </c>
      <c r="C34" s="2">
        <f>A3/1*4</f>
        <v>4</v>
      </c>
      <c r="D34" t="s">
        <v>13</v>
      </c>
      <c r="E34" s="3" t="s">
        <v>18</v>
      </c>
      <c r="F34" s="2" t="s">
        <v>18</v>
      </c>
      <c r="G34" s="2">
        <f>(425/100)</f>
        <v>4.25</v>
      </c>
      <c r="H34" s="2">
        <f t="shared" si="2"/>
        <v>17</v>
      </c>
    </row>
    <row r="35" spans="2:8">
      <c r="B35" t="s">
        <v>87</v>
      </c>
      <c r="C35" s="2">
        <f>A3/1*3</f>
        <v>3</v>
      </c>
      <c r="D35" t="s">
        <v>88</v>
      </c>
      <c r="E35" s="3" t="s">
        <v>18</v>
      </c>
      <c r="F35" s="2" t="s">
        <v>18</v>
      </c>
      <c r="G35" s="2">
        <f>(727/100)</f>
        <v>7.27</v>
      </c>
      <c r="H35" s="2">
        <f t="shared" si="2"/>
        <v>21.81</v>
      </c>
    </row>
    <row r="36" spans="2:8">
      <c r="B36" t="s">
        <v>89</v>
      </c>
      <c r="C36" s="2">
        <f>A3/1*22</f>
        <v>22</v>
      </c>
      <c r="D36" t="s">
        <v>88</v>
      </c>
      <c r="E36" s="3" t="s">
        <v>18</v>
      </c>
      <c r="F36" s="2" t="s">
        <v>18</v>
      </c>
      <c r="G36" s="2">
        <f>(106/100)</f>
        <v>1.06</v>
      </c>
      <c r="H36" s="2">
        <f t="shared" si="2"/>
        <v>23.32</v>
      </c>
    </row>
    <row r="37" spans="2:8">
      <c r="B37" t="s">
        <v>90</v>
      </c>
      <c r="C37" s="2">
        <f>A3/1*4</f>
        <v>4</v>
      </c>
      <c r="D37" t="s">
        <v>88</v>
      </c>
      <c r="E37" s="3" t="s">
        <v>18</v>
      </c>
      <c r="F37" s="2" t="s">
        <v>18</v>
      </c>
      <c r="G37" s="2">
        <f>(197/100)</f>
        <v>1.97</v>
      </c>
      <c r="H37" s="2">
        <f t="shared" si="2"/>
        <v>7.88</v>
      </c>
    </row>
    <row r="38" spans="2:8">
      <c r="B38" t="s">
        <v>91</v>
      </c>
      <c r="C38" s="2">
        <f>A3/1*1</f>
        <v>1</v>
      </c>
      <c r="D38" t="s">
        <v>0</v>
      </c>
      <c r="E38" s="3" t="s">
        <v>18</v>
      </c>
      <c r="F38" s="2" t="s">
        <v>18</v>
      </c>
      <c r="G38" s="2">
        <f>(1702/100)</f>
        <v>17.02</v>
      </c>
      <c r="H38" s="2">
        <f t="shared" si="2"/>
        <v>17.02</v>
      </c>
    </row>
    <row r="39" spans="2:8">
      <c r="B39" t="s">
        <v>92</v>
      </c>
      <c r="C39" s="2">
        <f>A3/1*(32/10)</f>
        <v>3.2</v>
      </c>
      <c r="D39" t="s">
        <v>63</v>
      </c>
      <c r="E39" s="3" t="s">
        <v>18</v>
      </c>
      <c r="F39" s="2" t="s">
        <v>18</v>
      </c>
      <c r="G39" s="2">
        <f>33</f>
        <v>33</v>
      </c>
      <c r="H39" s="2">
        <f t="shared" si="2"/>
        <v>105.60000000000001</v>
      </c>
    </row>
    <row r="40" spans="2:8">
      <c r="B40" t="s">
        <v>93</v>
      </c>
      <c r="C40" s="2">
        <v>2.5</v>
      </c>
      <c r="D40" t="s">
        <v>63</v>
      </c>
      <c r="E40" s="3" t="s">
        <v>18</v>
      </c>
      <c r="F40" s="2" t="s">
        <v>18</v>
      </c>
      <c r="G40" s="2">
        <f>59</f>
        <v>59</v>
      </c>
      <c r="H40" s="2">
        <f t="shared" si="2"/>
        <v>147.5</v>
      </c>
    </row>
    <row r="41" spans="2:8">
      <c r="B41" t="s">
        <v>94</v>
      </c>
      <c r="C41" s="2">
        <f>A3/1*5</f>
        <v>5</v>
      </c>
      <c r="D41" t="s">
        <v>88</v>
      </c>
      <c r="E41" s="3" t="s">
        <v>18</v>
      </c>
      <c r="F41" s="2" t="s">
        <v>18</v>
      </c>
      <c r="G41" s="2">
        <f>(222/100)</f>
        <v>2.2200000000000002</v>
      </c>
      <c r="H41" s="2">
        <f t="shared" si="2"/>
        <v>11.100000000000001</v>
      </c>
    </row>
    <row r="42" spans="2:8">
      <c r="B42" t="s">
        <v>95</v>
      </c>
      <c r="C42" s="2">
        <f>A3/1*1</f>
        <v>1</v>
      </c>
      <c r="D42" t="s">
        <v>0</v>
      </c>
      <c r="E42" s="3" t="s">
        <v>18</v>
      </c>
      <c r="F42" s="2" t="s">
        <v>18</v>
      </c>
      <c r="G42" s="2">
        <f>(4359/100)</f>
        <v>43.59</v>
      </c>
      <c r="H42" s="2">
        <f t="shared" si="2"/>
        <v>43.59</v>
      </c>
    </row>
    <row r="43" spans="2:8">
      <c r="B43" t="s">
        <v>96</v>
      </c>
      <c r="C43" s="2">
        <f>A3/1*(15/10)</f>
        <v>1.5</v>
      </c>
      <c r="D43" t="s">
        <v>97</v>
      </c>
      <c r="E43" s="3" t="s">
        <v>18</v>
      </c>
      <c r="F43" s="2" t="s">
        <v>18</v>
      </c>
      <c r="G43" s="2">
        <f>(589/100)</f>
        <v>5.89</v>
      </c>
      <c r="H43" s="2">
        <f t="shared" si="2"/>
        <v>8.8349999999999991</v>
      </c>
    </row>
    <row r="44" spans="2:8">
      <c r="B44" t="s">
        <v>98</v>
      </c>
      <c r="C44" s="2">
        <f>A3/1*1</f>
        <v>1</v>
      </c>
      <c r="D44" t="s">
        <v>15</v>
      </c>
      <c r="E44" s="3" t="s">
        <v>18</v>
      </c>
      <c r="F44" s="2" t="s">
        <v>18</v>
      </c>
      <c r="G44" s="2">
        <f>(275/10)</f>
        <v>27.5</v>
      </c>
      <c r="H44" s="2">
        <f t="shared" si="2"/>
        <v>27.5</v>
      </c>
    </row>
    <row r="45" spans="2:8">
      <c r="B45" t="s">
        <v>99</v>
      </c>
      <c r="C45" s="2">
        <f>A3/1*1</f>
        <v>1</v>
      </c>
      <c r="D45" t="s">
        <v>15</v>
      </c>
      <c r="E45" s="3" t="s">
        <v>18</v>
      </c>
      <c r="F45" s="2" t="s">
        <v>18</v>
      </c>
      <c r="G45" s="2">
        <f>50</f>
        <v>50</v>
      </c>
      <c r="H45" s="2">
        <f t="shared" si="2"/>
        <v>50</v>
      </c>
    </row>
    <row r="46" spans="2:8">
      <c r="B46" t="s">
        <v>100</v>
      </c>
      <c r="C46" s="2">
        <f>A3/1*1</f>
        <v>1</v>
      </c>
      <c r="D46" t="s">
        <v>0</v>
      </c>
      <c r="E46" s="3" t="s">
        <v>18</v>
      </c>
      <c r="F46" s="2" t="s">
        <v>18</v>
      </c>
      <c r="G46" s="2">
        <f>(31379/100)</f>
        <v>313.79000000000002</v>
      </c>
      <c r="H46" s="2">
        <f t="shared" si="2"/>
        <v>313.79000000000002</v>
      </c>
    </row>
    <row r="47" spans="2:8">
      <c r="B47" t="s">
        <v>21</v>
      </c>
      <c r="C47" s="2">
        <f>A3/1*1</f>
        <v>1</v>
      </c>
      <c r="D47" t="s">
        <v>15</v>
      </c>
      <c r="E47" s="3" t="s">
        <v>18</v>
      </c>
      <c r="F47" s="2" t="s">
        <v>18</v>
      </c>
      <c r="G47" s="2">
        <f>25</f>
        <v>25</v>
      </c>
      <c r="H47" s="2">
        <f t="shared" si="2"/>
        <v>25</v>
      </c>
    </row>
    <row r="48" spans="2:8">
      <c r="B48" t="s">
        <v>101</v>
      </c>
      <c r="C48" s="2">
        <f>A3/1*1</f>
        <v>1</v>
      </c>
      <c r="D48" t="s">
        <v>15</v>
      </c>
      <c r="E48" s="3" t="s">
        <v>18</v>
      </c>
      <c r="F48" s="2" t="s">
        <v>18</v>
      </c>
      <c r="G48" s="2">
        <f>100</f>
        <v>100</v>
      </c>
      <c r="H48" s="2">
        <f t="shared" si="2"/>
        <v>100</v>
      </c>
    </row>
    <row r="49" spans="1:12">
      <c r="B49" t="s">
        <v>102</v>
      </c>
      <c r="C49" s="2">
        <f>A3/1*(8/10)</f>
        <v>0.8</v>
      </c>
      <c r="D49" t="s">
        <v>81</v>
      </c>
      <c r="E49" s="3" t="s">
        <v>18</v>
      </c>
      <c r="F49" s="2" t="s">
        <v>18</v>
      </c>
      <c r="G49" s="2">
        <f>(5372/100)</f>
        <v>53.72</v>
      </c>
      <c r="H49" s="2">
        <f t="shared" si="2"/>
        <v>42.975999999999999</v>
      </c>
    </row>
    <row r="50" spans="1:12">
      <c r="B50" s="1" t="s">
        <v>22</v>
      </c>
      <c r="H50" s="4">
        <f>SUM(H31:H49)</f>
        <v>1025.221</v>
      </c>
      <c r="J50" s="5">
        <f t="shared" ref="J50:J51" si="3">H50*1.17</f>
        <v>1199.50857</v>
      </c>
    </row>
    <row r="51" spans="1:12">
      <c r="A51" s="1" t="s">
        <v>23</v>
      </c>
      <c r="B51" s="1" t="s">
        <v>24</v>
      </c>
      <c r="H51" s="4">
        <f>H30+H50</f>
        <v>2341.8267999999998</v>
      </c>
      <c r="J51" s="5">
        <f t="shared" si="3"/>
        <v>2739.9373559999995</v>
      </c>
      <c r="L51" s="5">
        <f>J51*1.21</f>
        <v>3315.3242007599993</v>
      </c>
    </row>
  </sheetData>
  <pageMargins left="0.7" right="0.7" top="0.75" bottom="0.75" header="0.3" footer="0.3"/>
  <pageSetup paperSize="9" orientation="portrait" r:id="rId1"/>
  <ignoredErrors>
    <ignoredError sqref="E23:E2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0FF0-DA72-4E6B-B120-D73A045891F2}">
  <dimension ref="A1:L56"/>
  <sheetViews>
    <sheetView topLeftCell="D22" workbookViewId="0">
      <selection activeCell="J33" sqref="J33:L56"/>
    </sheetView>
  </sheetViews>
  <sheetFormatPr defaultRowHeight="15"/>
  <cols>
    <col min="1" max="1" width="17.85546875" customWidth="1"/>
    <col min="2" max="2" width="92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6" t="s">
        <v>103</v>
      </c>
    </row>
    <row r="3" spans="1:8">
      <c r="A3">
        <v>1</v>
      </c>
      <c r="B3" t="s">
        <v>56</v>
      </c>
    </row>
    <row r="5" spans="1:8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>
      <c r="A6" s="6" t="s">
        <v>9</v>
      </c>
      <c r="B6" t="s">
        <v>57</v>
      </c>
      <c r="C6" s="2">
        <f>A3/1*2000/1000</f>
        <v>2</v>
      </c>
      <c r="D6" t="s">
        <v>0</v>
      </c>
      <c r="E6" s="3">
        <f>200/10000</f>
        <v>0.02</v>
      </c>
      <c r="F6" s="2">
        <f t="shared" ref="F6:F32" si="0">C6*E6</f>
        <v>0.04</v>
      </c>
      <c r="G6" s="2">
        <v>48.72</v>
      </c>
      <c r="H6" s="2">
        <f t="shared" ref="H6:H32" si="1">F6*G6</f>
        <v>1.9488000000000001</v>
      </c>
    </row>
    <row r="7" spans="1:8">
      <c r="B7" t="s">
        <v>58</v>
      </c>
      <c r="C7" s="2">
        <f>A3/1*6000/1000</f>
        <v>6</v>
      </c>
      <c r="D7" t="s">
        <v>13</v>
      </c>
      <c r="E7" s="3">
        <f>1500/10000</f>
        <v>0.15</v>
      </c>
      <c r="F7" s="2">
        <f t="shared" si="0"/>
        <v>0.89999999999999991</v>
      </c>
      <c r="G7" s="2">
        <v>48.72</v>
      </c>
      <c r="H7" s="2">
        <f t="shared" si="1"/>
        <v>43.847999999999992</v>
      </c>
    </row>
    <row r="8" spans="1:8">
      <c r="B8" t="s">
        <v>59</v>
      </c>
      <c r="C8" s="2">
        <f>A3/1*1000/1000</f>
        <v>1</v>
      </c>
      <c r="D8" t="s">
        <v>0</v>
      </c>
      <c r="E8" s="3">
        <f>5000/10000</f>
        <v>0.5</v>
      </c>
      <c r="F8" s="2">
        <f t="shared" si="0"/>
        <v>0.5</v>
      </c>
      <c r="G8" s="2">
        <v>48.72</v>
      </c>
      <c r="H8" s="2">
        <f t="shared" si="1"/>
        <v>24.36</v>
      </c>
    </row>
    <row r="9" spans="1:8">
      <c r="B9" t="s">
        <v>60</v>
      </c>
      <c r="C9" s="2">
        <f>A3/1*1000/1000</f>
        <v>1</v>
      </c>
      <c r="D9" t="s">
        <v>13</v>
      </c>
      <c r="E9" s="3">
        <f>2500/10000</f>
        <v>0.25</v>
      </c>
      <c r="F9" s="2">
        <f t="shared" si="0"/>
        <v>0.25</v>
      </c>
      <c r="G9" s="2">
        <v>52.2</v>
      </c>
      <c r="H9" s="2">
        <f t="shared" si="1"/>
        <v>13.05</v>
      </c>
    </row>
    <row r="10" spans="1:8">
      <c r="B10" t="s">
        <v>61</v>
      </c>
      <c r="C10" s="2">
        <f>A3/1*1000/1000</f>
        <v>1</v>
      </c>
      <c r="D10" t="s">
        <v>0</v>
      </c>
      <c r="E10" s="3">
        <f>27500/10000</f>
        <v>2.75</v>
      </c>
      <c r="F10" s="2">
        <f t="shared" si="0"/>
        <v>2.75</v>
      </c>
      <c r="G10" s="2">
        <v>52.2</v>
      </c>
      <c r="H10" s="2">
        <f t="shared" si="1"/>
        <v>143.55000000000001</v>
      </c>
    </row>
    <row r="11" spans="1:8">
      <c r="B11" t="s">
        <v>62</v>
      </c>
      <c r="C11" s="2">
        <f>A3/1*2000/1000</f>
        <v>2</v>
      </c>
      <c r="D11" t="s">
        <v>63</v>
      </c>
      <c r="E11" s="3">
        <f>10000/10000</f>
        <v>1</v>
      </c>
      <c r="F11" s="2">
        <f t="shared" si="0"/>
        <v>2</v>
      </c>
      <c r="G11" s="2">
        <v>48.72</v>
      </c>
      <c r="H11" s="2">
        <f t="shared" si="1"/>
        <v>97.44</v>
      </c>
    </row>
    <row r="12" spans="1:8">
      <c r="B12" t="s">
        <v>64</v>
      </c>
      <c r="C12" s="2">
        <f>A3/1*2000/1000</f>
        <v>2</v>
      </c>
      <c r="D12" t="s">
        <v>63</v>
      </c>
      <c r="E12" s="3">
        <f>5000/10000</f>
        <v>0.5</v>
      </c>
      <c r="F12" s="2">
        <f t="shared" si="0"/>
        <v>1</v>
      </c>
      <c r="G12" s="2">
        <v>48.72</v>
      </c>
      <c r="H12" s="2">
        <f t="shared" si="1"/>
        <v>48.72</v>
      </c>
    </row>
    <row r="13" spans="1:8">
      <c r="B13" t="s">
        <v>65</v>
      </c>
      <c r="C13" s="2">
        <f>A3/1*8000/1000</f>
        <v>8</v>
      </c>
      <c r="D13" t="s">
        <v>13</v>
      </c>
      <c r="E13" s="3">
        <f>2500/10000</f>
        <v>0.25</v>
      </c>
      <c r="F13" s="2">
        <f t="shared" si="0"/>
        <v>2</v>
      </c>
      <c r="G13" s="2">
        <v>48.72</v>
      </c>
      <c r="H13" s="2">
        <f t="shared" si="1"/>
        <v>97.44</v>
      </c>
    </row>
    <row r="14" spans="1:8">
      <c r="B14" t="s">
        <v>66</v>
      </c>
      <c r="C14" s="2">
        <f>A3/1*1000/1000</f>
        <v>1</v>
      </c>
      <c r="D14" t="s">
        <v>15</v>
      </c>
      <c r="E14" s="3">
        <f>15000/10000</f>
        <v>1.5</v>
      </c>
      <c r="F14" s="2">
        <f t="shared" si="0"/>
        <v>1.5</v>
      </c>
      <c r="G14" s="2">
        <v>52.2</v>
      </c>
      <c r="H14" s="2">
        <f t="shared" si="1"/>
        <v>78.300000000000011</v>
      </c>
    </row>
    <row r="15" spans="1:8">
      <c r="B15" t="s">
        <v>67</v>
      </c>
      <c r="C15" s="2">
        <f>A3/1*1000/1000</f>
        <v>1</v>
      </c>
      <c r="D15" t="s">
        <v>15</v>
      </c>
      <c r="E15" s="3">
        <f>15000/10000</f>
        <v>1.5</v>
      </c>
      <c r="F15" s="2">
        <f t="shared" si="0"/>
        <v>1.5</v>
      </c>
      <c r="G15" s="2">
        <v>52.2</v>
      </c>
      <c r="H15" s="2">
        <f t="shared" si="1"/>
        <v>78.300000000000011</v>
      </c>
    </row>
    <row r="16" spans="1:8">
      <c r="B16" t="s">
        <v>104</v>
      </c>
      <c r="C16" s="2">
        <f>A3/1*2000/1000</f>
        <v>2</v>
      </c>
      <c r="D16" t="s">
        <v>63</v>
      </c>
      <c r="E16" s="3">
        <f>1200/10000</f>
        <v>0.12</v>
      </c>
      <c r="F16" s="2">
        <f t="shared" si="0"/>
        <v>0.24</v>
      </c>
      <c r="G16" s="2">
        <v>52.2</v>
      </c>
      <c r="H16" s="2">
        <f t="shared" si="1"/>
        <v>12.528</v>
      </c>
    </row>
    <row r="17" spans="2:8">
      <c r="B17" t="s">
        <v>70</v>
      </c>
      <c r="C17" s="2">
        <f>A3/1*2000/1000</f>
        <v>2</v>
      </c>
      <c r="D17" t="s">
        <v>63</v>
      </c>
      <c r="E17" s="3">
        <f>5000/10000</f>
        <v>0.5</v>
      </c>
      <c r="F17" s="2">
        <f t="shared" si="0"/>
        <v>1</v>
      </c>
      <c r="G17" s="2">
        <v>48.72</v>
      </c>
      <c r="H17" s="2">
        <f t="shared" si="1"/>
        <v>48.72</v>
      </c>
    </row>
    <row r="18" spans="2:8">
      <c r="B18" t="s">
        <v>71</v>
      </c>
      <c r="C18" s="2">
        <f>A3/1*2000/1000</f>
        <v>2</v>
      </c>
      <c r="D18" t="s">
        <v>13</v>
      </c>
      <c r="E18" s="3">
        <f>1000/10000</f>
        <v>0.1</v>
      </c>
      <c r="F18" s="2">
        <f t="shared" si="0"/>
        <v>0.2</v>
      </c>
      <c r="G18" s="2">
        <v>48.72</v>
      </c>
      <c r="H18" s="2">
        <f t="shared" si="1"/>
        <v>9.7439999999999998</v>
      </c>
    </row>
    <row r="19" spans="2:8">
      <c r="B19" t="s">
        <v>105</v>
      </c>
      <c r="C19" s="2">
        <f>A3/1*1000/1000</f>
        <v>1</v>
      </c>
      <c r="D19" t="s">
        <v>34</v>
      </c>
      <c r="E19" s="3">
        <f>2000/10000</f>
        <v>0.2</v>
      </c>
      <c r="F19" s="2">
        <f t="shared" si="0"/>
        <v>0.2</v>
      </c>
      <c r="G19" s="2">
        <v>52.2</v>
      </c>
      <c r="H19" s="2">
        <f t="shared" si="1"/>
        <v>10.440000000000001</v>
      </c>
    </row>
    <row r="20" spans="2:8">
      <c r="B20" t="s">
        <v>106</v>
      </c>
      <c r="C20" s="2">
        <f>A3/1*1000/1000</f>
        <v>1</v>
      </c>
      <c r="D20" t="s">
        <v>0</v>
      </c>
      <c r="E20" s="3">
        <f>2000/10000</f>
        <v>0.2</v>
      </c>
      <c r="F20" s="2">
        <f t="shared" si="0"/>
        <v>0.2</v>
      </c>
      <c r="G20" s="2">
        <v>52.2</v>
      </c>
      <c r="H20" s="2">
        <f t="shared" si="1"/>
        <v>10.440000000000001</v>
      </c>
    </row>
    <row r="21" spans="2:8">
      <c r="B21" t="s">
        <v>107</v>
      </c>
      <c r="C21" s="2">
        <f>A3/1*1000/1000</f>
        <v>1</v>
      </c>
      <c r="D21" t="s">
        <v>0</v>
      </c>
      <c r="E21" s="3">
        <f>5000/10000</f>
        <v>0.5</v>
      </c>
      <c r="F21" s="2">
        <f t="shared" si="0"/>
        <v>0.5</v>
      </c>
      <c r="G21" s="2">
        <v>52.2</v>
      </c>
      <c r="H21" s="2">
        <f t="shared" si="1"/>
        <v>26.1</v>
      </c>
    </row>
    <row r="22" spans="2:8">
      <c r="B22" t="s">
        <v>108</v>
      </c>
      <c r="C22" s="2">
        <f>A3/1*1000/1000</f>
        <v>1</v>
      </c>
      <c r="D22" t="s">
        <v>0</v>
      </c>
      <c r="E22" s="3">
        <f>3000/10000</f>
        <v>0.3</v>
      </c>
      <c r="F22" s="2">
        <f t="shared" si="0"/>
        <v>0.3</v>
      </c>
      <c r="G22" s="2">
        <v>52.2</v>
      </c>
      <c r="H22" s="2">
        <f t="shared" si="1"/>
        <v>15.66</v>
      </c>
    </row>
    <row r="23" spans="2:8">
      <c r="B23" t="s">
        <v>72</v>
      </c>
      <c r="C23" s="2">
        <f>A3/1*3000/1000</f>
        <v>3</v>
      </c>
      <c r="D23" t="s">
        <v>63</v>
      </c>
      <c r="E23" s="3">
        <f>3500/10000</f>
        <v>0.35</v>
      </c>
      <c r="F23" s="2">
        <f t="shared" si="0"/>
        <v>1.0499999999999998</v>
      </c>
      <c r="G23" s="2">
        <v>48.72</v>
      </c>
      <c r="H23" s="2">
        <f t="shared" si="1"/>
        <v>51.155999999999992</v>
      </c>
    </row>
    <row r="24" spans="2:8">
      <c r="B24" t="s">
        <v>73</v>
      </c>
      <c r="C24" s="2">
        <f>A3/1*3000/1000</f>
        <v>3</v>
      </c>
      <c r="D24" t="s">
        <v>63</v>
      </c>
      <c r="E24" s="3">
        <f>11000/10000</f>
        <v>1.1000000000000001</v>
      </c>
      <c r="F24" s="2">
        <f t="shared" si="0"/>
        <v>3.3000000000000003</v>
      </c>
      <c r="G24" s="2">
        <v>48.72</v>
      </c>
      <c r="H24" s="2">
        <f t="shared" si="1"/>
        <v>160.77600000000001</v>
      </c>
    </row>
    <row r="25" spans="2:8">
      <c r="B25" t="s">
        <v>74</v>
      </c>
      <c r="C25" s="2">
        <f>A3/1*3000/1000</f>
        <v>3</v>
      </c>
      <c r="D25" t="s">
        <v>63</v>
      </c>
      <c r="E25" s="3">
        <f>1500/10000</f>
        <v>0.15</v>
      </c>
      <c r="F25" s="2">
        <f t="shared" si="0"/>
        <v>0.44999999999999996</v>
      </c>
      <c r="G25" s="2">
        <v>48.72</v>
      </c>
      <c r="H25" s="2">
        <f t="shared" si="1"/>
        <v>21.923999999999996</v>
      </c>
    </row>
    <row r="26" spans="2:8">
      <c r="B26" t="s">
        <v>75</v>
      </c>
      <c r="C26" s="2">
        <f>A3/1*1000/1000</f>
        <v>1</v>
      </c>
      <c r="D26" t="s">
        <v>63</v>
      </c>
      <c r="E26" s="3">
        <f>13500/10000</f>
        <v>1.35</v>
      </c>
      <c r="F26" s="2">
        <f t="shared" si="0"/>
        <v>1.35</v>
      </c>
      <c r="G26" s="2">
        <v>48.72</v>
      </c>
      <c r="H26" s="2">
        <f t="shared" si="1"/>
        <v>65.772000000000006</v>
      </c>
    </row>
    <row r="27" spans="2:8">
      <c r="B27" t="s">
        <v>76</v>
      </c>
      <c r="C27" s="2">
        <f>A3/1*1000/1000</f>
        <v>1</v>
      </c>
      <c r="D27" t="s">
        <v>63</v>
      </c>
      <c r="E27" s="3">
        <f>1500/10000</f>
        <v>0.15</v>
      </c>
      <c r="F27" s="2">
        <f t="shared" si="0"/>
        <v>0.15</v>
      </c>
      <c r="G27" s="2">
        <v>48.72</v>
      </c>
      <c r="H27" s="2">
        <f t="shared" si="1"/>
        <v>7.3079999999999998</v>
      </c>
    </row>
    <row r="28" spans="2:8">
      <c r="B28" t="s">
        <v>77</v>
      </c>
      <c r="C28" s="2">
        <f>A3/1*8000/1000</f>
        <v>8</v>
      </c>
      <c r="D28" t="s">
        <v>13</v>
      </c>
      <c r="E28" s="3">
        <f>1000/10000</f>
        <v>0.1</v>
      </c>
      <c r="F28" s="2">
        <f t="shared" si="0"/>
        <v>0.8</v>
      </c>
      <c r="G28" s="2">
        <v>48.72</v>
      </c>
      <c r="H28" s="2">
        <f t="shared" si="1"/>
        <v>38.975999999999999</v>
      </c>
    </row>
    <row r="29" spans="2:8">
      <c r="B29" t="s">
        <v>78</v>
      </c>
      <c r="C29" s="2">
        <f>A3/1*1000/1000</f>
        <v>1</v>
      </c>
      <c r="D29" t="s">
        <v>0</v>
      </c>
      <c r="E29" s="3">
        <f>4000/10000</f>
        <v>0.4</v>
      </c>
      <c r="F29" s="2">
        <f t="shared" si="0"/>
        <v>0.4</v>
      </c>
      <c r="G29" s="2">
        <v>52.2</v>
      </c>
      <c r="H29" s="2">
        <f t="shared" si="1"/>
        <v>20.880000000000003</v>
      </c>
    </row>
    <row r="30" spans="2:8">
      <c r="B30" t="s">
        <v>79</v>
      </c>
      <c r="C30" s="2">
        <f>A3/1*1000/1000</f>
        <v>1</v>
      </c>
      <c r="D30" t="s">
        <v>0</v>
      </c>
      <c r="E30" s="3">
        <f>3000/10000</f>
        <v>0.3</v>
      </c>
      <c r="F30" s="2">
        <f t="shared" si="0"/>
        <v>0.3</v>
      </c>
      <c r="G30" s="2">
        <v>52.2</v>
      </c>
      <c r="H30" s="2">
        <f t="shared" si="1"/>
        <v>15.66</v>
      </c>
    </row>
    <row r="31" spans="2:8">
      <c r="B31" t="s">
        <v>80</v>
      </c>
      <c r="C31" s="2">
        <f>A3/1*150/1000</f>
        <v>0.15</v>
      </c>
      <c r="D31" t="s">
        <v>81</v>
      </c>
      <c r="E31" s="3">
        <f>10000/10000</f>
        <v>1</v>
      </c>
      <c r="F31" s="2">
        <f t="shared" si="0"/>
        <v>0.15</v>
      </c>
      <c r="G31" s="2">
        <v>48.72</v>
      </c>
      <c r="H31" s="2">
        <f t="shared" si="1"/>
        <v>7.3079999999999998</v>
      </c>
    </row>
    <row r="32" spans="2:8">
      <c r="B32" t="s">
        <v>14</v>
      </c>
      <c r="C32" s="2">
        <f>A3/1*1000/1000</f>
        <v>1</v>
      </c>
      <c r="D32" t="s">
        <v>15</v>
      </c>
      <c r="E32" s="3">
        <f>3000/10000</f>
        <v>0.3</v>
      </c>
      <c r="F32" s="2">
        <f t="shared" si="0"/>
        <v>0.3</v>
      </c>
      <c r="G32" s="2">
        <v>48.72</v>
      </c>
      <c r="H32" s="2">
        <f t="shared" si="1"/>
        <v>14.616</v>
      </c>
    </row>
    <row r="33" spans="1:12">
      <c r="B33" s="6" t="s">
        <v>16</v>
      </c>
      <c r="F33" s="5">
        <f>SUM(F6:F32)</f>
        <v>23.33</v>
      </c>
      <c r="H33" s="5">
        <f>SUM(H6:H32)</f>
        <v>1164.9648</v>
      </c>
      <c r="J33" s="5">
        <f>H33*1.17</f>
        <v>1363.0088159999998</v>
      </c>
      <c r="K33" s="2"/>
      <c r="L33" s="2"/>
    </row>
    <row r="34" spans="1:12">
      <c r="A34" s="6" t="s">
        <v>17</v>
      </c>
      <c r="B34" t="s">
        <v>82</v>
      </c>
      <c r="C34" s="2">
        <f>A3/1*2</f>
        <v>2</v>
      </c>
      <c r="D34" t="s">
        <v>0</v>
      </c>
      <c r="E34" s="3" t="s">
        <v>18</v>
      </c>
      <c r="F34" s="2" t="s">
        <v>18</v>
      </c>
      <c r="G34" s="2">
        <f>(758/100)</f>
        <v>7.58</v>
      </c>
      <c r="H34" s="2">
        <f t="shared" ref="H34:H54" si="2">C34*G34</f>
        <v>15.16</v>
      </c>
      <c r="J34" s="2"/>
      <c r="K34" s="2"/>
      <c r="L34" s="2"/>
    </row>
    <row r="35" spans="1:12">
      <c r="B35" t="s">
        <v>83</v>
      </c>
      <c r="C35" s="2">
        <f>A3/1*6</f>
        <v>6</v>
      </c>
      <c r="D35" t="s">
        <v>63</v>
      </c>
      <c r="E35" s="3" t="s">
        <v>18</v>
      </c>
      <c r="F35" s="2" t="s">
        <v>18</v>
      </c>
      <c r="G35" s="2">
        <f>(144/100)</f>
        <v>1.44</v>
      </c>
      <c r="H35" s="2">
        <f t="shared" si="2"/>
        <v>8.64</v>
      </c>
      <c r="J35" s="2"/>
      <c r="K35" s="2"/>
      <c r="L35" s="2"/>
    </row>
    <row r="36" spans="1:12">
      <c r="B36" t="s">
        <v>84</v>
      </c>
      <c r="C36" s="2">
        <f>A3/1*1</f>
        <v>1</v>
      </c>
      <c r="D36" t="s">
        <v>85</v>
      </c>
      <c r="E36" s="3" t="s">
        <v>18</v>
      </c>
      <c r="F36" s="2" t="s">
        <v>18</v>
      </c>
      <c r="G36" s="2">
        <f>(385/10)</f>
        <v>38.5</v>
      </c>
      <c r="H36" s="2">
        <f t="shared" si="2"/>
        <v>38.5</v>
      </c>
      <c r="J36" s="2"/>
      <c r="K36" s="2"/>
      <c r="L36" s="2"/>
    </row>
    <row r="37" spans="1:12">
      <c r="B37" t="s">
        <v>86</v>
      </c>
      <c r="C37" s="2">
        <f>A3/1*4</f>
        <v>4</v>
      </c>
      <c r="D37" t="s">
        <v>13</v>
      </c>
      <c r="E37" s="3" t="s">
        <v>18</v>
      </c>
      <c r="F37" s="2" t="s">
        <v>18</v>
      </c>
      <c r="G37" s="2">
        <f>(425/100)</f>
        <v>4.25</v>
      </c>
      <c r="H37" s="2">
        <f t="shared" si="2"/>
        <v>17</v>
      </c>
      <c r="J37" s="2"/>
      <c r="K37" s="2"/>
      <c r="L37" s="2"/>
    </row>
    <row r="38" spans="1:12">
      <c r="B38" t="s">
        <v>87</v>
      </c>
      <c r="C38" s="2">
        <f>A3/1*3</f>
        <v>3</v>
      </c>
      <c r="D38" t="s">
        <v>88</v>
      </c>
      <c r="E38" s="3" t="s">
        <v>18</v>
      </c>
      <c r="F38" s="2" t="s">
        <v>18</v>
      </c>
      <c r="G38" s="2">
        <f>(727/100)</f>
        <v>7.27</v>
      </c>
      <c r="H38" s="2">
        <f t="shared" si="2"/>
        <v>21.81</v>
      </c>
      <c r="J38" s="2"/>
      <c r="K38" s="2"/>
      <c r="L38" s="2"/>
    </row>
    <row r="39" spans="1:12">
      <c r="B39" t="s">
        <v>89</v>
      </c>
      <c r="C39" s="2">
        <f>A3/1*22</f>
        <v>22</v>
      </c>
      <c r="D39" t="s">
        <v>88</v>
      </c>
      <c r="E39" s="3" t="s">
        <v>18</v>
      </c>
      <c r="F39" s="2" t="s">
        <v>18</v>
      </c>
      <c r="G39" s="2">
        <f>(106/100)</f>
        <v>1.06</v>
      </c>
      <c r="H39" s="2">
        <f t="shared" si="2"/>
        <v>23.32</v>
      </c>
      <c r="J39" s="2"/>
      <c r="K39" s="2"/>
      <c r="L39" s="2"/>
    </row>
    <row r="40" spans="1:12">
      <c r="B40" t="s">
        <v>90</v>
      </c>
      <c r="C40" s="2">
        <f>A3/1*4</f>
        <v>4</v>
      </c>
      <c r="D40" t="s">
        <v>88</v>
      </c>
      <c r="E40" s="3" t="s">
        <v>18</v>
      </c>
      <c r="F40" s="2" t="s">
        <v>18</v>
      </c>
      <c r="G40" s="2">
        <f>(197/100)</f>
        <v>1.97</v>
      </c>
      <c r="H40" s="2">
        <f t="shared" si="2"/>
        <v>7.88</v>
      </c>
      <c r="J40" s="2"/>
      <c r="K40" s="2"/>
      <c r="L40" s="2"/>
    </row>
    <row r="41" spans="1:12">
      <c r="B41" t="s">
        <v>91</v>
      </c>
      <c r="C41" s="2">
        <f>A3/1*1</f>
        <v>1</v>
      </c>
      <c r="D41" t="s">
        <v>0</v>
      </c>
      <c r="E41" s="3" t="s">
        <v>18</v>
      </c>
      <c r="F41" s="2" t="s">
        <v>18</v>
      </c>
      <c r="G41" s="2">
        <f>(1702/100)</f>
        <v>17.02</v>
      </c>
      <c r="H41" s="2">
        <f t="shared" si="2"/>
        <v>17.02</v>
      </c>
      <c r="J41" s="2"/>
      <c r="K41" s="2"/>
      <c r="L41" s="2"/>
    </row>
    <row r="42" spans="1:12">
      <c r="B42" t="s">
        <v>92</v>
      </c>
      <c r="C42" s="2">
        <f>A3/1*(32/10)</f>
        <v>3.2</v>
      </c>
      <c r="D42" t="s">
        <v>63</v>
      </c>
      <c r="E42" s="3" t="s">
        <v>18</v>
      </c>
      <c r="F42" s="2" t="s">
        <v>18</v>
      </c>
      <c r="G42" s="2">
        <f>33</f>
        <v>33</v>
      </c>
      <c r="H42" s="2">
        <f t="shared" si="2"/>
        <v>105.60000000000001</v>
      </c>
      <c r="J42" s="2"/>
      <c r="K42" s="2"/>
      <c r="L42" s="2"/>
    </row>
    <row r="43" spans="1:12">
      <c r="B43" t="s">
        <v>93</v>
      </c>
      <c r="C43" s="2">
        <f>A3/1*(11/10)</f>
        <v>1.1000000000000001</v>
      </c>
      <c r="D43" t="s">
        <v>63</v>
      </c>
      <c r="E43" s="3" t="s">
        <v>18</v>
      </c>
      <c r="F43" s="2" t="s">
        <v>18</v>
      </c>
      <c r="G43" s="2">
        <f>59</f>
        <v>59</v>
      </c>
      <c r="H43" s="2">
        <f t="shared" si="2"/>
        <v>64.900000000000006</v>
      </c>
      <c r="J43" s="2"/>
      <c r="K43" s="2"/>
      <c r="L43" s="2"/>
    </row>
    <row r="44" spans="1:12">
      <c r="B44" t="s">
        <v>94</v>
      </c>
      <c r="C44" s="2">
        <f>A3/1*4</f>
        <v>4</v>
      </c>
      <c r="D44" t="s">
        <v>88</v>
      </c>
      <c r="E44" s="3" t="s">
        <v>18</v>
      </c>
      <c r="F44" s="2" t="s">
        <v>18</v>
      </c>
      <c r="G44" s="2">
        <f>(222/100)</f>
        <v>2.2200000000000002</v>
      </c>
      <c r="H44" s="2">
        <f t="shared" si="2"/>
        <v>8.8800000000000008</v>
      </c>
      <c r="J44" s="2"/>
      <c r="K44" s="2"/>
      <c r="L44" s="2"/>
    </row>
    <row r="45" spans="1:12">
      <c r="B45" t="s">
        <v>96</v>
      </c>
      <c r="C45" s="2">
        <f>A3/1*(15/10)</f>
        <v>1.5</v>
      </c>
      <c r="D45" t="s">
        <v>97</v>
      </c>
      <c r="E45" s="3" t="s">
        <v>18</v>
      </c>
      <c r="F45" s="2" t="s">
        <v>18</v>
      </c>
      <c r="G45" s="2">
        <f>(589/100)</f>
        <v>5.89</v>
      </c>
      <c r="H45" s="2">
        <f t="shared" si="2"/>
        <v>8.8349999999999991</v>
      </c>
      <c r="J45" s="2"/>
      <c r="K45" s="2"/>
      <c r="L45" s="2"/>
    </row>
    <row r="46" spans="1:12">
      <c r="B46" t="s">
        <v>98</v>
      </c>
      <c r="C46" s="2">
        <f>A3/1*1</f>
        <v>1</v>
      </c>
      <c r="D46" t="s">
        <v>15</v>
      </c>
      <c r="E46" s="3" t="s">
        <v>18</v>
      </c>
      <c r="F46" s="2" t="s">
        <v>18</v>
      </c>
      <c r="G46" s="2">
        <f>(275/10)</f>
        <v>27.5</v>
      </c>
      <c r="H46" s="2">
        <f t="shared" si="2"/>
        <v>27.5</v>
      </c>
      <c r="J46" s="2"/>
      <c r="K46" s="2"/>
      <c r="L46" s="2"/>
    </row>
    <row r="47" spans="1:12">
      <c r="B47" t="s">
        <v>109</v>
      </c>
      <c r="C47" s="2">
        <f>A3/1*1</f>
        <v>1</v>
      </c>
      <c r="D47" t="s">
        <v>34</v>
      </c>
      <c r="E47" s="3" t="s">
        <v>18</v>
      </c>
      <c r="F47" s="2" t="s">
        <v>18</v>
      </c>
      <c r="G47" s="2">
        <f>(3087/100)</f>
        <v>30.87</v>
      </c>
      <c r="H47" s="2">
        <f t="shared" si="2"/>
        <v>30.87</v>
      </c>
      <c r="J47" s="2"/>
      <c r="K47" s="2"/>
      <c r="L47" s="2"/>
    </row>
    <row r="48" spans="1:12">
      <c r="B48" t="s">
        <v>110</v>
      </c>
      <c r="C48" s="2">
        <f>A3/1*1</f>
        <v>1</v>
      </c>
      <c r="D48" t="s">
        <v>0</v>
      </c>
      <c r="E48" s="3" t="s">
        <v>18</v>
      </c>
      <c r="F48" s="2" t="s">
        <v>18</v>
      </c>
      <c r="G48" s="2">
        <f>(4877/100)</f>
        <v>48.77</v>
      </c>
      <c r="H48" s="2">
        <f t="shared" si="2"/>
        <v>48.77</v>
      </c>
      <c r="J48" s="2"/>
      <c r="K48" s="2"/>
      <c r="L48" s="2"/>
    </row>
    <row r="49" spans="1:12">
      <c r="B49" t="s">
        <v>111</v>
      </c>
      <c r="C49" s="2">
        <f>A3/1*1</f>
        <v>1</v>
      </c>
      <c r="D49" t="s">
        <v>0</v>
      </c>
      <c r="E49" s="3" t="s">
        <v>18</v>
      </c>
      <c r="F49" s="2" t="s">
        <v>18</v>
      </c>
      <c r="G49" s="2">
        <f>(4016/10)</f>
        <v>401.6</v>
      </c>
      <c r="H49" s="2">
        <f t="shared" si="2"/>
        <v>401.6</v>
      </c>
      <c r="J49" s="2"/>
      <c r="K49" s="2"/>
      <c r="L49" s="2"/>
    </row>
    <row r="50" spans="1:12">
      <c r="B50" t="s">
        <v>99</v>
      </c>
      <c r="C50" s="2">
        <f>A3/1*1</f>
        <v>1</v>
      </c>
      <c r="D50" t="s">
        <v>15</v>
      </c>
      <c r="E50" s="3" t="s">
        <v>18</v>
      </c>
      <c r="F50" s="2" t="s">
        <v>18</v>
      </c>
      <c r="G50" s="2">
        <f>50</f>
        <v>50</v>
      </c>
      <c r="H50" s="2">
        <f t="shared" si="2"/>
        <v>50</v>
      </c>
      <c r="J50" s="2"/>
      <c r="K50" s="2"/>
      <c r="L50" s="2"/>
    </row>
    <row r="51" spans="1:12">
      <c r="B51" t="s">
        <v>100</v>
      </c>
      <c r="C51" s="2">
        <f>A3/1*1</f>
        <v>1</v>
      </c>
      <c r="D51" t="s">
        <v>0</v>
      </c>
      <c r="E51" s="3" t="s">
        <v>18</v>
      </c>
      <c r="F51" s="2" t="s">
        <v>18</v>
      </c>
      <c r="G51" s="2">
        <f>(31379/100)</f>
        <v>313.79000000000002</v>
      </c>
      <c r="H51" s="2">
        <f t="shared" si="2"/>
        <v>313.79000000000002</v>
      </c>
      <c r="J51" s="2"/>
      <c r="K51" s="2"/>
      <c r="L51" s="2"/>
    </row>
    <row r="52" spans="1:12">
      <c r="B52" t="s">
        <v>21</v>
      </c>
      <c r="C52" s="2">
        <f>A3/1*1</f>
        <v>1</v>
      </c>
      <c r="D52" t="s">
        <v>15</v>
      </c>
      <c r="E52" s="3" t="s">
        <v>18</v>
      </c>
      <c r="F52" s="2" t="s">
        <v>18</v>
      </c>
      <c r="G52" s="2">
        <f>25</f>
        <v>25</v>
      </c>
      <c r="H52" s="2">
        <f t="shared" si="2"/>
        <v>25</v>
      </c>
      <c r="J52" s="2"/>
      <c r="K52" s="2"/>
      <c r="L52" s="2"/>
    </row>
    <row r="53" spans="1:12">
      <c r="B53" t="s">
        <v>101</v>
      </c>
      <c r="C53" s="2">
        <f>A3/1*1</f>
        <v>1</v>
      </c>
      <c r="D53" t="s">
        <v>15</v>
      </c>
      <c r="E53" s="3" t="s">
        <v>18</v>
      </c>
      <c r="F53" s="2" t="s">
        <v>18</v>
      </c>
      <c r="G53" s="2">
        <f>100</f>
        <v>100</v>
      </c>
      <c r="H53" s="2">
        <f t="shared" si="2"/>
        <v>100</v>
      </c>
      <c r="J53" s="5"/>
      <c r="K53" s="2"/>
      <c r="L53" s="2"/>
    </row>
    <row r="54" spans="1:12">
      <c r="B54" t="s">
        <v>102</v>
      </c>
      <c r="C54" s="2">
        <f>A3/1*(8/10)</f>
        <v>0.8</v>
      </c>
      <c r="D54" t="s">
        <v>81</v>
      </c>
      <c r="E54" s="3" t="s">
        <v>18</v>
      </c>
      <c r="F54" s="2" t="s">
        <v>18</v>
      </c>
      <c r="G54" s="2">
        <f>(5372/100)</f>
        <v>53.72</v>
      </c>
      <c r="H54" s="2">
        <f t="shared" si="2"/>
        <v>42.975999999999999</v>
      </c>
      <c r="J54" s="5"/>
      <c r="K54" s="2"/>
      <c r="L54" s="5"/>
    </row>
    <row r="55" spans="1:12">
      <c r="B55" s="6" t="s">
        <v>22</v>
      </c>
      <c r="H55" s="5">
        <f>SUM(H34:H54)</f>
        <v>1378.0509999999999</v>
      </c>
      <c r="J55" s="5">
        <f>H55*1.17</f>
        <v>1612.3196699999999</v>
      </c>
      <c r="K55" s="2"/>
      <c r="L55" s="2"/>
    </row>
    <row r="56" spans="1:12">
      <c r="A56" s="6" t="s">
        <v>23</v>
      </c>
      <c r="B56" s="6" t="s">
        <v>24</v>
      </c>
      <c r="H56" s="5">
        <f>H33+H55</f>
        <v>2543.0158000000001</v>
      </c>
      <c r="J56" s="5">
        <f>H56*1.17</f>
        <v>2975.3284859999999</v>
      </c>
      <c r="K56" s="2"/>
      <c r="L56" s="5">
        <f>J56*1.21</f>
        <v>3600.1474680599999</v>
      </c>
    </row>
  </sheetData>
  <pageMargins left="0.7" right="0.7" top="0.75" bottom="0.75" header="0.3" footer="0.3"/>
  <ignoredErrors>
    <ignoredError sqref="E26:E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24</vt:i4>
      </vt:variant>
    </vt:vector>
  </HeadingPairs>
  <TitlesOfParts>
    <vt:vector size="24" baseType="lpstr">
      <vt:lpstr>C1</vt:lpstr>
      <vt:lpstr>C2</vt:lpstr>
      <vt:lpstr>C3</vt:lpstr>
      <vt:lpstr>C4</vt:lpstr>
      <vt:lpstr>C5</vt:lpstr>
      <vt:lpstr>C6a</vt:lpstr>
      <vt:lpstr>C6b</vt:lpstr>
      <vt:lpstr>C7</vt:lpstr>
      <vt:lpstr>C8</vt:lpstr>
      <vt:lpstr>C9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Boudewijn</dc:creator>
  <cp:lastModifiedBy>Simone Calis</cp:lastModifiedBy>
  <dcterms:created xsi:type="dcterms:W3CDTF">2023-04-24T14:38:00Z</dcterms:created>
  <dcterms:modified xsi:type="dcterms:W3CDTF">2023-04-26T12:14:57Z</dcterms:modified>
</cp:coreProperties>
</file>