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jn documenten\L&amp;C Consult\Regio Gooi en Vechtstreek\"/>
    </mc:Choice>
  </mc:AlternateContent>
  <xr:revisionPtr revIDLastSave="0" documentId="8_{2E483A10-FDF6-4BCE-AC40-CCC2ABD9DDF2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B1" sheetId="15" r:id="rId1"/>
    <sheet name="B2" sheetId="16" r:id="rId2"/>
    <sheet name="B3" sheetId="17" r:id="rId3"/>
    <sheet name="B4" sheetId="18" r:id="rId4"/>
    <sheet name="B5" sheetId="19" r:id="rId5"/>
    <sheet name="B6" sheetId="20" r:id="rId6"/>
    <sheet name="B7" sheetId="21" r:id="rId7"/>
    <sheet name="B8" sheetId="22" r:id="rId8"/>
    <sheet name="B9" sheetId="23" r:id="rId9"/>
    <sheet name="B10" sheetId="24" r:id="rId10"/>
    <sheet name="B11" sheetId="25" r:id="rId11"/>
    <sheet name="B12" sheetId="26" r:id="rId12"/>
    <sheet name="B13" sheetId="27" r:id="rId13"/>
    <sheet name="B14" sheetId="28" r:id="rId14"/>
    <sheet name="B15" sheetId="29" r:id="rId15"/>
    <sheet name="B16" sheetId="30" r:id="rId16"/>
    <sheet name="B17" sheetId="31" r:id="rId17"/>
  </sheets>
  <calcPr calcId="181029"/>
</workbook>
</file>

<file path=xl/calcChain.xml><?xml version="1.0" encoding="utf-8"?>
<calcChain xmlns="http://schemas.openxmlformats.org/spreadsheetml/2006/main">
  <c r="J11" i="31" l="1"/>
  <c r="L11" i="31" s="1"/>
  <c r="J10" i="31"/>
  <c r="J8" i="31"/>
  <c r="G9" i="31"/>
  <c r="C9" i="31"/>
  <c r="H9" i="31" s="1"/>
  <c r="H10" i="31" s="1"/>
  <c r="E7" i="31"/>
  <c r="C7" i="31"/>
  <c r="F7" i="31" s="1"/>
  <c r="H7" i="31" s="1"/>
  <c r="E6" i="31"/>
  <c r="C6" i="31"/>
  <c r="F6" i="31" s="1"/>
  <c r="J11" i="30"/>
  <c r="L11" i="30" s="1"/>
  <c r="J10" i="30"/>
  <c r="J8" i="30"/>
  <c r="G9" i="30"/>
  <c r="H9" i="30" s="1"/>
  <c r="H10" i="30" s="1"/>
  <c r="C9" i="30"/>
  <c r="E7" i="30"/>
  <c r="F7" i="30" s="1"/>
  <c r="H7" i="30" s="1"/>
  <c r="C7" i="30"/>
  <c r="E6" i="30"/>
  <c r="C6" i="30"/>
  <c r="F6" i="30" s="1"/>
  <c r="J11" i="29"/>
  <c r="L11" i="29" s="1"/>
  <c r="J10" i="29"/>
  <c r="J7" i="29"/>
  <c r="G9" i="29"/>
  <c r="H9" i="29" s="1"/>
  <c r="C9" i="29"/>
  <c r="G8" i="29"/>
  <c r="C8" i="29"/>
  <c r="H8" i="29" s="1"/>
  <c r="E6" i="29"/>
  <c r="C6" i="29"/>
  <c r="F6" i="29" s="1"/>
  <c r="J11" i="28"/>
  <c r="L11" i="28" s="1"/>
  <c r="J10" i="28"/>
  <c r="J7" i="28"/>
  <c r="G9" i="28"/>
  <c r="H9" i="28" s="1"/>
  <c r="C9" i="28"/>
  <c r="G8" i="28"/>
  <c r="C8" i="28"/>
  <c r="H8" i="28" s="1"/>
  <c r="E6" i="28"/>
  <c r="C6" i="28"/>
  <c r="F6" i="28" s="1"/>
  <c r="J10" i="27"/>
  <c r="J11" i="27"/>
  <c r="L11" i="27" s="1"/>
  <c r="J7" i="27"/>
  <c r="G9" i="27"/>
  <c r="C9" i="27"/>
  <c r="H9" i="27" s="1"/>
  <c r="H8" i="27"/>
  <c r="G8" i="27"/>
  <c r="C8" i="27"/>
  <c r="E6" i="27"/>
  <c r="C6" i="27"/>
  <c r="F6" i="27" s="1"/>
  <c r="J9" i="26"/>
  <c r="G8" i="26"/>
  <c r="C8" i="26"/>
  <c r="H8" i="26" s="1"/>
  <c r="H9" i="26" s="1"/>
  <c r="C6" i="26"/>
  <c r="J10" i="25"/>
  <c r="L10" i="25" s="1"/>
  <c r="J9" i="25"/>
  <c r="J7" i="25"/>
  <c r="G8" i="25"/>
  <c r="C8" i="25"/>
  <c r="H8" i="25" s="1"/>
  <c r="H9" i="25" s="1"/>
  <c r="G6" i="25"/>
  <c r="E6" i="25"/>
  <c r="C6" i="25"/>
  <c r="F6" i="25" s="1"/>
  <c r="J21" i="24"/>
  <c r="L21" i="24" s="1"/>
  <c r="J20" i="24"/>
  <c r="J15" i="24"/>
  <c r="H19" i="24"/>
  <c r="G19" i="24"/>
  <c r="C19" i="24"/>
  <c r="G18" i="24"/>
  <c r="H18" i="24" s="1"/>
  <c r="C18" i="24"/>
  <c r="H17" i="24"/>
  <c r="G17" i="24"/>
  <c r="C17" i="24"/>
  <c r="G16" i="24"/>
  <c r="H16" i="24" s="1"/>
  <c r="H20" i="24" s="1"/>
  <c r="C16" i="24"/>
  <c r="G14" i="24"/>
  <c r="F14" i="24"/>
  <c r="H14" i="24" s="1"/>
  <c r="E14" i="24"/>
  <c r="C14" i="24"/>
  <c r="E13" i="24"/>
  <c r="F13" i="24" s="1"/>
  <c r="H13" i="24" s="1"/>
  <c r="C13" i="24"/>
  <c r="E12" i="24"/>
  <c r="C12" i="24"/>
  <c r="F12" i="24" s="1"/>
  <c r="H12" i="24" s="1"/>
  <c r="E11" i="24"/>
  <c r="C11" i="24"/>
  <c r="F11" i="24" s="1"/>
  <c r="H11" i="24" s="1"/>
  <c r="H10" i="24"/>
  <c r="F10" i="24"/>
  <c r="E10" i="24"/>
  <c r="C10" i="24"/>
  <c r="E9" i="24"/>
  <c r="F9" i="24" s="1"/>
  <c r="H9" i="24" s="1"/>
  <c r="C9" i="24"/>
  <c r="F8" i="24"/>
  <c r="H8" i="24" s="1"/>
  <c r="E8" i="24"/>
  <c r="C8" i="24"/>
  <c r="E7" i="24"/>
  <c r="F7" i="24" s="1"/>
  <c r="H7" i="24" s="1"/>
  <c r="C7" i="24"/>
  <c r="E6" i="24"/>
  <c r="C6" i="24"/>
  <c r="F6" i="24" s="1"/>
  <c r="J11" i="23"/>
  <c r="L11" i="23" s="1"/>
  <c r="J10" i="23"/>
  <c r="J8" i="23"/>
  <c r="G9" i="23"/>
  <c r="C9" i="23"/>
  <c r="H9" i="23" s="1"/>
  <c r="H10" i="23" s="1"/>
  <c r="E7" i="23"/>
  <c r="C7" i="23"/>
  <c r="F7" i="23" s="1"/>
  <c r="H7" i="23" s="1"/>
  <c r="E6" i="23"/>
  <c r="C6" i="23"/>
  <c r="F6" i="23" s="1"/>
  <c r="J11" i="22"/>
  <c r="L11" i="22" s="1"/>
  <c r="J10" i="22"/>
  <c r="J7" i="22"/>
  <c r="G9" i="22"/>
  <c r="C9" i="22"/>
  <c r="H9" i="22" s="1"/>
  <c r="H8" i="22"/>
  <c r="G8" i="22"/>
  <c r="C8" i="22"/>
  <c r="E6" i="22"/>
  <c r="C6" i="22"/>
  <c r="F6" i="22" s="1"/>
  <c r="J11" i="21"/>
  <c r="L11" i="21" s="1"/>
  <c r="J10" i="21"/>
  <c r="J7" i="21"/>
  <c r="J11" i="20"/>
  <c r="L11" i="20" s="1"/>
  <c r="J10" i="20"/>
  <c r="J7" i="20"/>
  <c r="J11" i="19"/>
  <c r="L11" i="19" s="1"/>
  <c r="J10" i="19"/>
  <c r="J7" i="19"/>
  <c r="J11" i="18"/>
  <c r="L11" i="18" s="1"/>
  <c r="J10" i="18"/>
  <c r="J7" i="18"/>
  <c r="J11" i="17"/>
  <c r="L11" i="17" s="1"/>
  <c r="J10" i="17"/>
  <c r="J7" i="17"/>
  <c r="J11" i="16"/>
  <c r="L11" i="16" s="1"/>
  <c r="J10" i="16"/>
  <c r="J7" i="16"/>
  <c r="J11" i="15"/>
  <c r="L11" i="15" s="1"/>
  <c r="J10" i="15"/>
  <c r="J7" i="15"/>
  <c r="H7" i="21"/>
  <c r="G9" i="21"/>
  <c r="H9" i="21" s="1"/>
  <c r="C9" i="21"/>
  <c r="G8" i="21"/>
  <c r="C8" i="21"/>
  <c r="H8" i="21" s="1"/>
  <c r="H10" i="21" s="1"/>
  <c r="E6" i="21"/>
  <c r="C6" i="21"/>
  <c r="F6" i="21" s="1"/>
  <c r="H9" i="20"/>
  <c r="G9" i="20"/>
  <c r="C9" i="20"/>
  <c r="G8" i="20"/>
  <c r="C8" i="20"/>
  <c r="H8" i="20" s="1"/>
  <c r="H10" i="20" s="1"/>
  <c r="E6" i="20"/>
  <c r="C6" i="20"/>
  <c r="F6" i="20" s="1"/>
  <c r="G9" i="19"/>
  <c r="C9" i="19"/>
  <c r="H9" i="19" s="1"/>
  <c r="H8" i="19"/>
  <c r="G8" i="19"/>
  <c r="C8" i="19"/>
  <c r="F6" i="19"/>
  <c r="H6" i="19" s="1"/>
  <c r="H7" i="19" s="1"/>
  <c r="E6" i="19"/>
  <c r="C6" i="19"/>
  <c r="H9" i="18"/>
  <c r="G9" i="18"/>
  <c r="C9" i="18"/>
  <c r="H8" i="18"/>
  <c r="H10" i="18" s="1"/>
  <c r="G8" i="18"/>
  <c r="C8" i="18"/>
  <c r="F6" i="18"/>
  <c r="F7" i="18" s="1"/>
  <c r="E6" i="18"/>
  <c r="C6" i="18"/>
  <c r="G9" i="17"/>
  <c r="C9" i="17"/>
  <c r="H9" i="17" s="1"/>
  <c r="H8" i="17"/>
  <c r="H10" i="17" s="1"/>
  <c r="G8" i="17"/>
  <c r="C8" i="17"/>
  <c r="F6" i="17"/>
  <c r="F7" i="17" s="1"/>
  <c r="E6" i="17"/>
  <c r="C6" i="17"/>
  <c r="G9" i="16"/>
  <c r="H9" i="16" s="1"/>
  <c r="C9" i="16"/>
  <c r="H8" i="16"/>
  <c r="H10" i="16" s="1"/>
  <c r="G8" i="16"/>
  <c r="C8" i="16"/>
  <c r="F7" i="16"/>
  <c r="F6" i="16"/>
  <c r="H6" i="16" s="1"/>
  <c r="H7" i="16" s="1"/>
  <c r="E6" i="16"/>
  <c r="C6" i="16"/>
  <c r="G9" i="15"/>
  <c r="C9" i="15"/>
  <c r="H9" i="15" s="1"/>
  <c r="H8" i="15"/>
  <c r="G8" i="15"/>
  <c r="C8" i="15"/>
  <c r="F6" i="15"/>
  <c r="H6" i="15" s="1"/>
  <c r="H7" i="15" s="1"/>
  <c r="E6" i="15"/>
  <c r="C6" i="15"/>
  <c r="F8" i="31" l="1"/>
  <c r="H6" i="31"/>
  <c r="H8" i="31" s="1"/>
  <c r="H11" i="31" s="1"/>
  <c r="H6" i="30"/>
  <c r="H8" i="30" s="1"/>
  <c r="H11" i="30" s="1"/>
  <c r="F8" i="30"/>
  <c r="F7" i="29"/>
  <c r="H6" i="29"/>
  <c r="H7" i="29" s="1"/>
  <c r="H10" i="29"/>
  <c r="F7" i="28"/>
  <c r="H6" i="28"/>
  <c r="H7" i="28" s="1"/>
  <c r="H10" i="28"/>
  <c r="H10" i="27"/>
  <c r="F7" i="27"/>
  <c r="H6" i="27"/>
  <c r="H7" i="27" s="1"/>
  <c r="F7" i="26"/>
  <c r="H6" i="26"/>
  <c r="H7" i="26" s="1"/>
  <c r="F7" i="25"/>
  <c r="H6" i="25"/>
  <c r="H7" i="25" s="1"/>
  <c r="H10" i="25" s="1"/>
  <c r="H6" i="24"/>
  <c r="H15" i="24" s="1"/>
  <c r="H21" i="24" s="1"/>
  <c r="F15" i="24"/>
  <c r="F8" i="23"/>
  <c r="H6" i="23"/>
  <c r="H8" i="23" s="1"/>
  <c r="H11" i="23" s="1"/>
  <c r="H10" i="22"/>
  <c r="F7" i="22"/>
  <c r="H6" i="22"/>
  <c r="H7" i="22" s="1"/>
  <c r="F7" i="21"/>
  <c r="H6" i="21"/>
  <c r="H11" i="21" s="1"/>
  <c r="F7" i="20"/>
  <c r="H6" i="20"/>
  <c r="H7" i="20" s="1"/>
  <c r="H11" i="20" s="1"/>
  <c r="H10" i="19"/>
  <c r="H11" i="19"/>
  <c r="F7" i="19"/>
  <c r="H6" i="18"/>
  <c r="H7" i="18" s="1"/>
  <c r="H11" i="18" s="1"/>
  <c r="H6" i="17"/>
  <c r="H7" i="17" s="1"/>
  <c r="H11" i="17" s="1"/>
  <c r="H11" i="16"/>
  <c r="H10" i="15"/>
  <c r="H11" i="15" s="1"/>
  <c r="F7" i="15"/>
  <c r="H11" i="29" l="1"/>
  <c r="H11" i="28"/>
  <c r="H10" i="26"/>
  <c r="J10" i="26" s="1"/>
  <c r="L10" i="26" s="1"/>
  <c r="J7" i="26"/>
  <c r="H11" i="27"/>
  <c r="H11" i="22"/>
</calcChain>
</file>

<file path=xl/sharedStrings.xml><?xml version="1.0" encoding="utf-8"?>
<sst xmlns="http://schemas.openxmlformats.org/spreadsheetml/2006/main" count="452" uniqueCount="83">
  <si>
    <t>stk</t>
  </si>
  <si>
    <t>Kostencomponent</t>
  </si>
  <si>
    <t>Omschrijving</t>
  </si>
  <si>
    <t>Hoeveelheid</t>
  </si>
  <si>
    <t>Verbruik eenheid</t>
  </si>
  <si>
    <t>Norm per eenheid</t>
  </si>
  <si>
    <t>Totaal uren</t>
  </si>
  <si>
    <t>Kosten per uur / eenheid</t>
  </si>
  <si>
    <t>Totaal Kosten</t>
  </si>
  <si>
    <t>Loonkosten</t>
  </si>
  <si>
    <t>Hoofdkraan waterleiding openen en geheel onder druk brengen</t>
  </si>
  <si>
    <t>Waterleiding en afvoer controleren op waterdichtheid</t>
  </si>
  <si>
    <t>m</t>
  </si>
  <si>
    <t>Werkplek opruimen en afkomend materiaal afvoeren</t>
  </si>
  <si>
    <t>post</t>
  </si>
  <si>
    <t>Subtotaal loonkosten</t>
  </si>
  <si>
    <t>Materialkosten</t>
  </si>
  <si>
    <t/>
  </si>
  <si>
    <t>Toebehoren koperen buis ø 12 mm, gemiddeld per meter</t>
  </si>
  <si>
    <t>Koperen buis, halfhard, wanddikte 1 mm, diameter 12 mm</t>
  </si>
  <si>
    <t>Toeslag (klein) materiaal, materieel en diversen</t>
  </si>
  <si>
    <t>Subtotaal materiaalkosten</t>
  </si>
  <si>
    <t>Directe kosten</t>
  </si>
  <si>
    <t>Eindtotaal directe kosten</t>
  </si>
  <si>
    <t>Waterleiding afsluiten en aftappen</t>
  </si>
  <si>
    <t>Post voor (klein) materiaal, materieel en diversen</t>
  </si>
  <si>
    <t>Demontage en herstelwerk</t>
  </si>
  <si>
    <t>uur</t>
  </si>
  <si>
    <t>Schoonmaken en in herverstrekbare staat brengen</t>
  </si>
  <si>
    <t xml:space="preserve">Vaste wandbeugel in badkamer of toilet aanbrengen, Handicare Linido, Ergogrip, kleur wit, lengte 600 mm </t>
  </si>
  <si>
    <t>Handgreep of wandbeugel aanbrengen</t>
  </si>
  <si>
    <t>Vaste wandbeugel, Handicare Linido, Ergogrip, staal gecoat, wit, 600 x 103 mm</t>
  </si>
  <si>
    <t>Bevestigingsset t.b.v. beugels en grepen, RVS</t>
  </si>
  <si>
    <t>set</t>
  </si>
  <si>
    <t xml:space="preserve">Vaste wandbeugel in badkamer of toilet aanbrengen, Handicare Linido, Ergogrip, kleur wit, lengte 1.200 mm </t>
  </si>
  <si>
    <t>Vaste wandbeugel, Handicare Linido, Ergogrip, staal gecoat, wit, 1.200 x 103 mm</t>
  </si>
  <si>
    <t xml:space="preserve">Vaste wandbeugel in badkamer of toilet aanbrengen, Handicare Linido, Ergogrip, kleur wit, lengte 1.400 mm </t>
  </si>
  <si>
    <t>Vaste wandbeugel, Handicare Linido, Ergogrip, staal gecoat, wit, 1.400 x 103 mm</t>
  </si>
  <si>
    <t>Contraplaat voor vaste wandbeugel, Handicare Linido, aanbrengen</t>
  </si>
  <si>
    <t>Contraplaat voor sanitaire hulpmiddel aanbrengen</t>
  </si>
  <si>
    <t>Contraplaat voor wandbeugel, Handicare Linido, RVS gecoat</t>
  </si>
  <si>
    <t>Post (klein) materiaal, materieel en diversen</t>
  </si>
  <si>
    <t xml:space="preserve">Kozijnbeugel aanbrengen, Handicare Linido, staal gecoat wit, lang 450 mm </t>
  </si>
  <si>
    <t>Kozijnbeugel aanbrengen</t>
  </si>
  <si>
    <t>Kozijnbeugel, Handicare Linido, staal gecoat, wit, 450 mm</t>
  </si>
  <si>
    <t xml:space="preserve">Opklapbare toiletbeugel in badkamer of toilet aanbrengen, Handicare Linido, kleur wit, lengte 900 mm. </t>
  </si>
  <si>
    <t>Toiletbeugel monteren</t>
  </si>
  <si>
    <t>Opklapbare toiletbeugel, Handicare Linido, staal gecoat, wit, 900 x 110 mm</t>
  </si>
  <si>
    <t>Hulppootset voor onder klapbeugel aanbrengen, Handicare Linido, in badkamer of toilet</t>
  </si>
  <si>
    <t>Hulppootset voor sanitaire hulpmiddel aanbrengen</t>
  </si>
  <si>
    <t>Hulppootset voor onder klapbeugel, Handicare Linido, hoogte verstelbaar, staal gecoat, wit</t>
  </si>
  <si>
    <t>Bevestigingsmateriaal hulppootset</t>
  </si>
  <si>
    <t>Contraplaat voor opklapbare toiletbeugel, Handicare Linido, aanbrengen</t>
  </si>
  <si>
    <t>Contraplaat voor opklapbare toiletbeugel, Handicare Linido, RVS gecoat</t>
  </si>
  <si>
    <t>Vloerstatief voor opklapbare beugel aanbrengen, Handicare Linido, wit gecoat staal</t>
  </si>
  <si>
    <t>Voorinspectie t.b.v. vloerstatief</t>
  </si>
  <si>
    <t>Vloerstatief voor opklapbare beugel aanbrengen</t>
  </si>
  <si>
    <t>Vloerstatief voor opklapbare beugel, Handicare Linido, staal gecoat, wit</t>
  </si>
  <si>
    <t>Bestaande, laaghangende, stortbak van toilet verplaatsen, afvoer en waterleiding aanpassen, leidingen in het zicht</t>
  </si>
  <si>
    <t>Waterleiding, inclusief hoekstopkraan, en buis stortbak los koppelen</t>
  </si>
  <si>
    <t>Stortbak toilet verwijderen en verplaatsen</t>
  </si>
  <si>
    <t>Waterleiding verlengen (in het zicht) vanaf bestaande punt</t>
  </si>
  <si>
    <t>Hoekstopkraan aanbrengen</t>
  </si>
  <si>
    <t>Afvoer verlengen (in het zicht) vanaf bestaande punt</t>
  </si>
  <si>
    <t>Verlengbocht voor laaghangende stortbak, kunststof, wit</t>
  </si>
  <si>
    <t xml:space="preserve">Wastafelbeugel aanbrengen, Handicare Linido, staal gecoat wit, 530 x 700 mm </t>
  </si>
  <si>
    <t>Wastafelbeugel aanbrengen</t>
  </si>
  <si>
    <t>Wastafelbeugel, Handicare Linido, staal gecoat, wit, 530 x 700 mm</t>
  </si>
  <si>
    <t>Telescopische pakpaal aanbrengen, verplaatsbaar, zonder beugel/papegaai of ander toebehoren</t>
  </si>
  <si>
    <t>Pakpaalstang aanbrengen, exclusief beugel of papegaai-arm</t>
  </si>
  <si>
    <t>Pakpaal met voet, telescopisch, grijs, diameter 32 mm, lengte 2.000 - 3.000 mm</t>
  </si>
  <si>
    <t>Telescopische pakpaal aanbrengen, verplaatsbaar, met horizontale beugel 800 mm</t>
  </si>
  <si>
    <t>Pakpaalstang aanbrengen, inclusief beugel of papegaai-arm</t>
  </si>
  <si>
    <t>Horizontale beugel voor pakpaalstang, grijs, 800 mm</t>
  </si>
  <si>
    <t>Triangel aanbrengen, plafondbevestiging, Handicare Linido, wit</t>
  </si>
  <si>
    <t>Triangel aan plafond bevestigen</t>
  </si>
  <si>
    <t>Triangel, voor plafondbevestiging, Handicare Linido, wit</t>
  </si>
  <si>
    <t>Papegaai (triangel) aanbrengen, wegzwenkbaar, muurbevestiging, Handicare Linido, wit</t>
  </si>
  <si>
    <t>Papegaai (met triangel) aan muur bevestigen</t>
  </si>
  <si>
    <t>Papegaai (triangel), wegzwenkbaar, voor muurbevestiging, Handicare Linido, wit</t>
  </si>
  <si>
    <t>Bevestigingset op wand, Handicare Linido SE4, RVS, set van 4 stuks</t>
  </si>
  <si>
    <t>Beugels/pakpaal, demontage, herstelwerk, schoonmaken en in herverstrekbare staat brengen - B1-B6/B8/B11/B14/B15</t>
  </si>
  <si>
    <t>Toebehoren beugels/pakpaal, demontage, herstelwerk, schoonmaken en in herverstrekbare staat brengen - B7/B9/B12/B13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</si>
</sst>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4" fontId="1" fillId="0" borderId="0" xfId="0" applyNumberFormat="1" applyFont="1"/>
    <xf numFmtId="4" fontId="2" fillId="0" borderId="0" xfId="0" applyNumberFormat="1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766D-E79D-4F75-8BEC-26F8F338C495}">
  <dimension ref="A1:L16"/>
  <sheetViews>
    <sheetView tabSelected="1" workbookViewId="0">
      <selection activeCell="G31" sqref="G31"/>
    </sheetView>
  </sheetViews>
  <sheetFormatPr defaultRowHeight="15"/>
  <cols>
    <col min="1" max="1" width="17.85546875" customWidth="1"/>
    <col min="2" max="2" width="70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29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30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v>52.2</v>
      </c>
      <c r="H6" s="2">
        <f>F6*G6</f>
        <v>26.1</v>
      </c>
    </row>
    <row r="7" spans="1:12">
      <c r="B7" s="1" t="s">
        <v>15</v>
      </c>
      <c r="F7" s="4">
        <f>SUM(F6:F6)</f>
        <v>0.5</v>
      </c>
      <c r="H7" s="4">
        <f>SUM(H6:H6)</f>
        <v>26.1</v>
      </c>
      <c r="J7" s="5">
        <f>H7*1.17</f>
        <v>30.536999999999999</v>
      </c>
      <c r="L7" s="2"/>
    </row>
    <row r="8" spans="1:12">
      <c r="A8" s="1" t="s">
        <v>16</v>
      </c>
      <c r="B8" t="s">
        <v>31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(3666/100)</f>
        <v>36.659999999999997</v>
      </c>
      <c r="H8" s="2">
        <f>C8*G8</f>
        <v>36.659999999999997</v>
      </c>
      <c r="L8" s="2"/>
    </row>
    <row r="9" spans="1:12">
      <c r="B9" t="s">
        <v>32</v>
      </c>
      <c r="C9" s="2">
        <f>A3/1*1</f>
        <v>1</v>
      </c>
      <c r="D9" t="s">
        <v>33</v>
      </c>
      <c r="E9" s="3" t="s">
        <v>17</v>
      </c>
      <c r="F9" s="2" t="s">
        <v>17</v>
      </c>
      <c r="G9" s="2">
        <f>(624/100)</f>
        <v>6.24</v>
      </c>
      <c r="H9" s="2">
        <f>C9*G9</f>
        <v>6.24</v>
      </c>
      <c r="L9" s="2"/>
    </row>
    <row r="10" spans="1:12">
      <c r="B10" s="1" t="s">
        <v>21</v>
      </c>
      <c r="H10" s="4">
        <f>SUM(H8:H9)</f>
        <v>42.9</v>
      </c>
      <c r="J10" s="5">
        <f>H10*1.17</f>
        <v>50.192999999999998</v>
      </c>
      <c r="L10" s="2"/>
    </row>
    <row r="11" spans="1:12">
      <c r="A11" s="1" t="s">
        <v>22</v>
      </c>
      <c r="B11" s="1" t="s">
        <v>23</v>
      </c>
      <c r="H11" s="4">
        <f>H7+H10</f>
        <v>69</v>
      </c>
      <c r="J11" s="5">
        <f>H11*1.17</f>
        <v>80.72999999999999</v>
      </c>
      <c r="L11" s="5">
        <f>J11*1.21</f>
        <v>97.683299999999988</v>
      </c>
    </row>
    <row r="12" spans="1:12">
      <c r="L12" s="2"/>
    </row>
    <row r="13" spans="1:12">
      <c r="L13" s="2"/>
    </row>
    <row r="14" spans="1:12">
      <c r="L14" s="2"/>
    </row>
    <row r="15" spans="1:12">
      <c r="J15" s="5"/>
      <c r="L15" s="2"/>
    </row>
    <row r="16" spans="1:12">
      <c r="J16" s="5"/>
      <c r="L16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201D-DD59-49BF-AB1B-595C3350E05F}">
  <dimension ref="A1:L21"/>
  <sheetViews>
    <sheetView topLeftCell="C1" workbookViewId="0">
      <selection activeCell="J15" sqref="J15:L21"/>
    </sheetView>
  </sheetViews>
  <sheetFormatPr defaultRowHeight="15"/>
  <cols>
    <col min="1" max="1" width="17.85546875" customWidth="1"/>
    <col min="2" max="2" width="61.42578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58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24</v>
      </c>
      <c r="C6" s="2">
        <f>A3/1*1000/1000</f>
        <v>1</v>
      </c>
      <c r="D6" t="s">
        <v>0</v>
      </c>
      <c r="E6" s="3">
        <f>1000/10000</f>
        <v>0.1</v>
      </c>
      <c r="F6" s="2">
        <f t="shared" ref="F6:F14" si="0">C6*E6</f>
        <v>0.1</v>
      </c>
      <c r="G6" s="2">
        <v>52.2</v>
      </c>
      <c r="H6" s="2">
        <f t="shared" ref="H6:H14" si="1">F6*G6</f>
        <v>5.2200000000000006</v>
      </c>
    </row>
    <row r="7" spans="1:12">
      <c r="B7" t="s">
        <v>59</v>
      </c>
      <c r="C7" s="2">
        <f>A3/1*1000/1000</f>
        <v>1</v>
      </c>
      <c r="D7" t="s">
        <v>0</v>
      </c>
      <c r="E7" s="3">
        <f>2000/10000</f>
        <v>0.2</v>
      </c>
      <c r="F7" s="2">
        <f t="shared" si="0"/>
        <v>0.2</v>
      </c>
      <c r="G7" s="2">
        <v>52.2</v>
      </c>
      <c r="H7" s="2">
        <f t="shared" si="1"/>
        <v>10.440000000000001</v>
      </c>
    </row>
    <row r="8" spans="1:12">
      <c r="B8" t="s">
        <v>60</v>
      </c>
      <c r="C8" s="2">
        <f>A3/1*1000/1000</f>
        <v>1</v>
      </c>
      <c r="D8" t="s">
        <v>0</v>
      </c>
      <c r="E8" s="3">
        <f>4000/10000</f>
        <v>0.4</v>
      </c>
      <c r="F8" s="2">
        <f t="shared" si="0"/>
        <v>0.4</v>
      </c>
      <c r="G8" s="2">
        <v>52.2</v>
      </c>
      <c r="H8" s="2">
        <f t="shared" si="1"/>
        <v>20.880000000000003</v>
      </c>
    </row>
    <row r="9" spans="1:12">
      <c r="B9" t="s">
        <v>61</v>
      </c>
      <c r="C9" s="2">
        <f>A3/1*1000/1000</f>
        <v>1</v>
      </c>
      <c r="D9" t="s">
        <v>12</v>
      </c>
      <c r="E9" s="3">
        <f>3500/10000</f>
        <v>0.35</v>
      </c>
      <c r="F9" s="2">
        <f t="shared" si="0"/>
        <v>0.35</v>
      </c>
      <c r="G9" s="2">
        <v>52.2</v>
      </c>
      <c r="H9" s="2">
        <f t="shared" si="1"/>
        <v>18.27</v>
      </c>
    </row>
    <row r="10" spans="1:12">
      <c r="B10" t="s">
        <v>62</v>
      </c>
      <c r="C10" s="2">
        <f>A3/1*1000/1000</f>
        <v>1</v>
      </c>
      <c r="D10" t="s">
        <v>0</v>
      </c>
      <c r="E10" s="3">
        <f>1000/10000</f>
        <v>0.1</v>
      </c>
      <c r="F10" s="2">
        <f t="shared" si="0"/>
        <v>0.1</v>
      </c>
      <c r="G10" s="2">
        <v>52.2</v>
      </c>
      <c r="H10" s="2">
        <f t="shared" si="1"/>
        <v>5.2200000000000006</v>
      </c>
    </row>
    <row r="11" spans="1:12">
      <c r="B11" t="s">
        <v>63</v>
      </c>
      <c r="C11" s="2">
        <f>A3/1*1000/1000</f>
        <v>1</v>
      </c>
      <c r="D11" t="s">
        <v>12</v>
      </c>
      <c r="E11" s="3">
        <f>4000/10000</f>
        <v>0.4</v>
      </c>
      <c r="F11" s="2">
        <f t="shared" si="0"/>
        <v>0.4</v>
      </c>
      <c r="G11" s="2">
        <v>52.2</v>
      </c>
      <c r="H11" s="2">
        <f t="shared" si="1"/>
        <v>20.880000000000003</v>
      </c>
    </row>
    <row r="12" spans="1:12">
      <c r="B12" t="s">
        <v>10</v>
      </c>
      <c r="C12" s="2">
        <f>A3/1*1000/1000</f>
        <v>1</v>
      </c>
      <c r="D12" t="s">
        <v>0</v>
      </c>
      <c r="E12" s="3">
        <f>1000/10000</f>
        <v>0.1</v>
      </c>
      <c r="F12" s="2">
        <f t="shared" si="0"/>
        <v>0.1</v>
      </c>
      <c r="G12" s="2">
        <v>52.2</v>
      </c>
      <c r="H12" s="2">
        <f t="shared" si="1"/>
        <v>5.2200000000000006</v>
      </c>
    </row>
    <row r="13" spans="1:12">
      <c r="B13" t="s">
        <v>11</v>
      </c>
      <c r="C13" s="2">
        <f>A3/1*1000/1000</f>
        <v>1</v>
      </c>
      <c r="D13" t="s">
        <v>0</v>
      </c>
      <c r="E13" s="3">
        <f>1000/10000</f>
        <v>0.1</v>
      </c>
      <c r="F13" s="2">
        <f t="shared" si="0"/>
        <v>0.1</v>
      </c>
      <c r="G13" s="2">
        <v>52.2</v>
      </c>
      <c r="H13" s="2">
        <f t="shared" si="1"/>
        <v>5.2200000000000006</v>
      </c>
    </row>
    <row r="14" spans="1:12">
      <c r="B14" t="s">
        <v>13</v>
      </c>
      <c r="C14" s="2">
        <f>A3/1*1000/1000</f>
        <v>1</v>
      </c>
      <c r="D14" t="s">
        <v>14</v>
      </c>
      <c r="E14" s="3">
        <f>1500/10000</f>
        <v>0.15</v>
      </c>
      <c r="F14" s="2">
        <f t="shared" si="0"/>
        <v>0.15</v>
      </c>
      <c r="G14" s="2">
        <f>52200/1000</f>
        <v>52.2</v>
      </c>
      <c r="H14" s="2">
        <f t="shared" si="1"/>
        <v>7.83</v>
      </c>
    </row>
    <row r="15" spans="1:12">
      <c r="B15" s="6" t="s">
        <v>15</v>
      </c>
      <c r="F15" s="5">
        <f>SUM(F6:F14)</f>
        <v>1.9000000000000004</v>
      </c>
      <c r="H15" s="5">
        <f>SUM(H6:H14)</f>
        <v>99.179999999999993</v>
      </c>
      <c r="J15" s="5">
        <f>H15*1.17</f>
        <v>116.04059999999998</v>
      </c>
      <c r="L15" s="2"/>
    </row>
    <row r="16" spans="1:12">
      <c r="A16" s="6" t="s">
        <v>16</v>
      </c>
      <c r="B16" t="s">
        <v>19</v>
      </c>
      <c r="C16" s="2">
        <f>A3/1*1</f>
        <v>1</v>
      </c>
      <c r="D16" t="s">
        <v>12</v>
      </c>
      <c r="E16" s="3" t="s">
        <v>17</v>
      </c>
      <c r="F16" s="2" t="s">
        <v>17</v>
      </c>
      <c r="G16" s="2">
        <f>(1306/100)</f>
        <v>13.06</v>
      </c>
      <c r="H16" s="2">
        <f>C16*G16</f>
        <v>13.06</v>
      </c>
      <c r="L16" s="2"/>
    </row>
    <row r="17" spans="1:12">
      <c r="B17" t="s">
        <v>18</v>
      </c>
      <c r="C17" s="2">
        <f>A3/1*1</f>
        <v>1</v>
      </c>
      <c r="D17" t="s">
        <v>12</v>
      </c>
      <c r="E17" s="3" t="s">
        <v>17</v>
      </c>
      <c r="F17" s="2" t="s">
        <v>17</v>
      </c>
      <c r="G17" s="2">
        <f>(1045/100)</f>
        <v>10.45</v>
      </c>
      <c r="H17" s="2">
        <f>C17*G17</f>
        <v>10.45</v>
      </c>
      <c r="J17" s="5"/>
      <c r="L17" s="2"/>
    </row>
    <row r="18" spans="1:12">
      <c r="B18" t="s">
        <v>64</v>
      </c>
      <c r="C18" s="2">
        <f>A3/1*1</f>
        <v>1</v>
      </c>
      <c r="D18" t="s">
        <v>0</v>
      </c>
      <c r="E18" s="3" t="s">
        <v>17</v>
      </c>
      <c r="F18" s="2" t="s">
        <v>17</v>
      </c>
      <c r="G18" s="2">
        <f>(647/100)</f>
        <v>6.47</v>
      </c>
      <c r="H18" s="2">
        <f>C18*G18</f>
        <v>6.47</v>
      </c>
      <c r="J18" s="5"/>
      <c r="L18" s="5"/>
    </row>
    <row r="19" spans="1:12">
      <c r="B19" t="s">
        <v>25</v>
      </c>
      <c r="C19" s="2">
        <f>A3/1*1</f>
        <v>1</v>
      </c>
      <c r="D19" t="s">
        <v>14</v>
      </c>
      <c r="E19" s="3" t="s">
        <v>17</v>
      </c>
      <c r="F19" s="2" t="s">
        <v>17</v>
      </c>
      <c r="G19" s="2">
        <f>5</f>
        <v>5</v>
      </c>
      <c r="H19" s="2">
        <f>C19*G19</f>
        <v>5</v>
      </c>
    </row>
    <row r="20" spans="1:12">
      <c r="B20" s="6" t="s">
        <v>21</v>
      </c>
      <c r="H20" s="5">
        <f>SUM(H16:H19)</f>
        <v>34.979999999999997</v>
      </c>
      <c r="J20" s="5">
        <f>H20*1.17</f>
        <v>40.926599999999993</v>
      </c>
      <c r="L20" s="2"/>
    </row>
    <row r="21" spans="1:12">
      <c r="A21" s="6" t="s">
        <v>22</v>
      </c>
      <c r="B21" s="6" t="s">
        <v>23</v>
      </c>
      <c r="H21" s="5">
        <f>H15+H20</f>
        <v>134.16</v>
      </c>
      <c r="J21" s="5">
        <f>H21*1.17</f>
        <v>156.96719999999999</v>
      </c>
      <c r="L21" s="5">
        <f>J21*1.21</f>
        <v>189.93031199999999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F9084-A568-475C-A7C5-C26EF019C6CD}">
  <dimension ref="A1:L13"/>
  <sheetViews>
    <sheetView topLeftCell="B1" workbookViewId="0">
      <selection activeCell="J7" sqref="J7:L10"/>
    </sheetView>
  </sheetViews>
  <sheetFormatPr defaultRowHeight="15"/>
  <cols>
    <col min="1" max="1" width="17.85546875" customWidth="1"/>
    <col min="2" max="2" width="59.57031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65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66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f>52200/1000</f>
        <v>52.2</v>
      </c>
      <c r="H6" s="2">
        <f>F6*G6</f>
        <v>26.1</v>
      </c>
    </row>
    <row r="7" spans="1:12">
      <c r="B7" s="6" t="s">
        <v>15</v>
      </c>
      <c r="F7" s="5">
        <f>SUM(F6:F6)</f>
        <v>0.5</v>
      </c>
      <c r="H7" s="5">
        <f>SUM(H6:H6)</f>
        <v>26.1</v>
      </c>
      <c r="J7" s="5">
        <f>H7*1.17</f>
        <v>30.536999999999999</v>
      </c>
      <c r="L7" s="2"/>
    </row>
    <row r="8" spans="1:12">
      <c r="A8" s="6" t="s">
        <v>16</v>
      </c>
      <c r="B8" t="s">
        <v>67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(2104/10)</f>
        <v>210.4</v>
      </c>
      <c r="H8" s="2">
        <f>C8*G8</f>
        <v>210.4</v>
      </c>
      <c r="L8" s="2"/>
    </row>
    <row r="9" spans="1:12">
      <c r="B9" s="6" t="s">
        <v>21</v>
      </c>
      <c r="H9" s="5">
        <f>SUM(H8:H8)</f>
        <v>210.4</v>
      </c>
      <c r="J9" s="5">
        <f>H9*1.17</f>
        <v>246.16799999999998</v>
      </c>
      <c r="L9" s="2"/>
    </row>
    <row r="10" spans="1:12">
      <c r="A10" s="6" t="s">
        <v>22</v>
      </c>
      <c r="B10" s="6" t="s">
        <v>23</v>
      </c>
      <c r="H10" s="5">
        <f>H7+H9</f>
        <v>236.5</v>
      </c>
      <c r="J10" s="5">
        <f>H10*1.17</f>
        <v>276.70499999999998</v>
      </c>
      <c r="L10" s="5">
        <f>J10*1.21</f>
        <v>334.81304999999998</v>
      </c>
    </row>
    <row r="12" spans="1:12">
      <c r="J12" s="5"/>
      <c r="L12" s="2"/>
    </row>
    <row r="13" spans="1:12">
      <c r="J13" s="5"/>
      <c r="L13" s="5"/>
    </row>
  </sheetData>
  <pageMargins left="0.7" right="0.7" top="0.75" bottom="0.75" header="0.3" footer="0.3"/>
  <ignoredErrors>
    <ignoredError sqref="H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16EE7-6C40-49C4-B626-6F07D3B486CC}">
  <dimension ref="A1:L10"/>
  <sheetViews>
    <sheetView topLeftCell="A5" workbookViewId="0">
      <selection activeCell="E6" sqref="E6"/>
    </sheetView>
  </sheetViews>
  <sheetFormatPr defaultRowHeight="15"/>
  <cols>
    <col min="1" max="1" width="17.85546875" customWidth="1"/>
    <col min="2" max="2" width="71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68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69</v>
      </c>
      <c r="C6" s="2">
        <f>A3/1*1000/1000</f>
        <v>1</v>
      </c>
      <c r="D6" t="s">
        <v>0</v>
      </c>
      <c r="E6" s="3">
        <v>1</v>
      </c>
      <c r="F6" s="2">
        <v>1</v>
      </c>
      <c r="G6" s="2">
        <v>48.72</v>
      </c>
      <c r="H6" s="2">
        <f>F6*G6</f>
        <v>48.72</v>
      </c>
    </row>
    <row r="7" spans="1:12">
      <c r="B7" s="6" t="s">
        <v>15</v>
      </c>
      <c r="F7" s="5">
        <f>SUM(F6:F6)</f>
        <v>1</v>
      </c>
      <c r="H7" s="5">
        <f>SUM(H6:H6)</f>
        <v>48.72</v>
      </c>
      <c r="J7" s="5">
        <f>H7*1.17</f>
        <v>57.002399999999994</v>
      </c>
      <c r="L7" s="2"/>
    </row>
    <row r="8" spans="1:12">
      <c r="A8" s="6" t="s">
        <v>16</v>
      </c>
      <c r="B8" t="s">
        <v>70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334</f>
        <v>334</v>
      </c>
      <c r="H8" s="2">
        <f>C8*G8</f>
        <v>334</v>
      </c>
      <c r="L8" s="2"/>
    </row>
    <row r="9" spans="1:12">
      <c r="B9" s="6" t="s">
        <v>21</v>
      </c>
      <c r="H9" s="5">
        <f>SUM(H8:H8)</f>
        <v>334</v>
      </c>
      <c r="J9" s="5">
        <f>H9*1.17</f>
        <v>390.78</v>
      </c>
      <c r="L9" s="2"/>
    </row>
    <row r="10" spans="1:12">
      <c r="A10" s="6" t="s">
        <v>22</v>
      </c>
      <c r="B10" s="6" t="s">
        <v>23</v>
      </c>
      <c r="H10" s="5">
        <f>H7+H9</f>
        <v>382.72</v>
      </c>
      <c r="J10" s="5">
        <f>H10*1.17</f>
        <v>447.7824</v>
      </c>
      <c r="L10" s="5">
        <f>J10*1.21</f>
        <v>541.81670399999996</v>
      </c>
    </row>
  </sheetData>
  <pageMargins left="0.7" right="0.7" top="0.75" bottom="0.75" header="0.3" footer="0.3"/>
  <ignoredErrors>
    <ignoredError sqref="H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7BAB1-7D6B-45B4-91F5-60ECD3FD10E0}">
  <dimension ref="A1:L11"/>
  <sheetViews>
    <sheetView topLeftCell="C1" workbookViewId="0">
      <selection activeCell="J7" sqref="J7:L11"/>
    </sheetView>
  </sheetViews>
  <sheetFormatPr defaultRowHeight="15"/>
  <cols>
    <col min="1" max="1" width="17.85546875" customWidth="1"/>
    <col min="2" max="2" width="71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71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72</v>
      </c>
      <c r="C6" s="2">
        <f>A3/1*1000/1000</f>
        <v>1</v>
      </c>
      <c r="D6" t="s">
        <v>0</v>
      </c>
      <c r="E6" s="3">
        <f>10000/10000</f>
        <v>1</v>
      </c>
      <c r="F6" s="2">
        <f>C6*E6</f>
        <v>1</v>
      </c>
      <c r="G6" s="2">
        <v>48.72</v>
      </c>
      <c r="H6" s="2">
        <f>F6*G6</f>
        <v>48.72</v>
      </c>
    </row>
    <row r="7" spans="1:12">
      <c r="B7" s="6" t="s">
        <v>15</v>
      </c>
      <c r="F7" s="5">
        <f>SUM(F6:F6)</f>
        <v>1</v>
      </c>
      <c r="H7" s="5">
        <f>SUM(H6:H6)</f>
        <v>48.72</v>
      </c>
      <c r="J7" s="5">
        <f>H7*1.17</f>
        <v>57.002399999999994</v>
      </c>
      <c r="L7" s="2"/>
    </row>
    <row r="8" spans="1:12">
      <c r="A8" s="6" t="s">
        <v>16</v>
      </c>
      <c r="B8" t="s">
        <v>70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334</f>
        <v>334</v>
      </c>
      <c r="H8" s="2">
        <f>C8*G8</f>
        <v>334</v>
      </c>
      <c r="L8" s="2"/>
    </row>
    <row r="9" spans="1:12">
      <c r="B9" t="s">
        <v>73</v>
      </c>
      <c r="C9" s="2">
        <f>A3/1*1</f>
        <v>1</v>
      </c>
      <c r="D9" t="s">
        <v>0</v>
      </c>
      <c r="E9" s="3" t="s">
        <v>17</v>
      </c>
      <c r="F9" s="2" t="s">
        <v>17</v>
      </c>
      <c r="G9" s="2">
        <f>250</f>
        <v>250</v>
      </c>
      <c r="H9" s="2">
        <f>C9*G9</f>
        <v>250</v>
      </c>
      <c r="J9" s="5"/>
      <c r="L9" s="2"/>
    </row>
    <row r="10" spans="1:12">
      <c r="B10" s="6" t="s">
        <v>21</v>
      </c>
      <c r="H10" s="5">
        <f>SUM(H8:H9)</f>
        <v>584</v>
      </c>
      <c r="J10" s="5">
        <f>H10*1.17</f>
        <v>683.28</v>
      </c>
      <c r="L10" s="2"/>
    </row>
    <row r="11" spans="1:12">
      <c r="A11" s="6" t="s">
        <v>22</v>
      </c>
      <c r="B11" s="6" t="s">
        <v>23</v>
      </c>
      <c r="H11" s="5">
        <f>H7+H10</f>
        <v>632.72</v>
      </c>
      <c r="J11" s="5">
        <f>H11*1.17</f>
        <v>740.28239999999994</v>
      </c>
      <c r="L11" s="5">
        <f>J11*1.21</f>
        <v>895.74170399999991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DD8D4-C8DC-4756-A850-9E0ABBFC441E}">
  <dimension ref="A1:L11"/>
  <sheetViews>
    <sheetView topLeftCell="C1" workbookViewId="0">
      <selection activeCell="J7" sqref="J7:L11"/>
    </sheetView>
  </sheetViews>
  <sheetFormatPr defaultRowHeight="15"/>
  <cols>
    <col min="1" max="1" width="17.85546875" customWidth="1"/>
    <col min="2" max="2" width="50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74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75</v>
      </c>
      <c r="C6" s="2">
        <f>A3/1*1000/1000</f>
        <v>1</v>
      </c>
      <c r="D6" t="s">
        <v>0</v>
      </c>
      <c r="E6" s="3">
        <f>15000/10000</f>
        <v>1.5</v>
      </c>
      <c r="F6" s="2">
        <f>C6*E6</f>
        <v>1.5</v>
      </c>
      <c r="G6" s="2">
        <v>48.72</v>
      </c>
      <c r="H6" s="2">
        <f>F6*G6</f>
        <v>73.08</v>
      </c>
    </row>
    <row r="7" spans="1:12">
      <c r="B7" s="6" t="s">
        <v>15</v>
      </c>
      <c r="F7" s="5">
        <f>SUM(F6:F6)</f>
        <v>1.5</v>
      </c>
      <c r="H7" s="5">
        <f>SUM(H6:H6)</f>
        <v>73.08</v>
      </c>
      <c r="J7" s="5">
        <f>H7*1.17</f>
        <v>85.503599999999992</v>
      </c>
      <c r="L7" s="2"/>
    </row>
    <row r="8" spans="1:12">
      <c r="A8" s="6" t="s">
        <v>16</v>
      </c>
      <c r="B8" t="s">
        <v>76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(6938/100)</f>
        <v>69.38</v>
      </c>
      <c r="H8" s="2">
        <f>C8*G8</f>
        <v>69.38</v>
      </c>
      <c r="L8" s="2"/>
    </row>
    <row r="9" spans="1:12">
      <c r="B9" t="s">
        <v>32</v>
      </c>
      <c r="C9" s="2">
        <f>A3/1*1</f>
        <v>1</v>
      </c>
      <c r="D9" t="s">
        <v>33</v>
      </c>
      <c r="E9" s="3" t="s">
        <v>17</v>
      </c>
      <c r="F9" s="2" t="s">
        <v>17</v>
      </c>
      <c r="G9" s="2">
        <f>(624/100)</f>
        <v>6.24</v>
      </c>
      <c r="H9" s="2">
        <f>C9*G9</f>
        <v>6.24</v>
      </c>
      <c r="J9" s="5"/>
      <c r="L9" s="2"/>
    </row>
    <row r="10" spans="1:12">
      <c r="B10" s="6" t="s">
        <v>21</v>
      </c>
      <c r="H10" s="5">
        <f>SUM(H8:H9)</f>
        <v>75.61999999999999</v>
      </c>
      <c r="J10" s="5">
        <f>H10*1.17</f>
        <v>88.475399999999979</v>
      </c>
      <c r="L10" s="2"/>
    </row>
    <row r="11" spans="1:12">
      <c r="A11" s="6" t="s">
        <v>22</v>
      </c>
      <c r="B11" s="6" t="s">
        <v>23</v>
      </c>
      <c r="H11" s="5">
        <f>H7+H10</f>
        <v>148.69999999999999</v>
      </c>
      <c r="J11" s="5">
        <f>H11*1.17</f>
        <v>173.97899999999998</v>
      </c>
      <c r="L11" s="5">
        <f>J11*1.21</f>
        <v>210.51458999999997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30DE-96AE-47BE-A203-EDA3850A9DA7}">
  <dimension ref="A1:L11"/>
  <sheetViews>
    <sheetView topLeftCell="H1" workbookViewId="0">
      <selection activeCell="G31" sqref="G31"/>
    </sheetView>
  </sheetViews>
  <sheetFormatPr defaultRowHeight="15"/>
  <cols>
    <col min="1" max="1" width="17.85546875" customWidth="1"/>
    <col min="2" max="2" width="71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77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78</v>
      </c>
      <c r="C6" s="2">
        <f>A3/1*1000/1000</f>
        <v>1</v>
      </c>
      <c r="D6" t="s">
        <v>0</v>
      </c>
      <c r="E6" s="3">
        <f>10000/10000</f>
        <v>1</v>
      </c>
      <c r="F6" s="2">
        <f>C6*E6</f>
        <v>1</v>
      </c>
      <c r="G6" s="2">
        <v>48.72</v>
      </c>
      <c r="H6" s="2">
        <f>F6*G6</f>
        <v>48.72</v>
      </c>
    </row>
    <row r="7" spans="1:12">
      <c r="B7" s="1" t="s">
        <v>15</v>
      </c>
      <c r="F7" s="4">
        <f>SUM(F6:F6)</f>
        <v>1</v>
      </c>
      <c r="H7" s="4">
        <f>SUM(H6:H6)</f>
        <v>48.72</v>
      </c>
      <c r="J7" s="5">
        <f>H7*1.17</f>
        <v>57.002399999999994</v>
      </c>
      <c r="L7" s="2"/>
    </row>
    <row r="8" spans="1:12">
      <c r="A8" s="1" t="s">
        <v>16</v>
      </c>
      <c r="B8" t="s">
        <v>79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(16525/100)</f>
        <v>165.25</v>
      </c>
      <c r="H8" s="2">
        <f>C8*G8</f>
        <v>165.25</v>
      </c>
      <c r="L8" s="2"/>
    </row>
    <row r="9" spans="1:12">
      <c r="B9" t="s">
        <v>80</v>
      </c>
      <c r="C9" s="2">
        <f>A3/1*1</f>
        <v>1</v>
      </c>
      <c r="D9" t="s">
        <v>0</v>
      </c>
      <c r="E9" s="3" t="s">
        <v>17</v>
      </c>
      <c r="F9" s="2" t="s">
        <v>17</v>
      </c>
      <c r="G9" s="2">
        <f>(858/100)</f>
        <v>8.58</v>
      </c>
      <c r="H9" s="2">
        <f>C9*G9</f>
        <v>8.58</v>
      </c>
      <c r="J9" s="5"/>
      <c r="L9" s="2"/>
    </row>
    <row r="10" spans="1:12">
      <c r="B10" s="1" t="s">
        <v>21</v>
      </c>
      <c r="H10" s="4">
        <f>SUM(H8:H9)</f>
        <v>173.83</v>
      </c>
      <c r="J10" s="5">
        <f>H10*1.17</f>
        <v>203.3811</v>
      </c>
      <c r="L10" s="2"/>
    </row>
    <row r="11" spans="1:12">
      <c r="A11" s="1" t="s">
        <v>22</v>
      </c>
      <c r="B11" s="1" t="s">
        <v>23</v>
      </c>
      <c r="H11" s="4">
        <f>H7+H10</f>
        <v>222.55</v>
      </c>
      <c r="J11" s="5">
        <f>H11*1.17</f>
        <v>260.38349999999997</v>
      </c>
      <c r="L11" s="5">
        <f>J11*1.21</f>
        <v>315.06403499999993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0E9AD-ACE6-47A8-9673-A2425027BEEA}">
  <dimension ref="A1:L12"/>
  <sheetViews>
    <sheetView topLeftCell="B1" workbookViewId="0">
      <selection activeCell="J8" sqref="J8:L11"/>
    </sheetView>
  </sheetViews>
  <sheetFormatPr defaultRowHeight="15"/>
  <cols>
    <col min="1" max="1" width="17.85546875" customWidth="1"/>
    <col min="2" max="2" width="4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81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26</v>
      </c>
      <c r="C6" s="2">
        <f>A3/1*500/1000</f>
        <v>0.5</v>
      </c>
      <c r="D6" t="s">
        <v>27</v>
      </c>
      <c r="E6" s="3">
        <f>10000/10000</f>
        <v>1</v>
      </c>
      <c r="F6" s="2">
        <f>C6*E6</f>
        <v>0.5</v>
      </c>
      <c r="G6" s="2">
        <v>48.72</v>
      </c>
      <c r="H6" s="2">
        <f>F6*G6</f>
        <v>24.36</v>
      </c>
    </row>
    <row r="7" spans="1:12">
      <c r="B7" t="s">
        <v>28</v>
      </c>
      <c r="C7" s="2">
        <f>A3/1*500/1000</f>
        <v>0.5</v>
      </c>
      <c r="D7" t="s">
        <v>27</v>
      </c>
      <c r="E7" s="3">
        <f>10000/10000</f>
        <v>1</v>
      </c>
      <c r="F7" s="2">
        <f>C7*E7</f>
        <v>0.5</v>
      </c>
      <c r="G7" s="2">
        <v>48.72</v>
      </c>
      <c r="H7" s="2">
        <f>F7*G7</f>
        <v>24.36</v>
      </c>
    </row>
    <row r="8" spans="1:12">
      <c r="B8" s="1" t="s">
        <v>15</v>
      </c>
      <c r="F8" s="4">
        <f>SUM(F6:F7)</f>
        <v>1</v>
      </c>
      <c r="H8" s="4">
        <f>SUM(H6:H7)</f>
        <v>48.72</v>
      </c>
      <c r="J8" s="5">
        <f>H8*1.17</f>
        <v>57.002399999999994</v>
      </c>
      <c r="L8" s="2"/>
    </row>
    <row r="9" spans="1:12">
      <c r="A9" s="1" t="s">
        <v>16</v>
      </c>
      <c r="B9" t="s">
        <v>20</v>
      </c>
      <c r="C9" s="2">
        <f>A3/1*1</f>
        <v>1</v>
      </c>
      <c r="D9" t="s">
        <v>14</v>
      </c>
      <c r="E9" s="3" t="s">
        <v>17</v>
      </c>
      <c r="F9" s="2" t="s">
        <v>17</v>
      </c>
      <c r="G9" s="2">
        <f>10</f>
        <v>10</v>
      </c>
      <c r="H9" s="2">
        <f>C9*G9</f>
        <v>10</v>
      </c>
      <c r="L9" s="2"/>
    </row>
    <row r="10" spans="1:12">
      <c r="B10" s="1" t="s">
        <v>21</v>
      </c>
      <c r="H10" s="4">
        <f>SUM(H9:H9)</f>
        <v>10</v>
      </c>
      <c r="J10" s="5">
        <f>H10*1.17</f>
        <v>11.7</v>
      </c>
      <c r="L10" s="2"/>
    </row>
    <row r="11" spans="1:12">
      <c r="A11" s="1" t="s">
        <v>22</v>
      </c>
      <c r="B11" s="1" t="s">
        <v>23</v>
      </c>
      <c r="H11" s="4">
        <f>H8+H10</f>
        <v>58.72</v>
      </c>
      <c r="J11" s="5">
        <f>H11*1.17</f>
        <v>68.702399999999997</v>
      </c>
      <c r="L11" s="5">
        <f>J11*1.21</f>
        <v>83.129903999999996</v>
      </c>
    </row>
    <row r="12" spans="1:12">
      <c r="J12" s="5"/>
      <c r="L12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D3D37-747C-4677-9776-3CC13E3EEAC8}">
  <dimension ref="A1:L11"/>
  <sheetViews>
    <sheetView topLeftCell="C1" workbookViewId="0">
      <selection activeCell="J8" sqref="J8:L11"/>
    </sheetView>
  </sheetViews>
  <sheetFormatPr defaultRowHeight="15"/>
  <cols>
    <col min="1" max="1" width="17.85546875" customWidth="1"/>
    <col min="2" max="2" width="45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82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26</v>
      </c>
      <c r="C6" s="2">
        <f>A3/1*250/1000</f>
        <v>0.25</v>
      </c>
      <c r="D6" t="s">
        <v>27</v>
      </c>
      <c r="E6" s="3">
        <f>10000/10000</f>
        <v>1</v>
      </c>
      <c r="F6" s="2">
        <f>C6*E6</f>
        <v>0.25</v>
      </c>
      <c r="G6" s="2">
        <v>48.72</v>
      </c>
      <c r="H6" s="2">
        <f>F6*G6</f>
        <v>12.18</v>
      </c>
    </row>
    <row r="7" spans="1:12">
      <c r="B7" t="s">
        <v>28</v>
      </c>
      <c r="C7" s="2">
        <f>A3/1*500/1000</f>
        <v>0.5</v>
      </c>
      <c r="D7" t="s">
        <v>27</v>
      </c>
      <c r="E7" s="3">
        <f>10000/10000</f>
        <v>1</v>
      </c>
      <c r="F7" s="2">
        <f>C7*E7</f>
        <v>0.5</v>
      </c>
      <c r="G7" s="2">
        <v>48.72</v>
      </c>
      <c r="H7" s="2">
        <f>F7*G7</f>
        <v>24.36</v>
      </c>
    </row>
    <row r="8" spans="1:12">
      <c r="B8" s="1" t="s">
        <v>15</v>
      </c>
      <c r="F8" s="4">
        <f>SUM(F6:F7)</f>
        <v>0.75</v>
      </c>
      <c r="H8" s="4">
        <f>SUM(H6:H7)</f>
        <v>36.54</v>
      </c>
      <c r="J8" s="5">
        <f>H8*1.17</f>
        <v>42.751799999999996</v>
      </c>
      <c r="L8" s="2"/>
    </row>
    <row r="9" spans="1:12">
      <c r="A9" s="1" t="s">
        <v>16</v>
      </c>
      <c r="B9" t="s">
        <v>20</v>
      </c>
      <c r="C9" s="2">
        <f>A3/1*1</f>
        <v>1</v>
      </c>
      <c r="D9" t="s">
        <v>14</v>
      </c>
      <c r="E9" s="3" t="s">
        <v>17</v>
      </c>
      <c r="F9" s="2" t="s">
        <v>17</v>
      </c>
      <c r="G9" s="2">
        <f>10</f>
        <v>10</v>
      </c>
      <c r="H9" s="2">
        <f>C9*G9</f>
        <v>10</v>
      </c>
      <c r="L9" s="2"/>
    </row>
    <row r="10" spans="1:12">
      <c r="B10" s="1" t="s">
        <v>21</v>
      </c>
      <c r="H10" s="4">
        <f>SUM(H9:H9)</f>
        <v>10</v>
      </c>
      <c r="J10" s="5">
        <f>H10*1.17</f>
        <v>11.7</v>
      </c>
      <c r="L10" s="2"/>
    </row>
    <row r="11" spans="1:12">
      <c r="A11" s="1" t="s">
        <v>22</v>
      </c>
      <c r="B11" s="1" t="s">
        <v>23</v>
      </c>
      <c r="H11" s="4">
        <f>H8+H10</f>
        <v>46.54</v>
      </c>
      <c r="J11" s="5">
        <f>H11*1.17</f>
        <v>54.451799999999999</v>
      </c>
      <c r="L11" s="5">
        <f>J11*1.21</f>
        <v>65.886678000000003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E44F-E2CF-4EC2-8F54-AFD5DAF2A716}">
  <dimension ref="A1:L11"/>
  <sheetViews>
    <sheetView workbookViewId="0">
      <selection activeCell="J7" sqref="J7:L11"/>
    </sheetView>
  </sheetViews>
  <sheetFormatPr defaultRowHeight="15"/>
  <cols>
    <col min="1" max="1" width="17.85546875" customWidth="1"/>
    <col min="2" max="2" width="72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34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30</v>
      </c>
      <c r="C6" s="2">
        <f>A3/1*1000/1000</f>
        <v>1</v>
      </c>
      <c r="D6" t="s">
        <v>0</v>
      </c>
      <c r="E6" s="3">
        <f>6500/10000</f>
        <v>0.65</v>
      </c>
      <c r="F6" s="2">
        <f>C6*E6</f>
        <v>0.65</v>
      </c>
      <c r="G6" s="2">
        <v>52.2</v>
      </c>
      <c r="H6" s="2">
        <f>F6*G6</f>
        <v>33.93</v>
      </c>
    </row>
    <row r="7" spans="1:12">
      <c r="B7" s="1" t="s">
        <v>15</v>
      </c>
      <c r="F7" s="4">
        <f>SUM(F6:F6)</f>
        <v>0.65</v>
      </c>
      <c r="H7" s="4">
        <f>SUM(H6:H6)</f>
        <v>33.93</v>
      </c>
      <c r="J7" s="5">
        <f>H7*1.17</f>
        <v>39.698099999999997</v>
      </c>
      <c r="L7" s="2"/>
    </row>
    <row r="8" spans="1:12">
      <c r="A8" s="1" t="s">
        <v>16</v>
      </c>
      <c r="B8" t="s">
        <v>35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(7722/100)</f>
        <v>77.22</v>
      </c>
      <c r="H8" s="2">
        <f>C8*G8</f>
        <v>77.22</v>
      </c>
      <c r="L8" s="2"/>
    </row>
    <row r="9" spans="1:12">
      <c r="B9" t="s">
        <v>32</v>
      </c>
      <c r="C9" s="2">
        <f>A3/1*1</f>
        <v>1</v>
      </c>
      <c r="D9" t="s">
        <v>33</v>
      </c>
      <c r="E9" s="3" t="s">
        <v>17</v>
      </c>
      <c r="F9" s="2" t="s">
        <v>17</v>
      </c>
      <c r="G9" s="2">
        <f>(624/100)</f>
        <v>6.24</v>
      </c>
      <c r="H9" s="2">
        <f>C9*G9</f>
        <v>6.24</v>
      </c>
      <c r="L9" s="2"/>
    </row>
    <row r="10" spans="1:12">
      <c r="B10" s="1" t="s">
        <v>21</v>
      </c>
      <c r="H10" s="4">
        <f>SUM(H8:H9)</f>
        <v>83.46</v>
      </c>
      <c r="J10" s="5">
        <f>H10*1.17</f>
        <v>97.648199999999989</v>
      </c>
      <c r="L10" s="2"/>
    </row>
    <row r="11" spans="1:12">
      <c r="A11" s="1" t="s">
        <v>22</v>
      </c>
      <c r="B11" s="1" t="s">
        <v>23</v>
      </c>
      <c r="H11" s="4">
        <f>H7+H10</f>
        <v>117.38999999999999</v>
      </c>
      <c r="J11" s="5">
        <f>H11*1.17</f>
        <v>137.34629999999999</v>
      </c>
      <c r="L11" s="5">
        <f>J11*1.21</f>
        <v>166.18902299999996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7389B-E0D4-4207-BCAE-48847A572556}">
  <dimension ref="A1:L11"/>
  <sheetViews>
    <sheetView workbookViewId="0">
      <selection activeCell="J7" sqref="J7:L11"/>
    </sheetView>
  </sheetViews>
  <sheetFormatPr defaultRowHeight="15"/>
  <cols>
    <col min="1" max="1" width="17.85546875" customWidth="1"/>
    <col min="2" max="2" width="72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36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30</v>
      </c>
      <c r="C6" s="2">
        <f>A3/1*1000/1000</f>
        <v>1</v>
      </c>
      <c r="D6" t="s">
        <v>0</v>
      </c>
      <c r="E6" s="3">
        <f>6500/10000</f>
        <v>0.65</v>
      </c>
      <c r="F6" s="2">
        <f>C6*E6</f>
        <v>0.65</v>
      </c>
      <c r="G6" s="2">
        <v>52.2</v>
      </c>
      <c r="H6" s="2">
        <f>F6*G6</f>
        <v>33.93</v>
      </c>
    </row>
    <row r="7" spans="1:12">
      <c r="B7" s="1" t="s">
        <v>15</v>
      </c>
      <c r="F7" s="4">
        <f>SUM(F6:F6)</f>
        <v>0.65</v>
      </c>
      <c r="H7" s="4">
        <f>SUM(H6:H6)</f>
        <v>33.93</v>
      </c>
      <c r="J7" s="5">
        <f>H7*1.17</f>
        <v>39.698099999999997</v>
      </c>
      <c r="L7" s="2"/>
    </row>
    <row r="8" spans="1:12">
      <c r="A8" s="1" t="s">
        <v>16</v>
      </c>
      <c r="B8" t="s">
        <v>37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(9048/100)</f>
        <v>90.48</v>
      </c>
      <c r="H8" s="2">
        <f>C8*G8</f>
        <v>90.48</v>
      </c>
      <c r="L8" s="2"/>
    </row>
    <row r="9" spans="1:12">
      <c r="B9" t="s">
        <v>32</v>
      </c>
      <c r="C9" s="2">
        <f>A3/1*1</f>
        <v>1</v>
      </c>
      <c r="D9" t="s">
        <v>33</v>
      </c>
      <c r="E9" s="3" t="s">
        <v>17</v>
      </c>
      <c r="F9" s="2" t="s">
        <v>17</v>
      </c>
      <c r="G9" s="2">
        <f>(624/100)</f>
        <v>6.24</v>
      </c>
      <c r="H9" s="2">
        <f>C9*G9</f>
        <v>6.24</v>
      </c>
      <c r="L9" s="2"/>
    </row>
    <row r="10" spans="1:12">
      <c r="B10" s="1" t="s">
        <v>21</v>
      </c>
      <c r="H10" s="4">
        <f>SUM(H8:H9)</f>
        <v>96.72</v>
      </c>
      <c r="J10" s="5">
        <f>H10*1.17</f>
        <v>113.16239999999999</v>
      </c>
      <c r="L10" s="2"/>
    </row>
    <row r="11" spans="1:12">
      <c r="A11" s="1" t="s">
        <v>22</v>
      </c>
      <c r="B11" s="1" t="s">
        <v>23</v>
      </c>
      <c r="H11" s="4">
        <f>H7+H10</f>
        <v>130.65</v>
      </c>
      <c r="J11" s="5">
        <f>H11*1.17</f>
        <v>152.8605</v>
      </c>
      <c r="L11" s="5">
        <f>J11*1.21</f>
        <v>184.96120500000001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749F6-FFC7-4E5A-B453-C22E162AE0B8}">
  <dimension ref="A1:L11"/>
  <sheetViews>
    <sheetView workbookViewId="0">
      <selection activeCell="J7" sqref="J7:L11"/>
    </sheetView>
  </sheetViews>
  <sheetFormatPr defaultRowHeight="15"/>
  <cols>
    <col min="1" max="1" width="17.85546875" customWidth="1"/>
    <col min="2" max="2" width="54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38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39</v>
      </c>
      <c r="C6" s="2">
        <f>A3/1*1000/1000</f>
        <v>1</v>
      </c>
      <c r="D6" t="s">
        <v>0</v>
      </c>
      <c r="E6" s="3">
        <f>6000/10000</f>
        <v>0.6</v>
      </c>
      <c r="F6" s="2">
        <f>C6*E6</f>
        <v>0.6</v>
      </c>
      <c r="G6" s="2">
        <v>52.2</v>
      </c>
      <c r="H6" s="2">
        <f>F6*G6</f>
        <v>31.32</v>
      </c>
    </row>
    <row r="7" spans="1:12">
      <c r="B7" s="1" t="s">
        <v>15</v>
      </c>
      <c r="F7" s="4">
        <f>SUM(F6:F6)</f>
        <v>0.6</v>
      </c>
      <c r="H7" s="4">
        <f>SUM(H6:H6)</f>
        <v>31.32</v>
      </c>
      <c r="J7" s="5">
        <f>H7*1.17</f>
        <v>36.644399999999997</v>
      </c>
      <c r="L7" s="2"/>
    </row>
    <row r="8" spans="1:12">
      <c r="A8" s="1" t="s">
        <v>16</v>
      </c>
      <c r="B8" t="s">
        <v>40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(184/10)</f>
        <v>18.399999999999999</v>
      </c>
      <c r="H8" s="2">
        <f>C8*G8</f>
        <v>18.399999999999999</v>
      </c>
      <c r="L8" s="2"/>
    </row>
    <row r="9" spans="1:12">
      <c r="B9" t="s">
        <v>41</v>
      </c>
      <c r="C9" s="2">
        <f>A3/1*1</f>
        <v>1</v>
      </c>
      <c r="D9" t="s">
        <v>14</v>
      </c>
      <c r="E9" s="3" t="s">
        <v>17</v>
      </c>
      <c r="F9" s="2" t="s">
        <v>17</v>
      </c>
      <c r="G9" s="2">
        <f>(6/10)</f>
        <v>0.6</v>
      </c>
      <c r="H9" s="2">
        <f>C9*G9</f>
        <v>0.6</v>
      </c>
      <c r="L9" s="2"/>
    </row>
    <row r="10" spans="1:12">
      <c r="B10" s="1" t="s">
        <v>21</v>
      </c>
      <c r="H10" s="4">
        <f>SUM(H8:H9)</f>
        <v>19</v>
      </c>
      <c r="J10" s="5">
        <f>H10*1.17</f>
        <v>22.229999999999997</v>
      </c>
      <c r="L10" s="2"/>
    </row>
    <row r="11" spans="1:12">
      <c r="A11" s="1" t="s">
        <v>22</v>
      </c>
      <c r="B11" s="1" t="s">
        <v>23</v>
      </c>
      <c r="H11" s="4">
        <f>H7+H10</f>
        <v>50.32</v>
      </c>
      <c r="J11" s="5">
        <f>H11*1.17</f>
        <v>58.874399999999994</v>
      </c>
      <c r="L11" s="5">
        <f>J11*1.21</f>
        <v>71.238023999999996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487F-2AB7-4392-9321-E0E0DFE66637}">
  <dimension ref="A1:L11"/>
  <sheetViews>
    <sheetView workbookViewId="0">
      <selection activeCell="J7" sqref="J7:L11"/>
    </sheetView>
  </sheetViews>
  <sheetFormatPr defaultRowHeight="15"/>
  <cols>
    <col min="1" max="1" width="17.85546875" customWidth="1"/>
    <col min="2" max="2" width="51.8554687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42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43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v>48.72</v>
      </c>
      <c r="H6" s="2">
        <f>F6*G6</f>
        <v>24.36</v>
      </c>
    </row>
    <row r="7" spans="1:12">
      <c r="B7" s="1" t="s">
        <v>15</v>
      </c>
      <c r="F7" s="4">
        <f>SUM(F6:F6)</f>
        <v>0.5</v>
      </c>
      <c r="H7" s="4">
        <f>SUM(H6:H6)</f>
        <v>24.36</v>
      </c>
      <c r="J7" s="5">
        <f>H7*1.17</f>
        <v>28.501199999999997</v>
      </c>
      <c r="L7" s="2"/>
    </row>
    <row r="8" spans="1:12">
      <c r="A8" s="1" t="s">
        <v>16</v>
      </c>
      <c r="B8" t="s">
        <v>44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(585/10)</f>
        <v>58.5</v>
      </c>
      <c r="H8" s="2">
        <f>C8*G8</f>
        <v>58.5</v>
      </c>
      <c r="L8" s="2"/>
    </row>
    <row r="9" spans="1:12">
      <c r="B9" t="s">
        <v>32</v>
      </c>
      <c r="C9" s="2">
        <f>A3/1*1</f>
        <v>1</v>
      </c>
      <c r="D9" t="s">
        <v>33</v>
      </c>
      <c r="E9" s="3" t="s">
        <v>17</v>
      </c>
      <c r="F9" s="2" t="s">
        <v>17</v>
      </c>
      <c r="G9" s="2">
        <f>(624/100)</f>
        <v>6.24</v>
      </c>
      <c r="H9" s="2">
        <f>C9*G9</f>
        <v>6.24</v>
      </c>
      <c r="L9" s="2"/>
    </row>
    <row r="10" spans="1:12">
      <c r="B10" s="1" t="s">
        <v>21</v>
      </c>
      <c r="H10" s="4">
        <f>SUM(H8:H9)</f>
        <v>64.739999999999995</v>
      </c>
      <c r="J10" s="5">
        <f>H10*1.17</f>
        <v>75.745799999999988</v>
      </c>
      <c r="L10" s="2"/>
    </row>
    <row r="11" spans="1:12">
      <c r="A11" s="1" t="s">
        <v>22</v>
      </c>
      <c r="B11" s="1" t="s">
        <v>23</v>
      </c>
      <c r="H11" s="4">
        <f>H7+H10</f>
        <v>89.1</v>
      </c>
      <c r="J11" s="5">
        <f>H11*1.17</f>
        <v>104.24699999999999</v>
      </c>
      <c r="L11" s="5">
        <f>J11*1.21</f>
        <v>126.13886999999998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34E2-2589-4325-B13D-136735AC0130}">
  <dimension ref="A1:L11"/>
  <sheetViews>
    <sheetView workbookViewId="0">
      <selection activeCell="J7" sqref="J7:L11"/>
    </sheetView>
  </sheetViews>
  <sheetFormatPr defaultRowHeight="15"/>
  <cols>
    <col min="1" max="1" width="17.85546875" customWidth="1"/>
    <col min="2" max="2" width="67.140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1" t="s">
        <v>45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46</v>
      </c>
      <c r="C6" s="2">
        <f>A3/1*1000/1000</f>
        <v>1</v>
      </c>
      <c r="D6" t="s">
        <v>0</v>
      </c>
      <c r="E6" s="3">
        <f>5000/10000</f>
        <v>0.5</v>
      </c>
      <c r="F6" s="2">
        <f>C6*E6</f>
        <v>0.5</v>
      </c>
      <c r="G6" s="2">
        <v>52.2</v>
      </c>
      <c r="H6" s="2">
        <f>F6*G6</f>
        <v>26.1</v>
      </c>
    </row>
    <row r="7" spans="1:12">
      <c r="B7" s="1" t="s">
        <v>15</v>
      </c>
      <c r="F7" s="4">
        <f>SUM(F6:F6)</f>
        <v>0.5</v>
      </c>
      <c r="H7" s="4">
        <f>SUM(H6:H6)</f>
        <v>26.1</v>
      </c>
      <c r="J7" s="5">
        <f>H7*1.17</f>
        <v>30.536999999999999</v>
      </c>
      <c r="L7" s="2"/>
    </row>
    <row r="8" spans="1:12">
      <c r="A8" s="1" t="s">
        <v>16</v>
      </c>
      <c r="B8" t="s">
        <v>47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(9728/100)</f>
        <v>97.28</v>
      </c>
      <c r="H8" s="2">
        <f>C8*G8</f>
        <v>97.28</v>
      </c>
      <c r="L8" s="2"/>
    </row>
    <row r="9" spans="1:12">
      <c r="B9" t="s">
        <v>32</v>
      </c>
      <c r="C9" s="2">
        <f>A3/1*1</f>
        <v>1</v>
      </c>
      <c r="D9" t="s">
        <v>33</v>
      </c>
      <c r="E9" s="3" t="s">
        <v>17</v>
      </c>
      <c r="F9" s="2" t="s">
        <v>17</v>
      </c>
      <c r="G9" s="2">
        <f>(624/100)</f>
        <v>6.24</v>
      </c>
      <c r="H9" s="2">
        <f>C9*G9</f>
        <v>6.24</v>
      </c>
      <c r="L9" s="2"/>
    </row>
    <row r="10" spans="1:12">
      <c r="B10" s="1" t="s">
        <v>21</v>
      </c>
      <c r="H10" s="4">
        <f>SUM(H8:H9)</f>
        <v>103.52</v>
      </c>
      <c r="J10" s="5">
        <f>H10*1.17</f>
        <v>121.11839999999999</v>
      </c>
      <c r="L10" s="2"/>
    </row>
    <row r="11" spans="1:12">
      <c r="A11" s="1" t="s">
        <v>22</v>
      </c>
      <c r="B11" s="1" t="s">
        <v>23</v>
      </c>
      <c r="H11" s="4">
        <f>H7+H10</f>
        <v>129.62</v>
      </c>
      <c r="J11" s="5">
        <f>H11*1.17</f>
        <v>151.65539999999999</v>
      </c>
      <c r="L11" s="5">
        <f>J11*1.21</f>
        <v>183.50303399999999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D841-35E0-4EBB-AA7D-D25CC6202811}">
  <dimension ref="A1:L11"/>
  <sheetViews>
    <sheetView topLeftCell="G1" workbookViewId="0">
      <selection activeCell="J7" sqref="J7:L11"/>
    </sheetView>
  </sheetViews>
  <sheetFormatPr defaultRowHeight="15"/>
  <cols>
    <col min="1" max="1" width="17.85546875" customWidth="1"/>
    <col min="2" max="2" width="81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  <col min="10" max="10" width="9.140625" style="5"/>
  </cols>
  <sheetData>
    <row r="1" spans="1:12">
      <c r="A1" s="1" t="s">
        <v>48</v>
      </c>
    </row>
    <row r="3" spans="1:12">
      <c r="A3">
        <v>1</v>
      </c>
      <c r="B3" t="s">
        <v>0</v>
      </c>
    </row>
    <row r="5" spans="1:1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</row>
    <row r="6" spans="1:12">
      <c r="A6" s="1" t="s">
        <v>9</v>
      </c>
      <c r="B6" t="s">
        <v>49</v>
      </c>
      <c r="C6" s="2">
        <f>A3/1*1000/1000</f>
        <v>1</v>
      </c>
      <c r="D6" t="s">
        <v>0</v>
      </c>
      <c r="E6" s="3">
        <f>2500/10000</f>
        <v>0.25</v>
      </c>
      <c r="F6" s="2">
        <f>C6*E6</f>
        <v>0.25</v>
      </c>
      <c r="G6" s="2">
        <v>52.2</v>
      </c>
      <c r="H6" s="2">
        <f>F6*G6</f>
        <v>13.05</v>
      </c>
    </row>
    <row r="7" spans="1:12">
      <c r="B7" s="1" t="s">
        <v>15</v>
      </c>
      <c r="F7" s="4">
        <f>SUM(F6:F6)</f>
        <v>0.25</v>
      </c>
      <c r="H7" s="4">
        <f>SUM(H6:H6)</f>
        <v>13.05</v>
      </c>
      <c r="J7" s="5">
        <f>H7*1.17</f>
        <v>15.2685</v>
      </c>
      <c r="L7" s="2"/>
    </row>
    <row r="8" spans="1:12">
      <c r="A8" s="1" t="s">
        <v>16</v>
      </c>
      <c r="B8" t="s">
        <v>50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(512/10)</f>
        <v>51.2</v>
      </c>
      <c r="H8" s="2">
        <f>C8*G8</f>
        <v>51.2</v>
      </c>
      <c r="J8"/>
      <c r="L8" s="2"/>
    </row>
    <row r="9" spans="1:12">
      <c r="B9" t="s">
        <v>51</v>
      </c>
      <c r="C9" s="2">
        <f>A3/1*1</f>
        <v>1</v>
      </c>
      <c r="D9" t="s">
        <v>0</v>
      </c>
      <c r="E9" s="3" t="s">
        <v>17</v>
      </c>
      <c r="F9" s="2" t="s">
        <v>17</v>
      </c>
      <c r="G9" s="2">
        <f>(25/10)</f>
        <v>2.5</v>
      </c>
      <c r="H9" s="2">
        <f>C9*G9</f>
        <v>2.5</v>
      </c>
      <c r="J9"/>
      <c r="L9" s="2"/>
    </row>
    <row r="10" spans="1:12">
      <c r="B10" s="1" t="s">
        <v>21</v>
      </c>
      <c r="H10" s="4">
        <f>SUM(H8:H9)</f>
        <v>53.7</v>
      </c>
      <c r="J10" s="5">
        <f>H10*1.17</f>
        <v>62.829000000000001</v>
      </c>
      <c r="L10" s="2"/>
    </row>
    <row r="11" spans="1:12">
      <c r="A11" s="1" t="s">
        <v>22</v>
      </c>
      <c r="B11" s="1" t="s">
        <v>23</v>
      </c>
      <c r="H11" s="4">
        <f>H7+H10</f>
        <v>66.75</v>
      </c>
      <c r="J11" s="5">
        <f>H11*1.17</f>
        <v>78.097499999999997</v>
      </c>
      <c r="L11" s="5">
        <f>J11*1.21</f>
        <v>94.497974999999997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B8743-B95F-49EB-A8D3-4E2E81925708}">
  <dimension ref="A1:L11"/>
  <sheetViews>
    <sheetView topLeftCell="C1" workbookViewId="0">
      <selection activeCell="J7" sqref="J7:L11"/>
    </sheetView>
  </sheetViews>
  <sheetFormatPr defaultRowHeight="15"/>
  <cols>
    <col min="1" max="1" width="17.85546875" customWidth="1"/>
    <col min="2" max="2" width="64.28515625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52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39</v>
      </c>
      <c r="C6" s="2">
        <f>A3/1*1000/1000</f>
        <v>1</v>
      </c>
      <c r="D6" t="s">
        <v>0</v>
      </c>
      <c r="E6" s="3">
        <f>6000/10000</f>
        <v>0.6</v>
      </c>
      <c r="F6" s="2">
        <f>C6*E6</f>
        <v>0.6</v>
      </c>
      <c r="G6" s="2">
        <v>52.2</v>
      </c>
      <c r="H6" s="2">
        <f>F6*G6</f>
        <v>31.32</v>
      </c>
    </row>
    <row r="7" spans="1:12">
      <c r="B7" s="6" t="s">
        <v>15</v>
      </c>
      <c r="F7" s="5">
        <f>SUM(F6:F6)</f>
        <v>0.6</v>
      </c>
      <c r="H7" s="5">
        <f>SUM(H6:H6)</f>
        <v>31.32</v>
      </c>
      <c r="J7" s="5">
        <f>H7*1.17</f>
        <v>36.644399999999997</v>
      </c>
      <c r="L7" s="2"/>
    </row>
    <row r="8" spans="1:12">
      <c r="A8" s="6" t="s">
        <v>16</v>
      </c>
      <c r="B8" t="s">
        <v>53</v>
      </c>
      <c r="C8" s="2">
        <f>A3/1*1</f>
        <v>1</v>
      </c>
      <c r="D8" t="s">
        <v>0</v>
      </c>
      <c r="E8" s="3" t="s">
        <v>17</v>
      </c>
      <c r="F8" s="2" t="s">
        <v>17</v>
      </c>
      <c r="G8" s="2">
        <f>(456/10)</f>
        <v>45.6</v>
      </c>
      <c r="H8" s="2">
        <f>C8*G8</f>
        <v>45.6</v>
      </c>
      <c r="L8" s="2"/>
    </row>
    <row r="9" spans="1:12">
      <c r="B9" t="s">
        <v>41</v>
      </c>
      <c r="C9" s="2">
        <f>A3/1*1</f>
        <v>1</v>
      </c>
      <c r="D9" t="s">
        <v>14</v>
      </c>
      <c r="E9" s="3" t="s">
        <v>17</v>
      </c>
      <c r="F9" s="2" t="s">
        <v>17</v>
      </c>
      <c r="G9" s="2">
        <f>(6/10)</f>
        <v>0.6</v>
      </c>
      <c r="H9" s="2">
        <f>C9*G9</f>
        <v>0.6</v>
      </c>
      <c r="L9" s="2"/>
    </row>
    <row r="10" spans="1:12">
      <c r="B10" s="6" t="s">
        <v>21</v>
      </c>
      <c r="H10" s="5">
        <f>SUM(H8:H9)</f>
        <v>46.2</v>
      </c>
      <c r="J10" s="5">
        <f>H10*1.17</f>
        <v>54.054000000000002</v>
      </c>
      <c r="L10" s="2"/>
    </row>
    <row r="11" spans="1:12">
      <c r="A11" s="6" t="s">
        <v>22</v>
      </c>
      <c r="B11" s="6" t="s">
        <v>23</v>
      </c>
      <c r="H11" s="5">
        <f>H7+H10</f>
        <v>77.52000000000001</v>
      </c>
      <c r="J11" s="5">
        <f>H11*1.17</f>
        <v>90.698400000000007</v>
      </c>
      <c r="L11" s="5">
        <f>J11*1.21</f>
        <v>109.745064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A201-9CD8-47A8-9CEC-0A692308AB68}">
  <dimension ref="A1:L12"/>
  <sheetViews>
    <sheetView topLeftCell="H1" workbookViewId="0">
      <selection activeCell="J8" sqref="J8:L11"/>
    </sheetView>
  </sheetViews>
  <sheetFormatPr defaultRowHeight="15"/>
  <cols>
    <col min="1" max="1" width="17.85546875" customWidth="1"/>
    <col min="2" max="2" width="64" customWidth="1"/>
    <col min="3" max="3" width="12.7109375" customWidth="1"/>
    <col min="4" max="4" width="17" customWidth="1"/>
    <col min="5" max="5" width="17.7109375" customWidth="1"/>
    <col min="6" max="6" width="11.7109375" customWidth="1"/>
    <col min="7" max="7" width="23.85546875" customWidth="1"/>
    <col min="8" max="8" width="13.7109375" customWidth="1"/>
  </cols>
  <sheetData>
    <row r="1" spans="1:12">
      <c r="A1" s="6" t="s">
        <v>54</v>
      </c>
    </row>
    <row r="3" spans="1:12">
      <c r="A3">
        <v>1</v>
      </c>
      <c r="B3" t="s">
        <v>0</v>
      </c>
    </row>
    <row r="5" spans="1:12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12">
      <c r="A6" s="6" t="s">
        <v>9</v>
      </c>
      <c r="B6" t="s">
        <v>55</v>
      </c>
      <c r="C6" s="2">
        <f>A3/1*1000/1000</f>
        <v>1</v>
      </c>
      <c r="D6" t="s">
        <v>0</v>
      </c>
      <c r="E6" s="3">
        <f>4500/10000</f>
        <v>0.45</v>
      </c>
      <c r="F6" s="2">
        <f>C6*E6</f>
        <v>0.45</v>
      </c>
      <c r="G6" s="2">
        <v>52.2</v>
      </c>
      <c r="H6" s="2">
        <f>F6*G6</f>
        <v>23.490000000000002</v>
      </c>
    </row>
    <row r="7" spans="1:12">
      <c r="B7" t="s">
        <v>56</v>
      </c>
      <c r="C7" s="2">
        <f>A3/1*1000/1000</f>
        <v>1</v>
      </c>
      <c r="D7" t="s">
        <v>0</v>
      </c>
      <c r="E7" s="3">
        <f>3500/10000</f>
        <v>0.35</v>
      </c>
      <c r="F7" s="2">
        <f>C7*E7</f>
        <v>0.35</v>
      </c>
      <c r="G7" s="2">
        <v>52.2</v>
      </c>
      <c r="H7" s="2">
        <f>F7*G7</f>
        <v>18.27</v>
      </c>
    </row>
    <row r="8" spans="1:12">
      <c r="B8" s="6" t="s">
        <v>15</v>
      </c>
      <c r="F8" s="5">
        <f>SUM(F6:F7)</f>
        <v>0.8</v>
      </c>
      <c r="H8" s="5">
        <f>SUM(H6:H7)</f>
        <v>41.760000000000005</v>
      </c>
      <c r="J8" s="5">
        <f>H8*1.17</f>
        <v>48.859200000000001</v>
      </c>
      <c r="L8" s="2"/>
    </row>
    <row r="9" spans="1:12">
      <c r="A9" s="6" t="s">
        <v>16</v>
      </c>
      <c r="B9" t="s">
        <v>57</v>
      </c>
      <c r="C9" s="2">
        <f>A3/1*1</f>
        <v>1</v>
      </c>
      <c r="D9" t="s">
        <v>0</v>
      </c>
      <c r="E9" s="3" t="s">
        <v>17</v>
      </c>
      <c r="F9" s="2" t="s">
        <v>17</v>
      </c>
      <c r="G9" s="2">
        <f>(1176/10)</f>
        <v>117.6</v>
      </c>
      <c r="H9" s="2">
        <f>C9*G9</f>
        <v>117.6</v>
      </c>
      <c r="L9" s="2"/>
    </row>
    <row r="10" spans="1:12">
      <c r="B10" s="6" t="s">
        <v>21</v>
      </c>
      <c r="H10" s="5">
        <f>SUM(H9:H9)</f>
        <v>117.6</v>
      </c>
      <c r="J10" s="5">
        <f>H10*1.17</f>
        <v>137.59199999999998</v>
      </c>
      <c r="L10" s="2"/>
    </row>
    <row r="11" spans="1:12">
      <c r="A11" s="6" t="s">
        <v>22</v>
      </c>
      <c r="B11" s="6" t="s">
        <v>23</v>
      </c>
      <c r="H11" s="5">
        <f>H8+H10</f>
        <v>159.36000000000001</v>
      </c>
      <c r="J11" s="5">
        <f>H11*1.17</f>
        <v>186.4512</v>
      </c>
      <c r="L11" s="5">
        <f>J11*1.21</f>
        <v>225.605952</v>
      </c>
    </row>
    <row r="12" spans="1:12">
      <c r="J12" s="5"/>
      <c r="L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B1</vt:lpstr>
      <vt:lpstr>B2</vt:lpstr>
      <vt:lpstr>B3</vt:lpstr>
      <vt:lpstr>B4</vt:lpstr>
      <vt:lpstr>B5</vt:lpstr>
      <vt:lpstr>B6</vt:lpstr>
      <vt:lpstr>B7</vt:lpstr>
      <vt:lpstr>B8</vt:lpstr>
      <vt:lpstr>B9</vt:lpstr>
      <vt:lpstr>B10</vt:lpstr>
      <vt:lpstr>B11</vt:lpstr>
      <vt:lpstr>B12</vt:lpstr>
      <vt:lpstr>B13</vt:lpstr>
      <vt:lpstr>B14</vt:lpstr>
      <vt:lpstr>B15</vt:lpstr>
      <vt:lpstr>B16</vt:lpstr>
      <vt:lpstr>B17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Boudewijn</dc:creator>
  <cp:lastModifiedBy>Simone Calis</cp:lastModifiedBy>
  <dcterms:created xsi:type="dcterms:W3CDTF">2023-04-24T14:38:00Z</dcterms:created>
  <dcterms:modified xsi:type="dcterms:W3CDTF">2023-04-26T12:17:32Z</dcterms:modified>
</cp:coreProperties>
</file>