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ijn documenten\L&amp;C Consult\Regio Gooi en Vechtstreek\"/>
    </mc:Choice>
  </mc:AlternateContent>
  <xr:revisionPtr revIDLastSave="0" documentId="13_ncr:1_{C577AEAE-554B-400E-9A30-DB81B1CD2873}" xr6:coauthVersionLast="47" xr6:coauthVersionMax="47" xr10:uidLastSave="{00000000-0000-0000-0000-000000000000}"/>
  <bookViews>
    <workbookView xWindow="-120" yWindow="-120" windowWidth="29040" windowHeight="15840" tabRatio="601" firstSheet="3" activeTab="5" xr2:uid="{00000000-000D-0000-FFFF-FFFF00000000}"/>
  </bookViews>
  <sheets>
    <sheet name="G1" sheetId="109" r:id="rId1"/>
    <sheet name="G2" sheetId="110" r:id="rId2"/>
    <sheet name="G2b" sheetId="112" r:id="rId3"/>
    <sheet name="G3" sheetId="111" r:id="rId4"/>
    <sheet name="G4" sheetId="113" r:id="rId5"/>
    <sheet name="G5" sheetId="114" r:id="rId6"/>
    <sheet name="G6" sheetId="115" r:id="rId7"/>
    <sheet name="G7" sheetId="116" r:id="rId8"/>
  </sheets>
  <calcPr calcId="181029"/>
</workbook>
</file>

<file path=xl/calcChain.xml><?xml version="1.0" encoding="utf-8"?>
<calcChain xmlns="http://schemas.openxmlformats.org/spreadsheetml/2006/main">
  <c r="J41" i="116" l="1"/>
  <c r="L41" i="116" s="1"/>
  <c r="J40" i="116"/>
  <c r="J23" i="116"/>
  <c r="G39" i="116"/>
  <c r="C39" i="116"/>
  <c r="H39" i="116" s="1"/>
  <c r="H38" i="116"/>
  <c r="G38" i="116"/>
  <c r="C38" i="116"/>
  <c r="G37" i="116"/>
  <c r="C37" i="116"/>
  <c r="H37" i="116" s="1"/>
  <c r="H36" i="116"/>
  <c r="G36" i="116"/>
  <c r="C36" i="116"/>
  <c r="G35" i="116"/>
  <c r="C35" i="116"/>
  <c r="H35" i="116" s="1"/>
  <c r="H34" i="116"/>
  <c r="G34" i="116"/>
  <c r="C34" i="116"/>
  <c r="G33" i="116"/>
  <c r="C33" i="116"/>
  <c r="H33" i="116" s="1"/>
  <c r="H32" i="116"/>
  <c r="G32" i="116"/>
  <c r="C32" i="116"/>
  <c r="G31" i="116"/>
  <c r="C31" i="116"/>
  <c r="H31" i="116" s="1"/>
  <c r="H30" i="116"/>
  <c r="G30" i="116"/>
  <c r="C30" i="116"/>
  <c r="G29" i="116"/>
  <c r="C29" i="116"/>
  <c r="H29" i="116" s="1"/>
  <c r="H28" i="116"/>
  <c r="G28" i="116"/>
  <c r="C28" i="116"/>
  <c r="G27" i="116"/>
  <c r="C27" i="116"/>
  <c r="H27" i="116" s="1"/>
  <c r="H26" i="116"/>
  <c r="G26" i="116"/>
  <c r="C26" i="116"/>
  <c r="G25" i="116"/>
  <c r="C25" i="116"/>
  <c r="H25" i="116" s="1"/>
  <c r="H24" i="116"/>
  <c r="G24" i="116"/>
  <c r="C24" i="116"/>
  <c r="E22" i="116"/>
  <c r="C22" i="116"/>
  <c r="F22" i="116" s="1"/>
  <c r="H22" i="116" s="1"/>
  <c r="F21" i="116"/>
  <c r="H21" i="116" s="1"/>
  <c r="E21" i="116"/>
  <c r="C21" i="116"/>
  <c r="E20" i="116"/>
  <c r="F20" i="116" s="1"/>
  <c r="H20" i="116" s="1"/>
  <c r="C20" i="116"/>
  <c r="E19" i="116"/>
  <c r="C19" i="116"/>
  <c r="F19" i="116" s="1"/>
  <c r="H19" i="116" s="1"/>
  <c r="E18" i="116"/>
  <c r="C18" i="116"/>
  <c r="F18" i="116" s="1"/>
  <c r="H18" i="116" s="1"/>
  <c r="E17" i="116"/>
  <c r="C17" i="116"/>
  <c r="F17" i="116" s="1"/>
  <c r="H17" i="116" s="1"/>
  <c r="E16" i="116"/>
  <c r="C16" i="116"/>
  <c r="F16" i="116" s="1"/>
  <c r="H16" i="116" s="1"/>
  <c r="F15" i="116"/>
  <c r="H15" i="116" s="1"/>
  <c r="E15" i="116"/>
  <c r="C15" i="116"/>
  <c r="E14" i="116"/>
  <c r="F14" i="116" s="1"/>
  <c r="H14" i="116" s="1"/>
  <c r="C14" i="116"/>
  <c r="E13" i="116"/>
  <c r="C13" i="116"/>
  <c r="F13" i="116" s="1"/>
  <c r="H13" i="116" s="1"/>
  <c r="E12" i="116"/>
  <c r="C12" i="116"/>
  <c r="F12" i="116" s="1"/>
  <c r="H12" i="116" s="1"/>
  <c r="E11" i="116"/>
  <c r="C11" i="116"/>
  <c r="F11" i="116" s="1"/>
  <c r="H11" i="116" s="1"/>
  <c r="E10" i="116"/>
  <c r="C10" i="116"/>
  <c r="F10" i="116" s="1"/>
  <c r="H10" i="116" s="1"/>
  <c r="F9" i="116"/>
  <c r="H9" i="116" s="1"/>
  <c r="E9" i="116"/>
  <c r="C9" i="116"/>
  <c r="E8" i="116"/>
  <c r="F8" i="116" s="1"/>
  <c r="H8" i="116" s="1"/>
  <c r="C8" i="116"/>
  <c r="E7" i="116"/>
  <c r="C7" i="116"/>
  <c r="F7" i="116" s="1"/>
  <c r="H7" i="116" s="1"/>
  <c r="E6" i="116"/>
  <c r="C6" i="116"/>
  <c r="F6" i="116" s="1"/>
  <c r="J38" i="115"/>
  <c r="L38" i="115" s="1"/>
  <c r="J37" i="115"/>
  <c r="J21" i="115"/>
  <c r="G36" i="115"/>
  <c r="C36" i="115"/>
  <c r="H36" i="115" s="1"/>
  <c r="H35" i="115"/>
  <c r="G35" i="115"/>
  <c r="C35" i="115"/>
  <c r="G34" i="115"/>
  <c r="C34" i="115"/>
  <c r="H34" i="115" s="1"/>
  <c r="H33" i="115"/>
  <c r="G33" i="115"/>
  <c r="C33" i="115"/>
  <c r="G32" i="115"/>
  <c r="C32" i="115"/>
  <c r="H32" i="115" s="1"/>
  <c r="H31" i="115"/>
  <c r="G31" i="115"/>
  <c r="C31" i="115"/>
  <c r="G30" i="115"/>
  <c r="C30" i="115"/>
  <c r="H30" i="115" s="1"/>
  <c r="H29" i="115"/>
  <c r="G29" i="115"/>
  <c r="C29" i="115"/>
  <c r="G28" i="115"/>
  <c r="C28" i="115"/>
  <c r="H28" i="115" s="1"/>
  <c r="H27" i="115"/>
  <c r="G27" i="115"/>
  <c r="C27" i="115"/>
  <c r="G26" i="115"/>
  <c r="C26" i="115"/>
  <c r="H26" i="115" s="1"/>
  <c r="H25" i="115"/>
  <c r="G25" i="115"/>
  <c r="C25" i="115"/>
  <c r="G24" i="115"/>
  <c r="C24" i="115"/>
  <c r="H24" i="115" s="1"/>
  <c r="H23" i="115"/>
  <c r="G23" i="115"/>
  <c r="C23" i="115"/>
  <c r="G22" i="115"/>
  <c r="C22" i="115"/>
  <c r="H22" i="115" s="1"/>
  <c r="E20" i="115"/>
  <c r="C20" i="115"/>
  <c r="F20" i="115" s="1"/>
  <c r="H20" i="115" s="1"/>
  <c r="E19" i="115"/>
  <c r="C19" i="115"/>
  <c r="F19" i="115" s="1"/>
  <c r="H19" i="115" s="1"/>
  <c r="E18" i="115"/>
  <c r="C18" i="115"/>
  <c r="F18" i="115" s="1"/>
  <c r="H18" i="115" s="1"/>
  <c r="E17" i="115"/>
  <c r="C17" i="115"/>
  <c r="F17" i="115" s="1"/>
  <c r="H17" i="115" s="1"/>
  <c r="F16" i="115"/>
  <c r="H16" i="115" s="1"/>
  <c r="E16" i="115"/>
  <c r="C16" i="115"/>
  <c r="E15" i="115"/>
  <c r="F15" i="115" s="1"/>
  <c r="H15" i="115" s="1"/>
  <c r="C15" i="115"/>
  <c r="E14" i="115"/>
  <c r="C14" i="115"/>
  <c r="F14" i="115" s="1"/>
  <c r="H14" i="115" s="1"/>
  <c r="E13" i="115"/>
  <c r="C13" i="115"/>
  <c r="F13" i="115" s="1"/>
  <c r="H13" i="115" s="1"/>
  <c r="E12" i="115"/>
  <c r="C12" i="115"/>
  <c r="F12" i="115" s="1"/>
  <c r="H12" i="115" s="1"/>
  <c r="E11" i="115"/>
  <c r="F11" i="115" s="1"/>
  <c r="H11" i="115" s="1"/>
  <c r="C11" i="115"/>
  <c r="F10" i="115"/>
  <c r="H10" i="115" s="1"/>
  <c r="E10" i="115"/>
  <c r="C10" i="115"/>
  <c r="E9" i="115"/>
  <c r="F9" i="115" s="1"/>
  <c r="H9" i="115" s="1"/>
  <c r="C9" i="115"/>
  <c r="E8" i="115"/>
  <c r="C8" i="115"/>
  <c r="F8" i="115" s="1"/>
  <c r="H8" i="115" s="1"/>
  <c r="E7" i="115"/>
  <c r="C7" i="115"/>
  <c r="F7" i="115" s="1"/>
  <c r="H7" i="115" s="1"/>
  <c r="E6" i="115"/>
  <c r="C6" i="115"/>
  <c r="F6" i="115" s="1"/>
  <c r="J14" i="114"/>
  <c r="H16" i="114"/>
  <c r="C16" i="114"/>
  <c r="H15" i="114"/>
  <c r="G15" i="114"/>
  <c r="C15" i="114"/>
  <c r="E13" i="114"/>
  <c r="C13" i="114"/>
  <c r="F13" i="114" s="1"/>
  <c r="H13" i="114" s="1"/>
  <c r="F12" i="114"/>
  <c r="H12" i="114" s="1"/>
  <c r="E12" i="114"/>
  <c r="C12" i="114"/>
  <c r="E11" i="114"/>
  <c r="C11" i="114"/>
  <c r="F11" i="114" s="1"/>
  <c r="H11" i="114" s="1"/>
  <c r="E10" i="114"/>
  <c r="C10" i="114"/>
  <c r="F10" i="114" s="1"/>
  <c r="H10" i="114" s="1"/>
  <c r="F9" i="114"/>
  <c r="H9" i="114" s="1"/>
  <c r="E9" i="114"/>
  <c r="C9" i="114"/>
  <c r="E8" i="114"/>
  <c r="C8" i="114"/>
  <c r="F8" i="114" s="1"/>
  <c r="H8" i="114" s="1"/>
  <c r="E7" i="114"/>
  <c r="C7" i="114"/>
  <c r="F7" i="114" s="1"/>
  <c r="H7" i="114" s="1"/>
  <c r="F6" i="114"/>
  <c r="E6" i="114"/>
  <c r="C6" i="114"/>
  <c r="J13" i="113"/>
  <c r="H14" i="113"/>
  <c r="H15" i="113" s="1"/>
  <c r="J15" i="113" s="1"/>
  <c r="C14" i="113"/>
  <c r="G12" i="113"/>
  <c r="E12" i="113"/>
  <c r="C12" i="113"/>
  <c r="F12" i="113" s="1"/>
  <c r="H12" i="113" s="1"/>
  <c r="G11" i="113"/>
  <c r="E11" i="113"/>
  <c r="F11" i="113" s="1"/>
  <c r="H11" i="113" s="1"/>
  <c r="C11" i="113"/>
  <c r="G10" i="113"/>
  <c r="E10" i="113"/>
  <c r="C10" i="113"/>
  <c r="F10" i="113" s="1"/>
  <c r="H10" i="113" s="1"/>
  <c r="G9" i="113"/>
  <c r="E9" i="113"/>
  <c r="C9" i="113"/>
  <c r="F9" i="113" s="1"/>
  <c r="H9" i="113" s="1"/>
  <c r="G8" i="113"/>
  <c r="F8" i="113"/>
  <c r="H8" i="113" s="1"/>
  <c r="E8" i="113"/>
  <c r="C8" i="113"/>
  <c r="G7" i="113"/>
  <c r="E7" i="113"/>
  <c r="C7" i="113"/>
  <c r="F7" i="113" s="1"/>
  <c r="H7" i="113" s="1"/>
  <c r="G6" i="113"/>
  <c r="E6" i="113"/>
  <c r="C6" i="113"/>
  <c r="F6" i="113" s="1"/>
  <c r="J41" i="112"/>
  <c r="L41" i="112" s="1"/>
  <c r="J40" i="112"/>
  <c r="J23" i="112"/>
  <c r="G39" i="112"/>
  <c r="C39" i="112"/>
  <c r="H39" i="112" s="1"/>
  <c r="H38" i="112"/>
  <c r="G38" i="112"/>
  <c r="C38" i="112"/>
  <c r="G37" i="112"/>
  <c r="C37" i="112"/>
  <c r="H37" i="112" s="1"/>
  <c r="H36" i="112"/>
  <c r="G36" i="112"/>
  <c r="C36" i="112"/>
  <c r="G35" i="112"/>
  <c r="C35" i="112"/>
  <c r="H35" i="112" s="1"/>
  <c r="H34" i="112"/>
  <c r="G34" i="112"/>
  <c r="C34" i="112"/>
  <c r="G33" i="112"/>
  <c r="C33" i="112"/>
  <c r="H33" i="112" s="1"/>
  <c r="H32" i="112"/>
  <c r="G32" i="112"/>
  <c r="C32" i="112"/>
  <c r="G31" i="112"/>
  <c r="C31" i="112"/>
  <c r="H31" i="112" s="1"/>
  <c r="H30" i="112"/>
  <c r="G30" i="112"/>
  <c r="C30" i="112"/>
  <c r="G29" i="112"/>
  <c r="C29" i="112"/>
  <c r="H29" i="112" s="1"/>
  <c r="H28" i="112"/>
  <c r="G28" i="112"/>
  <c r="C28" i="112"/>
  <c r="G27" i="112"/>
  <c r="C27" i="112"/>
  <c r="H27" i="112" s="1"/>
  <c r="H26" i="112"/>
  <c r="G26" i="112"/>
  <c r="C26" i="112"/>
  <c r="G25" i="112"/>
  <c r="C25" i="112"/>
  <c r="H25" i="112" s="1"/>
  <c r="H24" i="112"/>
  <c r="G24" i="112"/>
  <c r="C24" i="112"/>
  <c r="E22" i="112"/>
  <c r="C22" i="112"/>
  <c r="F22" i="112" s="1"/>
  <c r="H22" i="112" s="1"/>
  <c r="F21" i="112"/>
  <c r="H21" i="112" s="1"/>
  <c r="E21" i="112"/>
  <c r="C21" i="112"/>
  <c r="E20" i="112"/>
  <c r="F20" i="112" s="1"/>
  <c r="H20" i="112" s="1"/>
  <c r="C20" i="112"/>
  <c r="E19" i="112"/>
  <c r="C19" i="112"/>
  <c r="F19" i="112" s="1"/>
  <c r="H19" i="112" s="1"/>
  <c r="E18" i="112"/>
  <c r="C18" i="112"/>
  <c r="F18" i="112" s="1"/>
  <c r="H18" i="112" s="1"/>
  <c r="E17" i="112"/>
  <c r="C17" i="112"/>
  <c r="F17" i="112" s="1"/>
  <c r="H17" i="112" s="1"/>
  <c r="E16" i="112"/>
  <c r="C16" i="112"/>
  <c r="F16" i="112" s="1"/>
  <c r="H16" i="112" s="1"/>
  <c r="F15" i="112"/>
  <c r="H15" i="112" s="1"/>
  <c r="E15" i="112"/>
  <c r="C15" i="112"/>
  <c r="E14" i="112"/>
  <c r="F14" i="112" s="1"/>
  <c r="H14" i="112" s="1"/>
  <c r="C14" i="112"/>
  <c r="E13" i="112"/>
  <c r="C13" i="112"/>
  <c r="F13" i="112" s="1"/>
  <c r="H13" i="112" s="1"/>
  <c r="E12" i="112"/>
  <c r="C12" i="112"/>
  <c r="F12" i="112" s="1"/>
  <c r="H12" i="112" s="1"/>
  <c r="E11" i="112"/>
  <c r="C11" i="112"/>
  <c r="F11" i="112" s="1"/>
  <c r="H11" i="112" s="1"/>
  <c r="E10" i="112"/>
  <c r="C10" i="112"/>
  <c r="F10" i="112" s="1"/>
  <c r="H10" i="112" s="1"/>
  <c r="F9" i="112"/>
  <c r="H9" i="112" s="1"/>
  <c r="E9" i="112"/>
  <c r="C9" i="112"/>
  <c r="E8" i="112"/>
  <c r="F8" i="112" s="1"/>
  <c r="H8" i="112" s="1"/>
  <c r="C8" i="112"/>
  <c r="E7" i="112"/>
  <c r="C7" i="112"/>
  <c r="F7" i="112" s="1"/>
  <c r="H7" i="112" s="1"/>
  <c r="E6" i="112"/>
  <c r="C6" i="112"/>
  <c r="F6" i="112" s="1"/>
  <c r="J35" i="111"/>
  <c r="L35" i="111" s="1"/>
  <c r="J34" i="111"/>
  <c r="J20" i="111"/>
  <c r="G33" i="111"/>
  <c r="H33" i="111" s="1"/>
  <c r="C33" i="111"/>
  <c r="H32" i="111"/>
  <c r="G32" i="111"/>
  <c r="C32" i="111"/>
  <c r="G31" i="111"/>
  <c r="H31" i="111" s="1"/>
  <c r="C31" i="111"/>
  <c r="H30" i="111"/>
  <c r="G30" i="111"/>
  <c r="C30" i="111"/>
  <c r="G29" i="111"/>
  <c r="H29" i="111" s="1"/>
  <c r="C29" i="111"/>
  <c r="H28" i="111"/>
  <c r="G28" i="111"/>
  <c r="C28" i="111"/>
  <c r="G27" i="111"/>
  <c r="H27" i="111" s="1"/>
  <c r="C27" i="111"/>
  <c r="H26" i="111"/>
  <c r="G26" i="111"/>
  <c r="C26" i="111"/>
  <c r="G25" i="111"/>
  <c r="H25" i="111" s="1"/>
  <c r="C25" i="111"/>
  <c r="H24" i="111"/>
  <c r="G24" i="111"/>
  <c r="C24" i="111"/>
  <c r="G23" i="111"/>
  <c r="H23" i="111" s="1"/>
  <c r="C23" i="111"/>
  <c r="H22" i="111"/>
  <c r="G22" i="111"/>
  <c r="C22" i="111"/>
  <c r="G21" i="111"/>
  <c r="H21" i="111" s="1"/>
  <c r="C21" i="111"/>
  <c r="E19" i="111"/>
  <c r="C19" i="111"/>
  <c r="F19" i="111" s="1"/>
  <c r="H19" i="111" s="1"/>
  <c r="E18" i="111"/>
  <c r="F18" i="111" s="1"/>
  <c r="H18" i="111" s="1"/>
  <c r="C18" i="111"/>
  <c r="E17" i="111"/>
  <c r="C17" i="111"/>
  <c r="F17" i="111" s="1"/>
  <c r="H17" i="111" s="1"/>
  <c r="E16" i="111"/>
  <c r="C16" i="111"/>
  <c r="F16" i="111" s="1"/>
  <c r="H16" i="111" s="1"/>
  <c r="F15" i="111"/>
  <c r="H15" i="111" s="1"/>
  <c r="E15" i="111"/>
  <c r="C15" i="111"/>
  <c r="E14" i="111"/>
  <c r="C14" i="111"/>
  <c r="F14" i="111" s="1"/>
  <c r="H14" i="111" s="1"/>
  <c r="E13" i="111"/>
  <c r="C13" i="111"/>
  <c r="F13" i="111" s="1"/>
  <c r="H13" i="111" s="1"/>
  <c r="E12" i="111"/>
  <c r="F12" i="111" s="1"/>
  <c r="H12" i="111" s="1"/>
  <c r="C12" i="111"/>
  <c r="E11" i="111"/>
  <c r="C11" i="111"/>
  <c r="F11" i="111" s="1"/>
  <c r="H11" i="111" s="1"/>
  <c r="E10" i="111"/>
  <c r="C10" i="111"/>
  <c r="F10" i="111" s="1"/>
  <c r="H10" i="111" s="1"/>
  <c r="F9" i="111"/>
  <c r="H9" i="111" s="1"/>
  <c r="E9" i="111"/>
  <c r="C9" i="111"/>
  <c r="E8" i="111"/>
  <c r="C8" i="111"/>
  <c r="F8" i="111" s="1"/>
  <c r="H8" i="111" s="1"/>
  <c r="E7" i="111"/>
  <c r="C7" i="111"/>
  <c r="F7" i="111" s="1"/>
  <c r="H7" i="111" s="1"/>
  <c r="E6" i="111"/>
  <c r="F6" i="111" s="1"/>
  <c r="C6" i="111"/>
  <c r="L40" i="110"/>
  <c r="J40" i="110"/>
  <c r="J39" i="110"/>
  <c r="J24" i="110"/>
  <c r="G38" i="110"/>
  <c r="C38" i="110"/>
  <c r="H38" i="110" s="1"/>
  <c r="H37" i="110"/>
  <c r="G37" i="110"/>
  <c r="C37" i="110"/>
  <c r="G36" i="110"/>
  <c r="C36" i="110"/>
  <c r="H36" i="110" s="1"/>
  <c r="H35" i="110"/>
  <c r="G35" i="110"/>
  <c r="C35" i="110"/>
  <c r="G34" i="110"/>
  <c r="C34" i="110"/>
  <c r="H34" i="110" s="1"/>
  <c r="H33" i="110"/>
  <c r="G33" i="110"/>
  <c r="C33" i="110"/>
  <c r="G32" i="110"/>
  <c r="C32" i="110"/>
  <c r="H32" i="110" s="1"/>
  <c r="H31" i="110"/>
  <c r="G31" i="110"/>
  <c r="C31" i="110"/>
  <c r="G30" i="110"/>
  <c r="C30" i="110"/>
  <c r="H30" i="110" s="1"/>
  <c r="H29" i="110"/>
  <c r="G29" i="110"/>
  <c r="C29" i="110"/>
  <c r="G28" i="110"/>
  <c r="C28" i="110"/>
  <c r="H28" i="110" s="1"/>
  <c r="H27" i="110"/>
  <c r="G27" i="110"/>
  <c r="C27" i="110"/>
  <c r="G26" i="110"/>
  <c r="C26" i="110"/>
  <c r="H26" i="110" s="1"/>
  <c r="H25" i="110"/>
  <c r="G25" i="110"/>
  <c r="C25" i="110"/>
  <c r="E23" i="110"/>
  <c r="C23" i="110"/>
  <c r="F23" i="110" s="1"/>
  <c r="H23" i="110" s="1"/>
  <c r="F22" i="110"/>
  <c r="H22" i="110" s="1"/>
  <c r="E22" i="110"/>
  <c r="C22" i="110"/>
  <c r="E21" i="110"/>
  <c r="F21" i="110" s="1"/>
  <c r="H21" i="110" s="1"/>
  <c r="C21" i="110"/>
  <c r="E20" i="110"/>
  <c r="C20" i="110"/>
  <c r="F20" i="110" s="1"/>
  <c r="H20" i="110" s="1"/>
  <c r="E19" i="110"/>
  <c r="C19" i="110"/>
  <c r="F19" i="110" s="1"/>
  <c r="H19" i="110" s="1"/>
  <c r="E18" i="110"/>
  <c r="C18" i="110"/>
  <c r="F18" i="110" s="1"/>
  <c r="H18" i="110" s="1"/>
  <c r="E17" i="110"/>
  <c r="C17" i="110"/>
  <c r="F17" i="110" s="1"/>
  <c r="H17" i="110" s="1"/>
  <c r="F16" i="110"/>
  <c r="H16" i="110" s="1"/>
  <c r="E16" i="110"/>
  <c r="C16" i="110"/>
  <c r="E15" i="110"/>
  <c r="F15" i="110" s="1"/>
  <c r="H15" i="110" s="1"/>
  <c r="C15" i="110"/>
  <c r="E14" i="110"/>
  <c r="C14" i="110"/>
  <c r="F14" i="110" s="1"/>
  <c r="H14" i="110" s="1"/>
  <c r="E13" i="110"/>
  <c r="C13" i="110"/>
  <c r="F13" i="110" s="1"/>
  <c r="H13" i="110" s="1"/>
  <c r="E12" i="110"/>
  <c r="C12" i="110"/>
  <c r="F12" i="110" s="1"/>
  <c r="H12" i="110" s="1"/>
  <c r="E11" i="110"/>
  <c r="C11" i="110"/>
  <c r="F11" i="110" s="1"/>
  <c r="H11" i="110" s="1"/>
  <c r="F10" i="110"/>
  <c r="H10" i="110" s="1"/>
  <c r="E10" i="110"/>
  <c r="C10" i="110"/>
  <c r="E9" i="110"/>
  <c r="F9" i="110" s="1"/>
  <c r="H9" i="110" s="1"/>
  <c r="C9" i="110"/>
  <c r="E8" i="110"/>
  <c r="C8" i="110"/>
  <c r="F8" i="110" s="1"/>
  <c r="H8" i="110" s="1"/>
  <c r="E7" i="110"/>
  <c r="C7" i="110"/>
  <c r="F7" i="110" s="1"/>
  <c r="H7" i="110" s="1"/>
  <c r="E6" i="110"/>
  <c r="C6" i="110"/>
  <c r="F6" i="110" s="1"/>
  <c r="L42" i="109"/>
  <c r="J42" i="109"/>
  <c r="J41" i="109"/>
  <c r="J25" i="109"/>
  <c r="H40" i="109"/>
  <c r="G40" i="109"/>
  <c r="C40" i="109"/>
  <c r="H39" i="109"/>
  <c r="G39" i="109"/>
  <c r="C39" i="109"/>
  <c r="H38" i="109"/>
  <c r="G38" i="109"/>
  <c r="C38" i="109"/>
  <c r="H37" i="109"/>
  <c r="G37" i="109"/>
  <c r="C37" i="109"/>
  <c r="H36" i="109"/>
  <c r="G36" i="109"/>
  <c r="C36" i="109"/>
  <c r="H35" i="109"/>
  <c r="G35" i="109"/>
  <c r="C35" i="109"/>
  <c r="H34" i="109"/>
  <c r="G34" i="109"/>
  <c r="C34" i="109"/>
  <c r="H33" i="109"/>
  <c r="G33" i="109"/>
  <c r="C33" i="109"/>
  <c r="H32" i="109"/>
  <c r="G32" i="109"/>
  <c r="C32" i="109"/>
  <c r="H31" i="109"/>
  <c r="G31" i="109"/>
  <c r="C31" i="109"/>
  <c r="H30" i="109"/>
  <c r="G30" i="109"/>
  <c r="C30" i="109"/>
  <c r="H29" i="109"/>
  <c r="G29" i="109"/>
  <c r="C29" i="109"/>
  <c r="H28" i="109"/>
  <c r="G28" i="109"/>
  <c r="C28" i="109"/>
  <c r="H27" i="109"/>
  <c r="G27" i="109"/>
  <c r="C27" i="109"/>
  <c r="H26" i="109"/>
  <c r="H41" i="109" s="1"/>
  <c r="G26" i="109"/>
  <c r="C26" i="109"/>
  <c r="E24" i="109"/>
  <c r="C24" i="109"/>
  <c r="F24" i="109" s="1"/>
  <c r="H24" i="109" s="1"/>
  <c r="F23" i="109"/>
  <c r="H23" i="109" s="1"/>
  <c r="E23" i="109"/>
  <c r="C23" i="109"/>
  <c r="E22" i="109"/>
  <c r="F22" i="109" s="1"/>
  <c r="H22" i="109" s="1"/>
  <c r="C22" i="109"/>
  <c r="E21" i="109"/>
  <c r="C21" i="109"/>
  <c r="F21" i="109" s="1"/>
  <c r="H21" i="109" s="1"/>
  <c r="F20" i="109"/>
  <c r="H20" i="109" s="1"/>
  <c r="E20" i="109"/>
  <c r="C20" i="109"/>
  <c r="E19" i="109"/>
  <c r="F19" i="109" s="1"/>
  <c r="H19" i="109" s="1"/>
  <c r="C19" i="109"/>
  <c r="E18" i="109"/>
  <c r="C18" i="109"/>
  <c r="F18" i="109" s="1"/>
  <c r="H18" i="109" s="1"/>
  <c r="F17" i="109"/>
  <c r="H17" i="109" s="1"/>
  <c r="E17" i="109"/>
  <c r="C17" i="109"/>
  <c r="E16" i="109"/>
  <c r="F16" i="109" s="1"/>
  <c r="H16" i="109" s="1"/>
  <c r="C16" i="109"/>
  <c r="E15" i="109"/>
  <c r="C15" i="109"/>
  <c r="F15" i="109" s="1"/>
  <c r="H15" i="109" s="1"/>
  <c r="F14" i="109"/>
  <c r="H14" i="109" s="1"/>
  <c r="E14" i="109"/>
  <c r="C14" i="109"/>
  <c r="E13" i="109"/>
  <c r="F13" i="109" s="1"/>
  <c r="H13" i="109" s="1"/>
  <c r="C13" i="109"/>
  <c r="E12" i="109"/>
  <c r="C12" i="109"/>
  <c r="F12" i="109" s="1"/>
  <c r="H12" i="109" s="1"/>
  <c r="F11" i="109"/>
  <c r="H11" i="109" s="1"/>
  <c r="E11" i="109"/>
  <c r="C11" i="109"/>
  <c r="E10" i="109"/>
  <c r="F10" i="109" s="1"/>
  <c r="H10" i="109" s="1"/>
  <c r="C10" i="109"/>
  <c r="E9" i="109"/>
  <c r="C9" i="109"/>
  <c r="F9" i="109" s="1"/>
  <c r="H9" i="109" s="1"/>
  <c r="F8" i="109"/>
  <c r="H8" i="109" s="1"/>
  <c r="E8" i="109"/>
  <c r="C8" i="109"/>
  <c r="E7" i="109"/>
  <c r="F7" i="109" s="1"/>
  <c r="H7" i="109" s="1"/>
  <c r="C7" i="109"/>
  <c r="E6" i="109"/>
  <c r="C6" i="109"/>
  <c r="F6" i="109" s="1"/>
  <c r="H17" i="114" l="1"/>
  <c r="J17" i="114" s="1"/>
  <c r="H6" i="116"/>
  <c r="H23" i="116" s="1"/>
  <c r="F23" i="116"/>
  <c r="H40" i="116"/>
  <c r="F21" i="115"/>
  <c r="H6" i="115"/>
  <c r="H21" i="115" s="1"/>
  <c r="H38" i="115" s="1"/>
  <c r="H37" i="115"/>
  <c r="F14" i="114"/>
  <c r="H6" i="114"/>
  <c r="H14" i="114" s="1"/>
  <c r="F13" i="113"/>
  <c r="H6" i="113"/>
  <c r="H13" i="113" s="1"/>
  <c r="H16" i="113" s="1"/>
  <c r="J16" i="113" s="1"/>
  <c r="L16" i="113" s="1"/>
  <c r="H6" i="112"/>
  <c r="H23" i="112" s="1"/>
  <c r="H41" i="112" s="1"/>
  <c r="F23" i="112"/>
  <c r="H40" i="112"/>
  <c r="F20" i="111"/>
  <c r="H6" i="111"/>
  <c r="H20" i="111" s="1"/>
  <c r="H34" i="111"/>
  <c r="H39" i="110"/>
  <c r="F24" i="110"/>
  <c r="H6" i="110"/>
  <c r="H24" i="110" s="1"/>
  <c r="F25" i="109"/>
  <c r="H6" i="109"/>
  <c r="H25" i="109" s="1"/>
  <c r="H42" i="109" s="1"/>
  <c r="H18" i="114" l="1"/>
  <c r="J18" i="114" s="1"/>
  <c r="L18" i="114" s="1"/>
  <c r="H41" i="116"/>
  <c r="H35" i="111"/>
  <c r="H40" i="110"/>
</calcChain>
</file>

<file path=xl/sharedStrings.xml><?xml version="1.0" encoding="utf-8"?>
<sst xmlns="http://schemas.openxmlformats.org/spreadsheetml/2006/main" count="726" uniqueCount="104">
  <si>
    <t>stk</t>
  </si>
  <si>
    <t>Kostencomponent</t>
  </si>
  <si>
    <t>Omschrijving</t>
  </si>
  <si>
    <t>Hoeveelheid</t>
  </si>
  <si>
    <t>Verbruik eenheid</t>
  </si>
  <si>
    <t>Norm per eenheid</t>
  </si>
  <si>
    <t>Totaal uren</t>
  </si>
  <si>
    <t>Kosten per uur / eenheid</t>
  </si>
  <si>
    <t>Totaal Kosten</t>
  </si>
  <si>
    <t>Loonkosten</t>
  </si>
  <si>
    <t>m</t>
  </si>
  <si>
    <t>Werkplek opruimen en afkomend materiaal afvoeren</t>
  </si>
  <si>
    <t>post</t>
  </si>
  <si>
    <t>Subtotaal loonkosten</t>
  </si>
  <si>
    <t>Materialkosten</t>
  </si>
  <si>
    <t/>
  </si>
  <si>
    <t>Subtotaal materiaalkosten</t>
  </si>
  <si>
    <t>Directe kosten</t>
  </si>
  <si>
    <t>Eindtotaal directe kosten</t>
  </si>
  <si>
    <t>Looppad afplakken (binnen)</t>
  </si>
  <si>
    <t>m2</t>
  </si>
  <si>
    <t>Puin of afgekomen materiaal afvoeren en deponeren in container</t>
  </si>
  <si>
    <t>m3</t>
  </si>
  <si>
    <t>Easydek Floor Cover, zelfklevende folie, 100 mµ, blank, rol 0,6 x 60 m1</t>
  </si>
  <si>
    <t>Mapei voorstrijkmiddel, Primer G</t>
  </si>
  <si>
    <t>kg</t>
  </si>
  <si>
    <t>Bouw- en sloopafval in container, inclusief transport en stortkosten</t>
  </si>
  <si>
    <t>dag</t>
  </si>
  <si>
    <t>Bevestigingsmiddelen timmerwerk</t>
  </si>
  <si>
    <t>Bestaande gevelopening verbreden in halfsteens buitenmuur, bestaande kozijn en deur verwijderen, excl. lichtschakelaar verplaatsen</t>
  </si>
  <si>
    <t>Betimmering deurkozijn verwijderen</t>
  </si>
  <si>
    <t>Buitenkozijn met deur verwijderen</t>
  </si>
  <si>
    <t>Onderdorpel deurkozijn verwijderen</t>
  </si>
  <si>
    <t>Maatvoering voor zaagwerk in metselwerk</t>
  </si>
  <si>
    <t>Zaagwerk in gemetselde wand</t>
  </si>
  <si>
    <t>Buitenwand slopen, halfsteens metselwerk</t>
  </si>
  <si>
    <t>Bestaande betonlatei slopen</t>
  </si>
  <si>
    <t>Onderstempeling halfsteens muur</t>
  </si>
  <si>
    <t>Stalen latei aanbrengen</t>
  </si>
  <si>
    <t>Buitendeurkozijn aanbrengen</t>
  </si>
  <si>
    <t>Hardstenen onderdorpel aanbrengen</t>
  </si>
  <si>
    <t>Aftimmeringen rondom kozijnen aanbrengen</t>
  </si>
  <si>
    <t>Buitendeur aanbrengen, inclusief beglazing, hang- en sluitwerk</t>
  </si>
  <si>
    <t>Muur en stucwerk repareren</t>
  </si>
  <si>
    <t>Aanhelen vloer</t>
  </si>
  <si>
    <t>Schilderwerk buitendeurkozijn, inclusief aftimmerlatten</t>
  </si>
  <si>
    <t>Schilderwerk buitendeur</t>
  </si>
  <si>
    <t>Afschrijving stempels en onderslagbalken</t>
  </si>
  <si>
    <t>Muurkracht verzinkte latei, thermisch verzinkt, 90x90x3 mm, 3x gezet, lang 1200 mm</t>
  </si>
  <si>
    <t>Hardhouten deurkozijn, inclusief DTS-dorpel, deurmaat 930 x 2.315 mm</t>
  </si>
  <si>
    <t>Hardhouten buitendeur met 6 stapeldorpels en brede stijlen 39 x 140 mm voor isolerend glas, deurafmeting 930 x 2315 mm</t>
  </si>
  <si>
    <t>Hang- en sluitwerk deur, compleet incl. 3-puntssluiting</t>
  </si>
  <si>
    <t>Isolatieglas HR++ 5//4 dubbel glas</t>
  </si>
  <si>
    <t>Meranti aftimmerlat, blank gelakt, 12 x 55 mm</t>
  </si>
  <si>
    <t>Kalkmortel</t>
  </si>
  <si>
    <t>Knauf Fix Finish dunpleistergips</t>
  </si>
  <si>
    <t>Mapei egalisatiemortel, Ultraplan Maxi, voor dikte 3 - 40 mm</t>
  </si>
  <si>
    <t>Materiaal schilderwerk buitendeurkozijn</t>
  </si>
  <si>
    <t>Materiaal schilderwerk buitendeur</t>
  </si>
  <si>
    <t>Muurzaagmachine, zaagdiepte tot 145 mm, vermogen 3 kW, voeding 230 V</t>
  </si>
  <si>
    <t>Binnendeur met kozijn verwijderen, opening verbreden en nieuw kozijn met schuifdeur aanbrengen, excl. lichtschakelaar verplaatsen</t>
  </si>
  <si>
    <t>Binnenkozijn met deur verwijderen, inclusief onderdorpel</t>
  </si>
  <si>
    <t>Binnenwand slopen, halfsteens metselwerk</t>
  </si>
  <si>
    <t>Baksteen- of staltonlatei aanbrengen</t>
  </si>
  <si>
    <t>Schuifdeurkozijn stellen</t>
  </si>
  <si>
    <t>Schuifdeur monteren</t>
  </si>
  <si>
    <t>Slot binnendeur aanbrengen</t>
  </si>
  <si>
    <t>Schilderwerk binnendeurkozijn</t>
  </si>
  <si>
    <t>Baksteenlatei (stalton) 60 x 100 mm</t>
  </si>
  <si>
    <t>Theuma stalen schuifdeurkozijn, type SIW 1, voor deurbreedte 980 en 1.030 mm, en deurhoogte 2.100 mm</t>
  </si>
  <si>
    <t>Theuma schuifdeur, type A1, celroostervulling, breedte 980 en 1.030 mm, hoogte 2.100 mm</t>
  </si>
  <si>
    <t>Dag- en nachtslot binnendeur, staal gelakte voorplaat, doornmaat 50 mm, Nemef type 1266/4</t>
  </si>
  <si>
    <t>Materiaal schilderwerk binnendeurkozijn</t>
  </si>
  <si>
    <t>Bestaande gevelopening verbreden in houten buitenwand, bestaande kozijn en deur verwijderen, excl. lichtschakelaar verplaatsen</t>
  </si>
  <si>
    <t>Maatvoering voor zaagwerk in houten wanden</t>
  </si>
  <si>
    <t>Houten wand doorzagen</t>
  </si>
  <si>
    <t>Houten wand repareren</t>
  </si>
  <si>
    <t>Houtmateriaal voor aftimmerwerk/reparatie</t>
  </si>
  <si>
    <t>Bandenzaagmachine, zaagdiepte tot 145 mm, voeding 230 V</t>
  </si>
  <si>
    <t>Binnendeur met kozijn verwijderen, verbreden van opening en nieuw kozijn met draaideur aanbrengen, excl. lichtschakelaar verplaatsen</t>
  </si>
  <si>
    <t>Houten montagekozijn aanbrengen</t>
  </si>
  <si>
    <t>Binnendeur afhangen, inclusief hang- en sluitwerk</t>
  </si>
  <si>
    <t>Svedex houten binnendeurkozijn, montagekozijn, opdek, meranti, wanddikte 100/125 mm</t>
  </si>
  <si>
    <t>Afgelakte board opdekdeur met honingraatvulling, wit gelakt, 930 x 2.315 mm</t>
  </si>
  <si>
    <t>Deurpaumelle opdekdeur, inboorpaumelle, Axa, diameter 14 mm</t>
  </si>
  <si>
    <t>Kruk binnendeur met kortschild, geëloxeerde uitvoering, Hoppe</t>
  </si>
  <si>
    <t>paar</t>
  </si>
  <si>
    <t>Draairichting bestaand binnendeur wijzigen, deur naar andere zijde, opdekdeur</t>
  </si>
  <si>
    <t>Bestaande binnendeur uitnemen</t>
  </si>
  <si>
    <t>Bestaand hang en sluitwerk omzetten</t>
  </si>
  <si>
    <t>Kozijn uitfrezen, op maat bestaande sponningdiepte</t>
  </si>
  <si>
    <t>Slotplaat infrezen en monteren</t>
  </si>
  <si>
    <t>Binnendeur afhangen, opdek</t>
  </si>
  <si>
    <t>Kozijn en deur repareren en bijwerken</t>
  </si>
  <si>
    <t>Draairichting bestaand binnendeur wijzigen, deur naar andere zijde, stompe deur</t>
  </si>
  <si>
    <t>Nieuwe aanslaglat (sponninglat) monteren</t>
  </si>
  <si>
    <t>Binnendeur afhangen/pasmaken</t>
  </si>
  <si>
    <t>Vurenhout klasse C FSC, geschaafd, 21 x 48 mm</t>
  </si>
  <si>
    <t>Nieuwe doorgang maken in bestaande halfsteens buitenmuur, nieuw kozijn met deur plaatsen, excl. lichtschakelaar</t>
  </si>
  <si>
    <t>Nieuwe doorgang maken in bestaande spouwmuur, nieuw kozijn en deur plaatsen, excl. lichtschakelaar</t>
  </si>
  <si>
    <t>Slopen gevel (spouwmuur) woning</t>
  </si>
  <si>
    <t>Onderstempeling spouwmuur</t>
  </si>
  <si>
    <t>Hardhouten buitendeur met 6 stapeldorpels en brede stijlen 39 x 140 mm voor isolerend glas, deurafmeting 930 x 2115 mm</t>
  </si>
  <si>
    <t>Toeslag (klein) materiaal, verf, materieel, diversen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</si>
</sst>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2"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4" fontId="0" fillId="0" borderId="0" xfId="0" applyNumberFormat="1"/>
    <xf numFmtId="164" fontId="0" fillId="0" borderId="0" xfId="0" applyNumberFormat="1"/>
    <xf numFmtId="4" fontId="1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7A955-3F53-493C-BF54-BFF41665CCCF}">
  <dimension ref="A1:L42"/>
  <sheetViews>
    <sheetView topLeftCell="B1" workbookViewId="0">
      <selection activeCell="G35" sqref="G35"/>
    </sheetView>
  </sheetViews>
  <sheetFormatPr defaultRowHeight="15"/>
  <cols>
    <col min="1" max="1" width="17.85546875" customWidth="1"/>
    <col min="2" max="2" width="110.14062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  <col min="10" max="12" width="9.140625" style="4"/>
  </cols>
  <sheetData>
    <row r="1" spans="1:8">
      <c r="A1" s="1" t="s">
        <v>29</v>
      </c>
    </row>
    <row r="3" spans="1:8">
      <c r="A3">
        <v>1</v>
      </c>
      <c r="B3" t="s">
        <v>0</v>
      </c>
    </row>
    <row r="5" spans="1:8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</row>
    <row r="6" spans="1:8">
      <c r="A6" s="1" t="s">
        <v>9</v>
      </c>
      <c r="B6" t="s">
        <v>30</v>
      </c>
      <c r="C6" s="2">
        <f>A3/1*5000/1000</f>
        <v>5</v>
      </c>
      <c r="D6" t="s">
        <v>10</v>
      </c>
      <c r="E6" s="3">
        <f>400/10000</f>
        <v>0.04</v>
      </c>
      <c r="F6" s="2">
        <f t="shared" ref="F6:F24" si="0">C6*E6</f>
        <v>0.2</v>
      </c>
      <c r="G6" s="2">
        <v>48.72</v>
      </c>
      <c r="H6" s="2">
        <f t="shared" ref="H6:H24" si="1">F6*G6</f>
        <v>9.7439999999999998</v>
      </c>
    </row>
    <row r="7" spans="1:8">
      <c r="B7" t="s">
        <v>31</v>
      </c>
      <c r="C7" s="2">
        <f>A3/1*1000/1000</f>
        <v>1</v>
      </c>
      <c r="D7" t="s">
        <v>0</v>
      </c>
      <c r="E7" s="3">
        <f>12500/10000</f>
        <v>1.25</v>
      </c>
      <c r="F7" s="2">
        <f t="shared" si="0"/>
        <v>1.25</v>
      </c>
      <c r="G7" s="2">
        <v>48.72</v>
      </c>
      <c r="H7" s="2">
        <f t="shared" si="1"/>
        <v>60.9</v>
      </c>
    </row>
    <row r="8" spans="1:8">
      <c r="B8" t="s">
        <v>32</v>
      </c>
      <c r="C8" s="2">
        <f>A3/1*1000/1000</f>
        <v>1</v>
      </c>
      <c r="D8" t="s">
        <v>10</v>
      </c>
      <c r="E8" s="3">
        <f>3000/10000</f>
        <v>0.3</v>
      </c>
      <c r="F8" s="2">
        <f t="shared" si="0"/>
        <v>0.3</v>
      </c>
      <c r="G8" s="2">
        <v>48.72</v>
      </c>
      <c r="H8" s="2">
        <f t="shared" si="1"/>
        <v>14.616</v>
      </c>
    </row>
    <row r="9" spans="1:8">
      <c r="B9" t="s">
        <v>33</v>
      </c>
      <c r="C9" s="2">
        <f>A3/1*3000/1000</f>
        <v>3</v>
      </c>
      <c r="D9" t="s">
        <v>10</v>
      </c>
      <c r="E9" s="3">
        <f>1000/10000</f>
        <v>0.1</v>
      </c>
      <c r="F9" s="2">
        <f t="shared" si="0"/>
        <v>0.30000000000000004</v>
      </c>
      <c r="G9" s="2">
        <v>48.72</v>
      </c>
      <c r="H9" s="2">
        <f t="shared" si="1"/>
        <v>14.616000000000001</v>
      </c>
    </row>
    <row r="10" spans="1:8">
      <c r="B10" t="s">
        <v>34</v>
      </c>
      <c r="C10" s="2">
        <f>A3/1*3000/1000</f>
        <v>3</v>
      </c>
      <c r="D10" t="s">
        <v>10</v>
      </c>
      <c r="E10" s="3">
        <f>3200/10000</f>
        <v>0.32</v>
      </c>
      <c r="F10" s="2">
        <f t="shared" si="0"/>
        <v>0.96</v>
      </c>
      <c r="G10" s="2">
        <v>48.72</v>
      </c>
      <c r="H10" s="2">
        <f t="shared" si="1"/>
        <v>46.7712</v>
      </c>
    </row>
    <row r="11" spans="1:8">
      <c r="B11" t="s">
        <v>35</v>
      </c>
      <c r="C11" s="2">
        <f>A3/1*500/1000</f>
        <v>0.5</v>
      </c>
      <c r="D11" t="s">
        <v>20</v>
      </c>
      <c r="E11" s="3">
        <f>6500/10000</f>
        <v>0.65</v>
      </c>
      <c r="F11" s="2">
        <f t="shared" si="0"/>
        <v>0.32500000000000001</v>
      </c>
      <c r="G11" s="2">
        <v>48.72</v>
      </c>
      <c r="H11" s="2">
        <f t="shared" si="1"/>
        <v>15.834</v>
      </c>
    </row>
    <row r="12" spans="1:8">
      <c r="B12" t="s">
        <v>36</v>
      </c>
      <c r="C12" s="2">
        <f>A3/1*1000/1000</f>
        <v>1</v>
      </c>
      <c r="D12" t="s">
        <v>10</v>
      </c>
      <c r="E12" s="3">
        <f>2500/10000</f>
        <v>0.25</v>
      </c>
      <c r="F12" s="2">
        <f t="shared" si="0"/>
        <v>0.25</v>
      </c>
      <c r="G12" s="2">
        <v>48.72</v>
      </c>
      <c r="H12" s="2">
        <f t="shared" si="1"/>
        <v>12.18</v>
      </c>
    </row>
    <row r="13" spans="1:8">
      <c r="B13" t="s">
        <v>37</v>
      </c>
      <c r="C13" s="2">
        <f>A3/1*1000/1000</f>
        <v>1</v>
      </c>
      <c r="D13" t="s">
        <v>0</v>
      </c>
      <c r="E13" s="3">
        <f>2500/10000</f>
        <v>0.25</v>
      </c>
      <c r="F13" s="2">
        <f t="shared" si="0"/>
        <v>0.25</v>
      </c>
      <c r="G13" s="2">
        <v>48.72</v>
      </c>
      <c r="H13" s="2">
        <f t="shared" si="1"/>
        <v>12.18</v>
      </c>
    </row>
    <row r="14" spans="1:8">
      <c r="B14" t="s">
        <v>38</v>
      </c>
      <c r="C14" s="2">
        <f>A3/1*1000/1000</f>
        <v>1</v>
      </c>
      <c r="D14" t="s">
        <v>0</v>
      </c>
      <c r="E14" s="3">
        <f>2500/10000</f>
        <v>0.25</v>
      </c>
      <c r="F14" s="2">
        <f t="shared" si="0"/>
        <v>0.25</v>
      </c>
      <c r="G14" s="2">
        <v>48.72</v>
      </c>
      <c r="H14" s="2">
        <f t="shared" si="1"/>
        <v>12.18</v>
      </c>
    </row>
    <row r="15" spans="1:8">
      <c r="B15" t="s">
        <v>39</v>
      </c>
      <c r="C15" s="2">
        <f>A3/1*1000/1000</f>
        <v>1</v>
      </c>
      <c r="D15" t="s">
        <v>0</v>
      </c>
      <c r="E15" s="3">
        <f>17500/10000</f>
        <v>1.75</v>
      </c>
      <c r="F15" s="2">
        <f t="shared" si="0"/>
        <v>1.75</v>
      </c>
      <c r="G15" s="2">
        <v>48.72</v>
      </c>
      <c r="H15" s="2">
        <f t="shared" si="1"/>
        <v>85.259999999999991</v>
      </c>
    </row>
    <row r="16" spans="1:8">
      <c r="B16" t="s">
        <v>40</v>
      </c>
      <c r="C16" s="2">
        <f>A3/1*1000/1000</f>
        <v>1</v>
      </c>
      <c r="D16" t="s">
        <v>10</v>
      </c>
      <c r="E16" s="3">
        <f>7500/10000</f>
        <v>0.75</v>
      </c>
      <c r="F16" s="2">
        <f t="shared" si="0"/>
        <v>0.75</v>
      </c>
      <c r="G16" s="2">
        <v>48.72</v>
      </c>
      <c r="H16" s="2">
        <f t="shared" si="1"/>
        <v>36.54</v>
      </c>
    </row>
    <row r="17" spans="1:10">
      <c r="B17" t="s">
        <v>41</v>
      </c>
      <c r="C17" s="2">
        <f>A3/1*5000/1000</f>
        <v>5</v>
      </c>
      <c r="D17" t="s">
        <v>10</v>
      </c>
      <c r="E17" s="3">
        <f>1200/10000</f>
        <v>0.12</v>
      </c>
      <c r="F17" s="2">
        <f t="shared" si="0"/>
        <v>0.6</v>
      </c>
      <c r="G17" s="2">
        <v>48.72</v>
      </c>
      <c r="H17" s="2">
        <f t="shared" si="1"/>
        <v>29.231999999999999</v>
      </c>
    </row>
    <row r="18" spans="1:10">
      <c r="B18" t="s">
        <v>42</v>
      </c>
      <c r="C18" s="2">
        <f>A3/1*1000/1000</f>
        <v>1</v>
      </c>
      <c r="D18" t="s">
        <v>0</v>
      </c>
      <c r="E18" s="3">
        <f>25000/10000</f>
        <v>2.5</v>
      </c>
      <c r="F18" s="2">
        <f t="shared" si="0"/>
        <v>2.5</v>
      </c>
      <c r="G18" s="2">
        <v>48.72</v>
      </c>
      <c r="H18" s="2">
        <f t="shared" si="1"/>
        <v>121.8</v>
      </c>
    </row>
    <row r="19" spans="1:10">
      <c r="B19" t="s">
        <v>43</v>
      </c>
      <c r="C19" s="2">
        <f>A3/1*500/1000</f>
        <v>0.5</v>
      </c>
      <c r="D19" t="s">
        <v>20</v>
      </c>
      <c r="E19" s="3">
        <f>10000/10000</f>
        <v>1</v>
      </c>
      <c r="F19" s="2">
        <f t="shared" si="0"/>
        <v>0.5</v>
      </c>
      <c r="G19" s="2">
        <v>48.72</v>
      </c>
      <c r="H19" s="2">
        <f t="shared" si="1"/>
        <v>24.36</v>
      </c>
    </row>
    <row r="20" spans="1:10">
      <c r="B20" t="s">
        <v>44</v>
      </c>
      <c r="C20" s="2">
        <f>A3/1*1000/1000</f>
        <v>1</v>
      </c>
      <c r="D20" t="s">
        <v>12</v>
      </c>
      <c r="E20" s="3">
        <f>5000/10000</f>
        <v>0.5</v>
      </c>
      <c r="F20" s="2">
        <f t="shared" si="0"/>
        <v>0.5</v>
      </c>
      <c r="G20" s="2">
        <v>48.72</v>
      </c>
      <c r="H20" s="2">
        <f t="shared" si="1"/>
        <v>24.36</v>
      </c>
    </row>
    <row r="21" spans="1:10">
      <c r="B21" t="s">
        <v>45</v>
      </c>
      <c r="C21" s="2">
        <f>A3/1*6000/1000</f>
        <v>6</v>
      </c>
      <c r="D21" t="s">
        <v>10</v>
      </c>
      <c r="E21" s="3">
        <f>2000/10000</f>
        <v>0.2</v>
      </c>
      <c r="F21" s="2">
        <f t="shared" si="0"/>
        <v>1.2000000000000002</v>
      </c>
      <c r="G21" s="2">
        <v>37.700000000000003</v>
      </c>
      <c r="H21" s="2">
        <f t="shared" si="1"/>
        <v>45.240000000000009</v>
      </c>
    </row>
    <row r="22" spans="1:10">
      <c r="B22" t="s">
        <v>46</v>
      </c>
      <c r="C22" s="2">
        <f>A3/1*4000/1000</f>
        <v>4</v>
      </c>
      <c r="D22" t="s">
        <v>20</v>
      </c>
      <c r="E22" s="3">
        <f>3500/10000</f>
        <v>0.35</v>
      </c>
      <c r="F22" s="2">
        <f t="shared" si="0"/>
        <v>1.4</v>
      </c>
      <c r="G22" s="2">
        <v>37.700000000000003</v>
      </c>
      <c r="H22" s="2">
        <f t="shared" si="1"/>
        <v>52.78</v>
      </c>
    </row>
    <row r="23" spans="1:10">
      <c r="B23" t="s">
        <v>21</v>
      </c>
      <c r="C23" s="2">
        <f>A3/1*300/1000</f>
        <v>0.3</v>
      </c>
      <c r="D23" t="s">
        <v>22</v>
      </c>
      <c r="E23" s="3">
        <f>10000/10000</f>
        <v>1</v>
      </c>
      <c r="F23" s="2">
        <f t="shared" si="0"/>
        <v>0.3</v>
      </c>
      <c r="G23" s="2">
        <v>48.72</v>
      </c>
      <c r="H23" s="2">
        <f t="shared" si="1"/>
        <v>14.616</v>
      </c>
    </row>
    <row r="24" spans="1:10">
      <c r="B24" t="s">
        <v>11</v>
      </c>
      <c r="C24" s="2">
        <f>A3/1*1000/1000</f>
        <v>1</v>
      </c>
      <c r="D24" t="s">
        <v>12</v>
      </c>
      <c r="E24" s="3">
        <f>5000/10000</f>
        <v>0.5</v>
      </c>
      <c r="F24" s="2">
        <f t="shared" si="0"/>
        <v>0.5</v>
      </c>
      <c r="G24" s="2">
        <v>48.72</v>
      </c>
      <c r="H24" s="2">
        <f t="shared" si="1"/>
        <v>24.36</v>
      </c>
    </row>
    <row r="25" spans="1:10">
      <c r="B25" s="1" t="s">
        <v>13</v>
      </c>
      <c r="F25" s="4">
        <f>SUM(F6:F24)</f>
        <v>14.084999999999999</v>
      </c>
      <c r="H25" s="4">
        <f>SUM(H6:H24)</f>
        <v>657.56920000000002</v>
      </c>
      <c r="J25" s="4">
        <f>H25*1.17</f>
        <v>769.35596399999997</v>
      </c>
    </row>
    <row r="26" spans="1:10">
      <c r="A26" s="1" t="s">
        <v>14</v>
      </c>
      <c r="B26" t="s">
        <v>47</v>
      </c>
      <c r="C26" s="2">
        <f>A3/1*1</f>
        <v>1</v>
      </c>
      <c r="D26" t="s">
        <v>12</v>
      </c>
      <c r="E26" s="3" t="s">
        <v>15</v>
      </c>
      <c r="F26" s="2" t="s">
        <v>15</v>
      </c>
      <c r="G26" s="2">
        <f>(425/100)</f>
        <v>4.25</v>
      </c>
      <c r="H26" s="2">
        <f t="shared" ref="H26:H40" si="2">C26*G26</f>
        <v>4.25</v>
      </c>
    </row>
    <row r="27" spans="1:10">
      <c r="B27" t="s">
        <v>48</v>
      </c>
      <c r="C27" s="2">
        <f>A3/1*1</f>
        <v>1</v>
      </c>
      <c r="D27" t="s">
        <v>0</v>
      </c>
      <c r="E27" s="3" t="s">
        <v>15</v>
      </c>
      <c r="F27" s="2" t="s">
        <v>15</v>
      </c>
      <c r="G27" s="2">
        <f>57</f>
        <v>57</v>
      </c>
      <c r="H27" s="2">
        <f t="shared" si="2"/>
        <v>57</v>
      </c>
    </row>
    <row r="28" spans="1:10">
      <c r="B28" t="s">
        <v>49</v>
      </c>
      <c r="C28" s="2">
        <f>A3/1*1</f>
        <v>1</v>
      </c>
      <c r="D28" t="s">
        <v>0</v>
      </c>
      <c r="E28" s="3" t="s">
        <v>15</v>
      </c>
      <c r="F28" s="2" t="s">
        <v>15</v>
      </c>
      <c r="G28" s="2">
        <f>(5796/10)</f>
        <v>579.6</v>
      </c>
      <c r="H28" s="2">
        <f t="shared" si="2"/>
        <v>579.6</v>
      </c>
    </row>
    <row r="29" spans="1:10">
      <c r="B29" t="s">
        <v>50</v>
      </c>
      <c r="C29" s="2">
        <f>A3/1*1</f>
        <v>1</v>
      </c>
      <c r="D29" t="s">
        <v>0</v>
      </c>
      <c r="E29" s="3" t="s">
        <v>15</v>
      </c>
      <c r="F29" s="2" t="s">
        <v>15</v>
      </c>
      <c r="G29" s="2">
        <f>(44325/100)</f>
        <v>443.25</v>
      </c>
      <c r="H29" s="2">
        <f t="shared" si="2"/>
        <v>443.25</v>
      </c>
    </row>
    <row r="30" spans="1:10">
      <c r="B30" t="s">
        <v>51</v>
      </c>
      <c r="C30" s="2">
        <f>A3/1*1</f>
        <v>1</v>
      </c>
      <c r="D30" t="s">
        <v>0</v>
      </c>
      <c r="E30" s="3" t="s">
        <v>15</v>
      </c>
      <c r="F30" s="2" t="s">
        <v>15</v>
      </c>
      <c r="G30" s="2">
        <f>(29008/100)</f>
        <v>290.08</v>
      </c>
      <c r="H30" s="2">
        <f t="shared" si="2"/>
        <v>290.08</v>
      </c>
    </row>
    <row r="31" spans="1:10">
      <c r="B31" t="s">
        <v>52</v>
      </c>
      <c r="C31" s="2">
        <f>A3/1*1</f>
        <v>1</v>
      </c>
      <c r="D31" t="s">
        <v>20</v>
      </c>
      <c r="E31" s="3" t="s">
        <v>15</v>
      </c>
      <c r="F31" s="2" t="s">
        <v>15</v>
      </c>
      <c r="G31" s="2">
        <f>(5782/100)</f>
        <v>57.82</v>
      </c>
      <c r="H31" s="2">
        <f t="shared" si="2"/>
        <v>57.82</v>
      </c>
    </row>
    <row r="32" spans="1:10">
      <c r="B32" t="s">
        <v>53</v>
      </c>
      <c r="C32" s="2">
        <f>A3/1*5</f>
        <v>5</v>
      </c>
      <c r="D32" t="s">
        <v>10</v>
      </c>
      <c r="E32" s="3" t="s">
        <v>15</v>
      </c>
      <c r="F32" s="2" t="s">
        <v>15</v>
      </c>
      <c r="G32" s="2">
        <f>(227/100)</f>
        <v>2.27</v>
      </c>
      <c r="H32" s="2">
        <f t="shared" si="2"/>
        <v>11.35</v>
      </c>
    </row>
    <row r="33" spans="1:12">
      <c r="B33" t="s">
        <v>54</v>
      </c>
      <c r="C33" s="2">
        <f>A3/1*4</f>
        <v>4</v>
      </c>
      <c r="D33" t="s">
        <v>25</v>
      </c>
      <c r="E33" s="3" t="s">
        <v>15</v>
      </c>
      <c r="F33" s="2" t="s">
        <v>15</v>
      </c>
      <c r="G33" s="2">
        <f>(24/100)</f>
        <v>0.24</v>
      </c>
      <c r="H33" s="2">
        <f t="shared" si="2"/>
        <v>0.96</v>
      </c>
    </row>
    <row r="34" spans="1:12">
      <c r="B34" t="s">
        <v>55</v>
      </c>
      <c r="C34" s="2">
        <f>A3/1*(15/10)</f>
        <v>1.5</v>
      </c>
      <c r="D34" t="s">
        <v>25</v>
      </c>
      <c r="E34" s="3" t="s">
        <v>15</v>
      </c>
      <c r="F34" s="2" t="s">
        <v>15</v>
      </c>
      <c r="G34" s="2">
        <f>(71/100)</f>
        <v>0.71</v>
      </c>
      <c r="H34" s="2">
        <f t="shared" si="2"/>
        <v>1.0649999999999999</v>
      </c>
    </row>
    <row r="35" spans="1:12">
      <c r="B35" t="s">
        <v>24</v>
      </c>
      <c r="C35" s="2">
        <f>A3/1*(25/100)</f>
        <v>0.25</v>
      </c>
      <c r="D35" t="s">
        <v>25</v>
      </c>
      <c r="E35" s="3" t="s">
        <v>15</v>
      </c>
      <c r="F35" s="2" t="s">
        <v>15</v>
      </c>
      <c r="G35" s="2">
        <f>(727/100)</f>
        <v>7.27</v>
      </c>
      <c r="H35" s="2">
        <f t="shared" si="2"/>
        <v>1.8174999999999999</v>
      </c>
    </row>
    <row r="36" spans="1:12">
      <c r="B36" t="s">
        <v>56</v>
      </c>
      <c r="C36" s="2">
        <f>A3/1*4</f>
        <v>4</v>
      </c>
      <c r="D36" t="s">
        <v>25</v>
      </c>
      <c r="E36" s="3" t="s">
        <v>15</v>
      </c>
      <c r="F36" s="2" t="s">
        <v>15</v>
      </c>
      <c r="G36" s="2">
        <f>(109/100)</f>
        <v>1.0900000000000001</v>
      </c>
      <c r="H36" s="2">
        <f t="shared" si="2"/>
        <v>4.3600000000000003</v>
      </c>
    </row>
    <row r="37" spans="1:12">
      <c r="B37" t="s">
        <v>57</v>
      </c>
      <c r="C37" s="2">
        <f>A3/1*6</f>
        <v>6</v>
      </c>
      <c r="D37" t="s">
        <v>10</v>
      </c>
      <c r="E37" s="3" t="s">
        <v>15</v>
      </c>
      <c r="F37" s="2" t="s">
        <v>15</v>
      </c>
      <c r="G37" s="2">
        <f>2</f>
        <v>2</v>
      </c>
      <c r="H37" s="2">
        <f t="shared" si="2"/>
        <v>12</v>
      </c>
    </row>
    <row r="38" spans="1:12">
      <c r="B38" t="s">
        <v>58</v>
      </c>
      <c r="C38" s="2">
        <f>A3/1*4</f>
        <v>4</v>
      </c>
      <c r="D38" t="s">
        <v>20</v>
      </c>
      <c r="E38" s="3" t="s">
        <v>15</v>
      </c>
      <c r="F38" s="2" t="s">
        <v>15</v>
      </c>
      <c r="G38" s="2">
        <f>5</f>
        <v>5</v>
      </c>
      <c r="H38" s="2">
        <f t="shared" si="2"/>
        <v>20</v>
      </c>
    </row>
    <row r="39" spans="1:12">
      <c r="B39" t="s">
        <v>59</v>
      </c>
      <c r="C39" s="2">
        <f>A3/1*1</f>
        <v>1</v>
      </c>
      <c r="D39" t="s">
        <v>27</v>
      </c>
      <c r="E39" s="3" t="s">
        <v>15</v>
      </c>
      <c r="F39" s="2" t="s">
        <v>15</v>
      </c>
      <c r="G39" s="2">
        <f>42</f>
        <v>42</v>
      </c>
      <c r="H39" s="2">
        <f t="shared" si="2"/>
        <v>42</v>
      </c>
    </row>
    <row r="40" spans="1:12">
      <c r="B40" t="s">
        <v>26</v>
      </c>
      <c r="C40" s="2">
        <f>A3/1*(6/10)</f>
        <v>0.6</v>
      </c>
      <c r="D40" t="s">
        <v>22</v>
      </c>
      <c r="E40" s="3" t="s">
        <v>15</v>
      </c>
      <c r="F40" s="2" t="s">
        <v>15</v>
      </c>
      <c r="G40" s="2">
        <f>(5372/100)</f>
        <v>53.72</v>
      </c>
      <c r="H40" s="2">
        <f t="shared" si="2"/>
        <v>32.231999999999999</v>
      </c>
    </row>
    <row r="41" spans="1:12">
      <c r="B41" s="1" t="s">
        <v>16</v>
      </c>
      <c r="H41" s="4">
        <f>SUM(H26:H40)</f>
        <v>1557.7844999999998</v>
      </c>
      <c r="J41" s="4">
        <f t="shared" ref="J41:J42" si="3">H41*1.17</f>
        <v>1822.6078649999995</v>
      </c>
    </row>
    <row r="42" spans="1:12">
      <c r="A42" s="1" t="s">
        <v>17</v>
      </c>
      <c r="B42" s="1" t="s">
        <v>18</v>
      </c>
      <c r="H42" s="4">
        <f>H25+H41</f>
        <v>2215.3536999999997</v>
      </c>
      <c r="J42" s="4">
        <f t="shared" si="3"/>
        <v>2591.9638289999994</v>
      </c>
      <c r="L42" s="4">
        <f>J42*1.21</f>
        <v>3136.2762330899991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55C75-3307-4EE5-8C92-A951E58FB597}">
  <dimension ref="A1:L43"/>
  <sheetViews>
    <sheetView topLeftCell="G10" workbookViewId="0">
      <selection activeCell="J24" sqref="J24:L43"/>
    </sheetView>
  </sheetViews>
  <sheetFormatPr defaultRowHeight="15"/>
  <cols>
    <col min="1" max="1" width="17.85546875" customWidth="1"/>
    <col min="2" max="2" width="95.4257812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8">
      <c r="A1" s="1" t="s">
        <v>60</v>
      </c>
    </row>
    <row r="3" spans="1:8">
      <c r="A3">
        <v>1</v>
      </c>
      <c r="B3" t="s">
        <v>0</v>
      </c>
    </row>
    <row r="5" spans="1:8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</row>
    <row r="6" spans="1:8">
      <c r="A6" s="1" t="s">
        <v>9</v>
      </c>
      <c r="B6" t="s">
        <v>19</v>
      </c>
      <c r="C6" s="2">
        <f>A3/1*5000/1000</f>
        <v>5</v>
      </c>
      <c r="D6" t="s">
        <v>10</v>
      </c>
      <c r="E6" s="3">
        <f>1500/10000</f>
        <v>0.15</v>
      </c>
      <c r="F6" s="2">
        <f t="shared" ref="F6:F23" si="0">C6*E6</f>
        <v>0.75</v>
      </c>
      <c r="G6" s="2">
        <v>48.72</v>
      </c>
      <c r="H6" s="2">
        <f t="shared" ref="H6:H23" si="1">F6*G6</f>
        <v>36.54</v>
      </c>
    </row>
    <row r="7" spans="1:8">
      <c r="B7" t="s">
        <v>30</v>
      </c>
      <c r="C7" s="2">
        <f>A3/1*10000/1000</f>
        <v>10</v>
      </c>
      <c r="D7" t="s">
        <v>10</v>
      </c>
      <c r="E7" s="3">
        <f>400/10000</f>
        <v>0.04</v>
      </c>
      <c r="F7" s="2">
        <f t="shared" si="0"/>
        <v>0.4</v>
      </c>
      <c r="G7" s="2">
        <v>48.72</v>
      </c>
      <c r="H7" s="2">
        <f t="shared" si="1"/>
        <v>19.488</v>
      </c>
    </row>
    <row r="8" spans="1:8">
      <c r="B8" t="s">
        <v>61</v>
      </c>
      <c r="C8" s="2">
        <f>A3/1*1000/1000</f>
        <v>1</v>
      </c>
      <c r="D8" t="s">
        <v>0</v>
      </c>
      <c r="E8" s="3">
        <f>10000/10000</f>
        <v>1</v>
      </c>
      <c r="F8" s="2">
        <f t="shared" si="0"/>
        <v>1</v>
      </c>
      <c r="G8" s="2">
        <v>48.72</v>
      </c>
      <c r="H8" s="2">
        <f t="shared" si="1"/>
        <v>48.72</v>
      </c>
    </row>
    <row r="9" spans="1:8">
      <c r="B9" t="s">
        <v>33</v>
      </c>
      <c r="C9" s="2">
        <f>A3/1*4000/1000</f>
        <v>4</v>
      </c>
      <c r="D9" t="s">
        <v>10</v>
      </c>
      <c r="E9" s="3">
        <f>1000/10000</f>
        <v>0.1</v>
      </c>
      <c r="F9" s="2">
        <f t="shared" si="0"/>
        <v>0.4</v>
      </c>
      <c r="G9" s="2">
        <v>48.72</v>
      </c>
      <c r="H9" s="2">
        <f t="shared" si="1"/>
        <v>19.488</v>
      </c>
    </row>
    <row r="10" spans="1:8">
      <c r="B10" t="s">
        <v>34</v>
      </c>
      <c r="C10" s="2">
        <f>A3/1*4000/1000</f>
        <v>4</v>
      </c>
      <c r="D10" t="s">
        <v>10</v>
      </c>
      <c r="E10" s="3">
        <f>3200/10000</f>
        <v>0.32</v>
      </c>
      <c r="F10" s="2">
        <f t="shared" si="0"/>
        <v>1.28</v>
      </c>
      <c r="G10" s="2">
        <v>48.72</v>
      </c>
      <c r="H10" s="2">
        <f t="shared" si="1"/>
        <v>62.361600000000003</v>
      </c>
    </row>
    <row r="11" spans="1:8">
      <c r="B11" t="s">
        <v>62</v>
      </c>
      <c r="C11" s="2">
        <f>A3/1*1000/1000</f>
        <v>1</v>
      </c>
      <c r="D11" t="s">
        <v>20</v>
      </c>
      <c r="E11" s="3">
        <f>6500/10000</f>
        <v>0.65</v>
      </c>
      <c r="F11" s="2">
        <f t="shared" si="0"/>
        <v>0.65</v>
      </c>
      <c r="G11" s="2">
        <v>48.72</v>
      </c>
      <c r="H11" s="2">
        <f t="shared" si="1"/>
        <v>31.667999999999999</v>
      </c>
    </row>
    <row r="12" spans="1:8">
      <c r="B12" t="s">
        <v>36</v>
      </c>
      <c r="C12" s="2">
        <f>A3/1*1000/1000</f>
        <v>1</v>
      </c>
      <c r="D12" t="s">
        <v>10</v>
      </c>
      <c r="E12" s="3">
        <f>2500/10000</f>
        <v>0.25</v>
      </c>
      <c r="F12" s="2">
        <f t="shared" si="0"/>
        <v>0.25</v>
      </c>
      <c r="G12" s="2">
        <v>48.72</v>
      </c>
      <c r="H12" s="2">
        <f t="shared" si="1"/>
        <v>12.18</v>
      </c>
    </row>
    <row r="13" spans="1:8">
      <c r="B13" t="s">
        <v>37</v>
      </c>
      <c r="C13" s="2">
        <f>A3/1*1000/1000</f>
        <v>1</v>
      </c>
      <c r="D13" t="s">
        <v>0</v>
      </c>
      <c r="E13" s="3">
        <f>2500/10000</f>
        <v>0.25</v>
      </c>
      <c r="F13" s="2">
        <f t="shared" si="0"/>
        <v>0.25</v>
      </c>
      <c r="G13" s="2">
        <v>48.72</v>
      </c>
      <c r="H13" s="2">
        <f t="shared" si="1"/>
        <v>12.18</v>
      </c>
    </row>
    <row r="14" spans="1:8">
      <c r="B14" t="s">
        <v>63</v>
      </c>
      <c r="C14" s="2">
        <f>A3/1*1000/1000</f>
        <v>1</v>
      </c>
      <c r="D14" t="s">
        <v>0</v>
      </c>
      <c r="E14" s="3">
        <f>2500/10000</f>
        <v>0.25</v>
      </c>
      <c r="F14" s="2">
        <f t="shared" si="0"/>
        <v>0.25</v>
      </c>
      <c r="G14" s="2">
        <v>48.72</v>
      </c>
      <c r="H14" s="2">
        <f t="shared" si="1"/>
        <v>12.18</v>
      </c>
    </row>
    <row r="15" spans="1:8">
      <c r="B15" t="s">
        <v>64</v>
      </c>
      <c r="C15" s="2">
        <f>A3/1*1000/1000</f>
        <v>1</v>
      </c>
      <c r="D15" t="s">
        <v>0</v>
      </c>
      <c r="E15" s="3">
        <f>30000/10000</f>
        <v>3</v>
      </c>
      <c r="F15" s="2">
        <f t="shared" si="0"/>
        <v>3</v>
      </c>
      <c r="G15" s="2">
        <v>48.72</v>
      </c>
      <c r="H15" s="2">
        <f t="shared" si="1"/>
        <v>146.16</v>
      </c>
    </row>
    <row r="16" spans="1:8">
      <c r="B16" t="s">
        <v>41</v>
      </c>
      <c r="C16" s="2">
        <f>A3/1*10000/1000</f>
        <v>10</v>
      </c>
      <c r="D16" t="s">
        <v>10</v>
      </c>
      <c r="E16" s="3">
        <f>1200/10000</f>
        <v>0.12</v>
      </c>
      <c r="F16" s="2">
        <f t="shared" si="0"/>
        <v>1.2</v>
      </c>
      <c r="G16" s="2">
        <v>48.72</v>
      </c>
      <c r="H16" s="2">
        <f t="shared" si="1"/>
        <v>58.463999999999999</v>
      </c>
    </row>
    <row r="17" spans="1:12">
      <c r="B17" t="s">
        <v>65</v>
      </c>
      <c r="C17" s="2">
        <f>A3/1*1000/1000</f>
        <v>1</v>
      </c>
      <c r="D17" t="s">
        <v>0</v>
      </c>
      <c r="E17" s="3">
        <f>20000/10000</f>
        <v>2</v>
      </c>
      <c r="F17" s="2">
        <f t="shared" si="0"/>
        <v>2</v>
      </c>
      <c r="G17" s="2">
        <v>48.72</v>
      </c>
      <c r="H17" s="2">
        <f t="shared" si="1"/>
        <v>97.44</v>
      </c>
    </row>
    <row r="18" spans="1:12">
      <c r="B18" t="s">
        <v>66</v>
      </c>
      <c r="C18" s="2">
        <f>A3/1*1000/1000</f>
        <v>1</v>
      </c>
      <c r="D18" t="s">
        <v>0</v>
      </c>
      <c r="E18" s="3">
        <f>900/10000</f>
        <v>0.09</v>
      </c>
      <c r="F18" s="2">
        <f t="shared" si="0"/>
        <v>0.09</v>
      </c>
      <c r="G18" s="2">
        <v>48.72</v>
      </c>
      <c r="H18" s="2">
        <f t="shared" si="1"/>
        <v>4.3847999999999994</v>
      </c>
    </row>
    <row r="19" spans="1:12">
      <c r="B19" t="s">
        <v>43</v>
      </c>
      <c r="C19" s="2">
        <f>A3/1*1000/1000</f>
        <v>1</v>
      </c>
      <c r="D19" t="s">
        <v>20</v>
      </c>
      <c r="E19" s="3">
        <f>8000/10000</f>
        <v>0.8</v>
      </c>
      <c r="F19" s="2">
        <f t="shared" si="0"/>
        <v>0.8</v>
      </c>
      <c r="G19" s="2">
        <v>48.72</v>
      </c>
      <c r="H19" s="2">
        <f t="shared" si="1"/>
        <v>38.975999999999999</v>
      </c>
    </row>
    <row r="20" spans="1:12">
      <c r="B20" t="s">
        <v>44</v>
      </c>
      <c r="C20" s="2">
        <f>A3/1*1000/1000</f>
        <v>1</v>
      </c>
      <c r="D20" t="s">
        <v>12</v>
      </c>
      <c r="E20" s="3">
        <f>5000/10000</f>
        <v>0.5</v>
      </c>
      <c r="F20" s="2">
        <f t="shared" si="0"/>
        <v>0.5</v>
      </c>
      <c r="G20" s="2">
        <v>48.72</v>
      </c>
      <c r="H20" s="2">
        <f t="shared" si="1"/>
        <v>24.36</v>
      </c>
    </row>
    <row r="21" spans="1:12">
      <c r="B21" t="s">
        <v>67</v>
      </c>
      <c r="C21" s="2">
        <f>A3/1*5000/1000</f>
        <v>5</v>
      </c>
      <c r="D21" t="s">
        <v>10</v>
      </c>
      <c r="E21" s="3">
        <f>2000/10000</f>
        <v>0.2</v>
      </c>
      <c r="F21" s="2">
        <f t="shared" si="0"/>
        <v>1</v>
      </c>
      <c r="G21" s="2">
        <v>37.700000000000003</v>
      </c>
      <c r="H21" s="2">
        <f t="shared" si="1"/>
        <v>37.700000000000003</v>
      </c>
    </row>
    <row r="22" spans="1:12">
      <c r="B22" t="s">
        <v>21</v>
      </c>
      <c r="C22" s="2">
        <f>A3/1*150/1000</f>
        <v>0.15</v>
      </c>
      <c r="D22" t="s">
        <v>22</v>
      </c>
      <c r="E22" s="3">
        <f>10000/10000</f>
        <v>1</v>
      </c>
      <c r="F22" s="2">
        <f t="shared" si="0"/>
        <v>0.15</v>
      </c>
      <c r="G22" s="2">
        <v>48.72</v>
      </c>
      <c r="H22" s="2">
        <f t="shared" si="1"/>
        <v>7.3079999999999998</v>
      </c>
    </row>
    <row r="23" spans="1:12">
      <c r="B23" t="s">
        <v>11</v>
      </c>
      <c r="C23" s="2">
        <f>A3/1*1000/1000</f>
        <v>1</v>
      </c>
      <c r="D23" t="s">
        <v>12</v>
      </c>
      <c r="E23" s="3">
        <f>3000/10000</f>
        <v>0.3</v>
      </c>
      <c r="F23" s="2">
        <f t="shared" si="0"/>
        <v>0.3</v>
      </c>
      <c r="G23" s="2">
        <v>48.72</v>
      </c>
      <c r="H23" s="2">
        <f t="shared" si="1"/>
        <v>14.616</v>
      </c>
    </row>
    <row r="24" spans="1:12">
      <c r="B24" s="1" t="s">
        <v>13</v>
      </c>
      <c r="F24" s="4">
        <f>SUM(F6:F23)</f>
        <v>14.270000000000001</v>
      </c>
      <c r="H24" s="4">
        <f>SUM(H6:H23)</f>
        <v>684.21440000000007</v>
      </c>
      <c r="J24" s="4">
        <f>H24*1.17</f>
        <v>800.53084799999999</v>
      </c>
      <c r="K24" s="4"/>
      <c r="L24" s="4"/>
    </row>
    <row r="25" spans="1:12">
      <c r="A25" s="1" t="s">
        <v>14</v>
      </c>
      <c r="B25" t="s">
        <v>23</v>
      </c>
      <c r="C25" s="2">
        <f>A3/1*5</f>
        <v>5</v>
      </c>
      <c r="D25" t="s">
        <v>20</v>
      </c>
      <c r="E25" s="3" t="s">
        <v>15</v>
      </c>
      <c r="F25" s="2" t="s">
        <v>15</v>
      </c>
      <c r="G25" s="2">
        <f>(144/100)</f>
        <v>1.44</v>
      </c>
      <c r="H25" s="2">
        <f t="shared" ref="H25:H38" si="2">C25*G25</f>
        <v>7.1999999999999993</v>
      </c>
      <c r="J25" s="4"/>
      <c r="K25" s="4"/>
      <c r="L25" s="4"/>
    </row>
    <row r="26" spans="1:12">
      <c r="B26" t="s">
        <v>47</v>
      </c>
      <c r="C26" s="2">
        <f>A3/1*1</f>
        <v>1</v>
      </c>
      <c r="D26" t="s">
        <v>12</v>
      </c>
      <c r="E26" s="3" t="s">
        <v>15</v>
      </c>
      <c r="F26" s="2" t="s">
        <v>15</v>
      </c>
      <c r="G26" s="2">
        <f>(425/100)</f>
        <v>4.25</v>
      </c>
      <c r="H26" s="2">
        <f t="shared" si="2"/>
        <v>4.25</v>
      </c>
      <c r="J26" s="4"/>
      <c r="K26" s="4"/>
      <c r="L26" s="4"/>
    </row>
    <row r="27" spans="1:12">
      <c r="B27" t="s">
        <v>68</v>
      </c>
      <c r="C27" s="2">
        <f>A3/1*(13/10)</f>
        <v>1.3</v>
      </c>
      <c r="D27" t="s">
        <v>10</v>
      </c>
      <c r="E27" s="3" t="s">
        <v>15</v>
      </c>
      <c r="F27" s="2" t="s">
        <v>15</v>
      </c>
      <c r="G27" s="2">
        <f>(1039/100)</f>
        <v>10.39</v>
      </c>
      <c r="H27" s="2">
        <f t="shared" si="2"/>
        <v>13.507000000000001</v>
      </c>
      <c r="J27" s="4"/>
      <c r="K27" s="4"/>
      <c r="L27" s="4"/>
    </row>
    <row r="28" spans="1:12">
      <c r="B28" t="s">
        <v>69</v>
      </c>
      <c r="C28" s="2">
        <f>A3/1*1</f>
        <v>1</v>
      </c>
      <c r="D28" t="s">
        <v>0</v>
      </c>
      <c r="E28" s="3" t="s">
        <v>15</v>
      </c>
      <c r="F28" s="2" t="s">
        <v>15</v>
      </c>
      <c r="G28" s="2">
        <f>(74316/100)</f>
        <v>743.16</v>
      </c>
      <c r="H28" s="2">
        <f t="shared" si="2"/>
        <v>743.16</v>
      </c>
      <c r="J28" s="4"/>
      <c r="K28" s="4"/>
      <c r="L28" s="4"/>
    </row>
    <row r="29" spans="1:12">
      <c r="B29" t="s">
        <v>53</v>
      </c>
      <c r="C29" s="2">
        <f>A3/1*10</f>
        <v>10</v>
      </c>
      <c r="D29" t="s">
        <v>10</v>
      </c>
      <c r="E29" s="3" t="s">
        <v>15</v>
      </c>
      <c r="F29" s="2" t="s">
        <v>15</v>
      </c>
      <c r="G29" s="2">
        <f>(227/100)</f>
        <v>2.27</v>
      </c>
      <c r="H29" s="2">
        <f t="shared" si="2"/>
        <v>22.7</v>
      </c>
      <c r="J29" s="4"/>
      <c r="K29" s="4"/>
      <c r="L29" s="4"/>
    </row>
    <row r="30" spans="1:12">
      <c r="B30" t="s">
        <v>70</v>
      </c>
      <c r="C30" s="2">
        <f>A3/1*1</f>
        <v>1</v>
      </c>
      <c r="D30" t="s">
        <v>0</v>
      </c>
      <c r="E30" s="3" t="s">
        <v>15</v>
      </c>
      <c r="F30" s="2" t="s">
        <v>15</v>
      </c>
      <c r="G30" s="2">
        <f>(36608/100)</f>
        <v>366.08</v>
      </c>
      <c r="H30" s="2">
        <f t="shared" si="2"/>
        <v>366.08</v>
      </c>
      <c r="J30" s="4"/>
      <c r="K30" s="4"/>
      <c r="L30" s="4"/>
    </row>
    <row r="31" spans="1:12">
      <c r="B31" t="s">
        <v>71</v>
      </c>
      <c r="C31" s="2">
        <f>A3/1*1</f>
        <v>1</v>
      </c>
      <c r="D31" t="s">
        <v>0</v>
      </c>
      <c r="E31" s="3" t="s">
        <v>15</v>
      </c>
      <c r="F31" s="2" t="s">
        <v>15</v>
      </c>
      <c r="G31" s="2">
        <f>(1592/100)</f>
        <v>15.92</v>
      </c>
      <c r="H31" s="2">
        <f t="shared" si="2"/>
        <v>15.92</v>
      </c>
      <c r="J31" s="4"/>
      <c r="K31" s="4"/>
      <c r="L31" s="4"/>
    </row>
    <row r="32" spans="1:12">
      <c r="B32" t="s">
        <v>54</v>
      </c>
      <c r="C32" s="2">
        <f>A3/1*8</f>
        <v>8</v>
      </c>
      <c r="D32" t="s">
        <v>25</v>
      </c>
      <c r="E32" s="3" t="s">
        <v>15</v>
      </c>
      <c r="F32" s="2" t="s">
        <v>15</v>
      </c>
      <c r="G32" s="2">
        <f>(24/100)</f>
        <v>0.24</v>
      </c>
      <c r="H32" s="2">
        <f t="shared" si="2"/>
        <v>1.92</v>
      </c>
      <c r="J32" s="4"/>
      <c r="K32" s="4"/>
      <c r="L32" s="4"/>
    </row>
    <row r="33" spans="1:12">
      <c r="B33" t="s">
        <v>55</v>
      </c>
      <c r="C33" s="2">
        <f>A3/1*(25/10)</f>
        <v>2.5</v>
      </c>
      <c r="D33" t="s">
        <v>25</v>
      </c>
      <c r="E33" s="3" t="s">
        <v>15</v>
      </c>
      <c r="F33" s="2" t="s">
        <v>15</v>
      </c>
      <c r="G33" s="2">
        <f>(71/100)</f>
        <v>0.71</v>
      </c>
      <c r="H33" s="2">
        <f t="shared" si="2"/>
        <v>1.7749999999999999</v>
      </c>
      <c r="J33" s="4"/>
      <c r="K33" s="4"/>
      <c r="L33" s="4"/>
    </row>
    <row r="34" spans="1:12">
      <c r="B34" t="s">
        <v>24</v>
      </c>
      <c r="C34" s="2">
        <f>A3/1*(25/100)</f>
        <v>0.25</v>
      </c>
      <c r="D34" t="s">
        <v>25</v>
      </c>
      <c r="E34" s="3" t="s">
        <v>15</v>
      </c>
      <c r="F34" s="2" t="s">
        <v>15</v>
      </c>
      <c r="G34" s="2">
        <f>(727/100)</f>
        <v>7.27</v>
      </c>
      <c r="H34" s="2">
        <f t="shared" si="2"/>
        <v>1.8174999999999999</v>
      </c>
      <c r="J34" s="4"/>
      <c r="K34" s="4"/>
      <c r="L34" s="4"/>
    </row>
    <row r="35" spans="1:12">
      <c r="B35" t="s">
        <v>56</v>
      </c>
      <c r="C35" s="2">
        <f>A3/1*4</f>
        <v>4</v>
      </c>
      <c r="D35" t="s">
        <v>25</v>
      </c>
      <c r="E35" s="3" t="s">
        <v>15</v>
      </c>
      <c r="F35" s="2" t="s">
        <v>15</v>
      </c>
      <c r="G35" s="2">
        <f>(109/100)</f>
        <v>1.0900000000000001</v>
      </c>
      <c r="H35" s="2">
        <f t="shared" si="2"/>
        <v>4.3600000000000003</v>
      </c>
      <c r="J35" s="4"/>
      <c r="K35" s="4"/>
      <c r="L35" s="4"/>
    </row>
    <row r="36" spans="1:12">
      <c r="B36" t="s">
        <v>72</v>
      </c>
      <c r="C36" s="2">
        <f>A3/1*5</f>
        <v>5</v>
      </c>
      <c r="D36" t="s">
        <v>10</v>
      </c>
      <c r="E36" s="3" t="s">
        <v>15</v>
      </c>
      <c r="F36" s="2" t="s">
        <v>15</v>
      </c>
      <c r="G36" s="2">
        <f>(166/100)</f>
        <v>1.66</v>
      </c>
      <c r="H36" s="2">
        <f t="shared" si="2"/>
        <v>8.2999999999999989</v>
      </c>
      <c r="J36" s="4"/>
      <c r="K36" s="4"/>
      <c r="L36" s="4"/>
    </row>
    <row r="37" spans="1:12">
      <c r="B37" t="s">
        <v>59</v>
      </c>
      <c r="C37" s="2">
        <f>A3/1*1</f>
        <v>1</v>
      </c>
      <c r="D37" t="s">
        <v>27</v>
      </c>
      <c r="E37" s="3" t="s">
        <v>15</v>
      </c>
      <c r="F37" s="2" t="s">
        <v>15</v>
      </c>
      <c r="G37" s="2">
        <f>42</f>
        <v>42</v>
      </c>
      <c r="H37" s="2">
        <f t="shared" si="2"/>
        <v>42</v>
      </c>
      <c r="J37" s="4"/>
      <c r="K37" s="4"/>
      <c r="L37" s="4"/>
    </row>
    <row r="38" spans="1:12">
      <c r="B38" t="s">
        <v>26</v>
      </c>
      <c r="C38" s="2">
        <f>A3/1*(3/10)</f>
        <v>0.3</v>
      </c>
      <c r="D38" t="s">
        <v>22</v>
      </c>
      <c r="E38" s="3" t="s">
        <v>15</v>
      </c>
      <c r="F38" s="2" t="s">
        <v>15</v>
      </c>
      <c r="G38" s="2">
        <f>(5372/100)</f>
        <v>53.72</v>
      </c>
      <c r="H38" s="2">
        <f t="shared" si="2"/>
        <v>16.116</v>
      </c>
      <c r="J38" s="4"/>
      <c r="K38" s="4"/>
      <c r="L38" s="4"/>
    </row>
    <row r="39" spans="1:12">
      <c r="B39" s="1" t="s">
        <v>16</v>
      </c>
      <c r="H39" s="4">
        <f>SUM(H25:H38)</f>
        <v>1249.1055000000001</v>
      </c>
      <c r="J39" s="4">
        <f t="shared" ref="J39:J40" si="3">H39*1.17</f>
        <v>1461.4534350000001</v>
      </c>
      <c r="K39" s="4"/>
      <c r="L39" s="4"/>
    </row>
    <row r="40" spans="1:12">
      <c r="A40" s="1" t="s">
        <v>17</v>
      </c>
      <c r="B40" s="1" t="s">
        <v>18</v>
      </c>
      <c r="H40" s="4">
        <f>H24+H39</f>
        <v>1933.3199000000002</v>
      </c>
      <c r="J40" s="4">
        <f t="shared" si="3"/>
        <v>2261.9842830000002</v>
      </c>
      <c r="K40" s="4"/>
      <c r="L40" s="4">
        <f>J40*1.21</f>
        <v>2737.00098243</v>
      </c>
    </row>
    <row r="41" spans="1:12">
      <c r="J41" s="4"/>
      <c r="K41" s="4"/>
      <c r="L41" s="4"/>
    </row>
    <row r="42" spans="1:12">
      <c r="J42" s="4"/>
      <c r="K42" s="4"/>
      <c r="L42" s="4"/>
    </row>
    <row r="43" spans="1:12">
      <c r="J43" s="4"/>
      <c r="K43" s="4"/>
      <c r="L43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35F60-EE3C-4CD5-8190-E7FD3F168DBC}">
  <dimension ref="A1:L44"/>
  <sheetViews>
    <sheetView topLeftCell="D13" workbookViewId="0">
      <selection activeCell="J38" sqref="J38"/>
    </sheetView>
  </sheetViews>
  <sheetFormatPr defaultRowHeight="15"/>
  <cols>
    <col min="1" max="1" width="17.85546875" customWidth="1"/>
    <col min="2" max="2" width="84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8">
      <c r="A1" s="1" t="s">
        <v>79</v>
      </c>
    </row>
    <row r="3" spans="1:8">
      <c r="A3">
        <v>1</v>
      </c>
      <c r="B3" t="s">
        <v>0</v>
      </c>
    </row>
    <row r="5" spans="1:8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</row>
    <row r="6" spans="1:8">
      <c r="A6" s="1" t="s">
        <v>9</v>
      </c>
      <c r="B6" t="s">
        <v>19</v>
      </c>
      <c r="C6" s="2">
        <f>A3/1*5000/1000</f>
        <v>5</v>
      </c>
      <c r="D6" t="s">
        <v>10</v>
      </c>
      <c r="E6" s="3">
        <f>1500/10000</f>
        <v>0.15</v>
      </c>
      <c r="F6" s="2">
        <f t="shared" ref="F6:F22" si="0">C6*E6</f>
        <v>0.75</v>
      </c>
      <c r="G6" s="2">
        <v>48.72</v>
      </c>
      <c r="H6" s="2">
        <f t="shared" ref="H6:H22" si="1">F6*G6</f>
        <v>36.54</v>
      </c>
    </row>
    <row r="7" spans="1:8">
      <c r="B7" t="s">
        <v>30</v>
      </c>
      <c r="C7" s="2">
        <f>A3/1*10000/1000</f>
        <v>10</v>
      </c>
      <c r="D7" t="s">
        <v>10</v>
      </c>
      <c r="E7" s="3">
        <f>400/10000</f>
        <v>0.04</v>
      </c>
      <c r="F7" s="2">
        <f t="shared" si="0"/>
        <v>0.4</v>
      </c>
      <c r="G7" s="2">
        <v>48.72</v>
      </c>
      <c r="H7" s="2">
        <f t="shared" si="1"/>
        <v>19.488</v>
      </c>
    </row>
    <row r="8" spans="1:8">
      <c r="B8" t="s">
        <v>61</v>
      </c>
      <c r="C8" s="2">
        <f>A3/1*1000/1000</f>
        <v>1</v>
      </c>
      <c r="D8" t="s">
        <v>0</v>
      </c>
      <c r="E8" s="3">
        <f>10000/10000</f>
        <v>1</v>
      </c>
      <c r="F8" s="2">
        <f t="shared" si="0"/>
        <v>1</v>
      </c>
      <c r="G8" s="2">
        <v>48.72</v>
      </c>
      <c r="H8" s="2">
        <f t="shared" si="1"/>
        <v>48.72</v>
      </c>
    </row>
    <row r="9" spans="1:8">
      <c r="B9" t="s">
        <v>33</v>
      </c>
      <c r="C9" s="2">
        <f>A3/1*3000/1000</f>
        <v>3</v>
      </c>
      <c r="D9" t="s">
        <v>10</v>
      </c>
      <c r="E9" s="3">
        <f>1000/10000</f>
        <v>0.1</v>
      </c>
      <c r="F9" s="2">
        <f t="shared" si="0"/>
        <v>0.30000000000000004</v>
      </c>
      <c r="G9" s="2">
        <v>48.72</v>
      </c>
      <c r="H9" s="2">
        <f t="shared" si="1"/>
        <v>14.616000000000001</v>
      </c>
    </row>
    <row r="10" spans="1:8">
      <c r="B10" t="s">
        <v>34</v>
      </c>
      <c r="C10" s="2">
        <f>A3/1*3000/1000</f>
        <v>3</v>
      </c>
      <c r="D10" t="s">
        <v>10</v>
      </c>
      <c r="E10" s="3">
        <f>3200/10000</f>
        <v>0.32</v>
      </c>
      <c r="F10" s="2">
        <f t="shared" si="0"/>
        <v>0.96</v>
      </c>
      <c r="G10" s="2">
        <v>48.72</v>
      </c>
      <c r="H10" s="2">
        <f t="shared" si="1"/>
        <v>46.7712</v>
      </c>
    </row>
    <row r="11" spans="1:8">
      <c r="B11" t="s">
        <v>62</v>
      </c>
      <c r="C11" s="2">
        <f>A3/1*1000/1000</f>
        <v>1</v>
      </c>
      <c r="D11" t="s">
        <v>20</v>
      </c>
      <c r="E11" s="3">
        <f>6500/10000</f>
        <v>0.65</v>
      </c>
      <c r="F11" s="2">
        <f t="shared" si="0"/>
        <v>0.65</v>
      </c>
      <c r="G11" s="2">
        <v>48.72</v>
      </c>
      <c r="H11" s="2">
        <f t="shared" si="1"/>
        <v>31.667999999999999</v>
      </c>
    </row>
    <row r="12" spans="1:8">
      <c r="B12" t="s">
        <v>36</v>
      </c>
      <c r="C12" s="2">
        <f>A3/1*1000/1000</f>
        <v>1</v>
      </c>
      <c r="D12" t="s">
        <v>10</v>
      </c>
      <c r="E12" s="3">
        <f>2500/10000</f>
        <v>0.25</v>
      </c>
      <c r="F12" s="2">
        <f t="shared" si="0"/>
        <v>0.25</v>
      </c>
      <c r="G12" s="2">
        <v>48.72</v>
      </c>
      <c r="H12" s="2">
        <f t="shared" si="1"/>
        <v>12.18</v>
      </c>
    </row>
    <row r="13" spans="1:8">
      <c r="B13" t="s">
        <v>37</v>
      </c>
      <c r="C13" s="2">
        <f>A3/1*1000/1000</f>
        <v>1</v>
      </c>
      <c r="D13" t="s">
        <v>0</v>
      </c>
      <c r="E13" s="3">
        <f>2500/10000</f>
        <v>0.25</v>
      </c>
      <c r="F13" s="2">
        <f t="shared" si="0"/>
        <v>0.25</v>
      </c>
      <c r="G13" s="2">
        <v>48.72</v>
      </c>
      <c r="H13" s="2">
        <f t="shared" si="1"/>
        <v>12.18</v>
      </c>
    </row>
    <row r="14" spans="1:8">
      <c r="B14" t="s">
        <v>63</v>
      </c>
      <c r="C14" s="2">
        <f>A3/1*1000/1000</f>
        <v>1</v>
      </c>
      <c r="D14" t="s">
        <v>0</v>
      </c>
      <c r="E14" s="3">
        <f>2500/10000</f>
        <v>0.25</v>
      </c>
      <c r="F14" s="2">
        <f t="shared" si="0"/>
        <v>0.25</v>
      </c>
      <c r="G14" s="2">
        <v>48.72</v>
      </c>
      <c r="H14" s="2">
        <f t="shared" si="1"/>
        <v>12.18</v>
      </c>
    </row>
    <row r="15" spans="1:8">
      <c r="B15" t="s">
        <v>80</v>
      </c>
      <c r="C15" s="2">
        <f>A3/1*1000/1000</f>
        <v>1</v>
      </c>
      <c r="D15" t="s">
        <v>0</v>
      </c>
      <c r="E15" s="3">
        <f>3900/10000</f>
        <v>0.39</v>
      </c>
      <c r="F15" s="2">
        <f t="shared" si="0"/>
        <v>0.39</v>
      </c>
      <c r="G15" s="2">
        <v>48.72</v>
      </c>
      <c r="H15" s="2">
        <f t="shared" si="1"/>
        <v>19.000800000000002</v>
      </c>
    </row>
    <row r="16" spans="1:8">
      <c r="B16" t="s">
        <v>41</v>
      </c>
      <c r="C16" s="2">
        <f>A3/1*10000/1000</f>
        <v>10</v>
      </c>
      <c r="D16" t="s">
        <v>10</v>
      </c>
      <c r="E16" s="3">
        <f>1200/10000</f>
        <v>0.12</v>
      </c>
      <c r="F16" s="2">
        <f t="shared" si="0"/>
        <v>1.2</v>
      </c>
      <c r="G16" s="2">
        <v>48.72</v>
      </c>
      <c r="H16" s="2">
        <f t="shared" si="1"/>
        <v>58.463999999999999</v>
      </c>
    </row>
    <row r="17" spans="1:12">
      <c r="B17" t="s">
        <v>81</v>
      </c>
      <c r="C17" s="2">
        <f>A3/1*1000/1000</f>
        <v>1</v>
      </c>
      <c r="D17" t="s">
        <v>0</v>
      </c>
      <c r="E17" s="3">
        <f>13500/10000</f>
        <v>1.35</v>
      </c>
      <c r="F17" s="2">
        <f t="shared" si="0"/>
        <v>1.35</v>
      </c>
      <c r="G17" s="2">
        <v>48.72</v>
      </c>
      <c r="H17" s="2">
        <f t="shared" si="1"/>
        <v>65.772000000000006</v>
      </c>
    </row>
    <row r="18" spans="1:12">
      <c r="B18" t="s">
        <v>43</v>
      </c>
      <c r="C18" s="2">
        <f>A3/1*1000/1000</f>
        <v>1</v>
      </c>
      <c r="D18" t="s">
        <v>20</v>
      </c>
      <c r="E18" s="3">
        <f>8000/10000</f>
        <v>0.8</v>
      </c>
      <c r="F18" s="2">
        <f t="shared" si="0"/>
        <v>0.8</v>
      </c>
      <c r="G18" s="2">
        <v>48.72</v>
      </c>
      <c r="H18" s="2">
        <f t="shared" si="1"/>
        <v>38.975999999999999</v>
      </c>
    </row>
    <row r="19" spans="1:12">
      <c r="B19" t="s">
        <v>44</v>
      </c>
      <c r="C19" s="2">
        <f>A3/1*1000/1000</f>
        <v>1</v>
      </c>
      <c r="D19" t="s">
        <v>12</v>
      </c>
      <c r="E19" s="3">
        <f>5000/10000</f>
        <v>0.5</v>
      </c>
      <c r="F19" s="2">
        <f t="shared" si="0"/>
        <v>0.5</v>
      </c>
      <c r="G19" s="2">
        <v>48.72</v>
      </c>
      <c r="H19" s="2">
        <f t="shared" si="1"/>
        <v>24.36</v>
      </c>
    </row>
    <row r="20" spans="1:12">
      <c r="B20" t="s">
        <v>67</v>
      </c>
      <c r="C20" s="2">
        <f>A3/1*5000/1000</f>
        <v>5</v>
      </c>
      <c r="D20" t="s">
        <v>10</v>
      </c>
      <c r="E20" s="3">
        <f>2000/10000</f>
        <v>0.2</v>
      </c>
      <c r="F20" s="2">
        <f t="shared" si="0"/>
        <v>1</v>
      </c>
      <c r="G20" s="2">
        <v>37.700000000000003</v>
      </c>
      <c r="H20" s="2">
        <f t="shared" si="1"/>
        <v>37.700000000000003</v>
      </c>
    </row>
    <row r="21" spans="1:12">
      <c r="B21" t="s">
        <v>21</v>
      </c>
      <c r="C21" s="2">
        <f>A3/1*150/1000</f>
        <v>0.15</v>
      </c>
      <c r="D21" t="s">
        <v>22</v>
      </c>
      <c r="E21" s="3">
        <f>10000/10000</f>
        <v>1</v>
      </c>
      <c r="F21" s="2">
        <f t="shared" si="0"/>
        <v>0.15</v>
      </c>
      <c r="G21" s="2">
        <v>48.72</v>
      </c>
      <c r="H21" s="2">
        <f t="shared" si="1"/>
        <v>7.3079999999999998</v>
      </c>
    </row>
    <row r="22" spans="1:12">
      <c r="B22" t="s">
        <v>11</v>
      </c>
      <c r="C22" s="2">
        <f>A3/1*1000/1000</f>
        <v>1</v>
      </c>
      <c r="D22" t="s">
        <v>12</v>
      </c>
      <c r="E22" s="3">
        <f>3000/10000</f>
        <v>0.3</v>
      </c>
      <c r="F22" s="2">
        <f t="shared" si="0"/>
        <v>0.3</v>
      </c>
      <c r="G22" s="2">
        <v>48.72</v>
      </c>
      <c r="H22" s="2">
        <f t="shared" si="1"/>
        <v>14.616</v>
      </c>
    </row>
    <row r="23" spans="1:12">
      <c r="B23" s="1" t="s">
        <v>13</v>
      </c>
      <c r="F23" s="4">
        <f>SUM(F6:F22)</f>
        <v>10.500000000000002</v>
      </c>
      <c r="H23" s="4">
        <f>SUM(H6:H22)</f>
        <v>500.53999999999996</v>
      </c>
      <c r="J23" s="4">
        <f>H23*1.17</f>
        <v>585.63179999999988</v>
      </c>
      <c r="K23" s="4"/>
      <c r="L23" s="4"/>
    </row>
    <row r="24" spans="1:12">
      <c r="A24" s="1" t="s">
        <v>14</v>
      </c>
      <c r="B24" t="s">
        <v>23</v>
      </c>
      <c r="C24" s="2">
        <f>A3/1*5</f>
        <v>5</v>
      </c>
      <c r="D24" t="s">
        <v>20</v>
      </c>
      <c r="E24" s="3" t="s">
        <v>15</v>
      </c>
      <c r="F24" s="2" t="s">
        <v>15</v>
      </c>
      <c r="G24" s="2">
        <f>(144/100)</f>
        <v>1.44</v>
      </c>
      <c r="H24" s="2">
        <f t="shared" ref="H24:H39" si="2">C24*G24</f>
        <v>7.1999999999999993</v>
      </c>
      <c r="J24" s="4"/>
      <c r="K24" s="4"/>
      <c r="L24" s="4"/>
    </row>
    <row r="25" spans="1:12">
      <c r="B25" t="s">
        <v>47</v>
      </c>
      <c r="C25" s="2">
        <f>A3/1*1</f>
        <v>1</v>
      </c>
      <c r="D25" t="s">
        <v>12</v>
      </c>
      <c r="E25" s="3" t="s">
        <v>15</v>
      </c>
      <c r="F25" s="2" t="s">
        <v>15</v>
      </c>
      <c r="G25" s="2">
        <f>(425/100)</f>
        <v>4.25</v>
      </c>
      <c r="H25" s="2">
        <f t="shared" si="2"/>
        <v>4.25</v>
      </c>
      <c r="J25" s="4"/>
      <c r="K25" s="4"/>
      <c r="L25" s="4"/>
    </row>
    <row r="26" spans="1:12">
      <c r="B26" t="s">
        <v>68</v>
      </c>
      <c r="C26" s="2">
        <f>A3/1*(13/10)</f>
        <v>1.3</v>
      </c>
      <c r="D26" t="s">
        <v>10</v>
      </c>
      <c r="E26" s="3" t="s">
        <v>15</v>
      </c>
      <c r="F26" s="2" t="s">
        <v>15</v>
      </c>
      <c r="G26" s="2">
        <f>(1039/100)</f>
        <v>10.39</v>
      </c>
      <c r="H26" s="2">
        <f t="shared" si="2"/>
        <v>13.507000000000001</v>
      </c>
      <c r="J26" s="4"/>
      <c r="K26" s="4"/>
      <c r="L26" s="4"/>
    </row>
    <row r="27" spans="1:12">
      <c r="B27" t="s">
        <v>82</v>
      </c>
      <c r="C27" s="2">
        <f>A3/1*1</f>
        <v>1</v>
      </c>
      <c r="D27" t="s">
        <v>0</v>
      </c>
      <c r="E27" s="3" t="s">
        <v>15</v>
      </c>
      <c r="F27" s="2" t="s">
        <v>15</v>
      </c>
      <c r="G27" s="2">
        <f>(13264/100)</f>
        <v>132.63999999999999</v>
      </c>
      <c r="H27" s="2">
        <f t="shared" si="2"/>
        <v>132.63999999999999</v>
      </c>
      <c r="J27" s="4"/>
      <c r="K27" s="4"/>
      <c r="L27" s="4"/>
    </row>
    <row r="28" spans="1:12">
      <c r="B28" t="s">
        <v>53</v>
      </c>
      <c r="C28" s="2">
        <f>A3/1*10</f>
        <v>10</v>
      </c>
      <c r="D28" t="s">
        <v>10</v>
      </c>
      <c r="E28" s="3" t="s">
        <v>15</v>
      </c>
      <c r="F28" s="2" t="s">
        <v>15</v>
      </c>
      <c r="G28" s="2">
        <f>(227/100)</f>
        <v>2.27</v>
      </c>
      <c r="H28" s="2">
        <f t="shared" si="2"/>
        <v>22.7</v>
      </c>
      <c r="J28" s="4"/>
      <c r="K28" s="4"/>
      <c r="L28" s="4"/>
    </row>
    <row r="29" spans="1:12">
      <c r="B29" t="s">
        <v>83</v>
      </c>
      <c r="C29" s="2">
        <f>A3/1*1</f>
        <v>1</v>
      </c>
      <c r="D29" t="s">
        <v>0</v>
      </c>
      <c r="E29" s="3" t="s">
        <v>15</v>
      </c>
      <c r="F29" s="2" t="s">
        <v>15</v>
      </c>
      <c r="G29" s="2">
        <f>(1035/10)</f>
        <v>103.5</v>
      </c>
      <c r="H29" s="2">
        <f t="shared" si="2"/>
        <v>103.5</v>
      </c>
      <c r="J29" s="4"/>
      <c r="K29" s="4"/>
      <c r="L29" s="4"/>
    </row>
    <row r="30" spans="1:12">
      <c r="B30" t="s">
        <v>84</v>
      </c>
      <c r="C30" s="2">
        <f>A3/1*2</f>
        <v>2</v>
      </c>
      <c r="D30" t="s">
        <v>0</v>
      </c>
      <c r="E30" s="3" t="s">
        <v>15</v>
      </c>
      <c r="F30" s="2" t="s">
        <v>15</v>
      </c>
      <c r="G30" s="2">
        <f>3</f>
        <v>3</v>
      </c>
      <c r="H30" s="2">
        <f t="shared" si="2"/>
        <v>6</v>
      </c>
      <c r="J30" s="4"/>
      <c r="K30" s="4"/>
      <c r="L30" s="4"/>
    </row>
    <row r="31" spans="1:12">
      <c r="B31" t="s">
        <v>71</v>
      </c>
      <c r="C31" s="2">
        <f>A3/1*1</f>
        <v>1</v>
      </c>
      <c r="D31" t="s">
        <v>0</v>
      </c>
      <c r="E31" s="3" t="s">
        <v>15</v>
      </c>
      <c r="F31" s="2" t="s">
        <v>15</v>
      </c>
      <c r="G31" s="2">
        <f>(1592/100)</f>
        <v>15.92</v>
      </c>
      <c r="H31" s="2">
        <f t="shared" si="2"/>
        <v>15.92</v>
      </c>
      <c r="J31" s="4"/>
      <c r="K31" s="4"/>
      <c r="L31" s="4"/>
    </row>
    <row r="32" spans="1:12">
      <c r="B32" t="s">
        <v>85</v>
      </c>
      <c r="C32" s="2">
        <f>A3/1*1</f>
        <v>1</v>
      </c>
      <c r="D32" t="s">
        <v>86</v>
      </c>
      <c r="E32" s="3" t="s">
        <v>15</v>
      </c>
      <c r="F32" s="2" t="s">
        <v>15</v>
      </c>
      <c r="G32" s="2">
        <f>(1748/100)</f>
        <v>17.48</v>
      </c>
      <c r="H32" s="2">
        <f t="shared" si="2"/>
        <v>17.48</v>
      </c>
      <c r="J32" s="4"/>
      <c r="K32" s="4"/>
      <c r="L32" s="4"/>
    </row>
    <row r="33" spans="1:12">
      <c r="B33" t="s">
        <v>54</v>
      </c>
      <c r="C33" s="2">
        <f>A3/1*8</f>
        <v>8</v>
      </c>
      <c r="D33" t="s">
        <v>25</v>
      </c>
      <c r="E33" s="3" t="s">
        <v>15</v>
      </c>
      <c r="F33" s="2" t="s">
        <v>15</v>
      </c>
      <c r="G33" s="2">
        <f>(24/100)</f>
        <v>0.24</v>
      </c>
      <c r="H33" s="2">
        <f t="shared" si="2"/>
        <v>1.92</v>
      </c>
      <c r="J33" s="4"/>
      <c r="K33" s="4"/>
      <c r="L33" s="4"/>
    </row>
    <row r="34" spans="1:12">
      <c r="B34" t="s">
        <v>55</v>
      </c>
      <c r="C34" s="2">
        <f>A3/1*(25/10)</f>
        <v>2.5</v>
      </c>
      <c r="D34" t="s">
        <v>25</v>
      </c>
      <c r="E34" s="3" t="s">
        <v>15</v>
      </c>
      <c r="F34" s="2" t="s">
        <v>15</v>
      </c>
      <c r="G34" s="2">
        <f>(71/100)</f>
        <v>0.71</v>
      </c>
      <c r="H34" s="2">
        <f t="shared" si="2"/>
        <v>1.7749999999999999</v>
      </c>
      <c r="J34" s="4"/>
      <c r="K34" s="4"/>
      <c r="L34" s="4"/>
    </row>
    <row r="35" spans="1:12">
      <c r="B35" t="s">
        <v>24</v>
      </c>
      <c r="C35" s="2">
        <f>A3/1*(25/100)</f>
        <v>0.25</v>
      </c>
      <c r="D35" t="s">
        <v>25</v>
      </c>
      <c r="E35" s="3" t="s">
        <v>15</v>
      </c>
      <c r="F35" s="2" t="s">
        <v>15</v>
      </c>
      <c r="G35" s="2">
        <f>(727/100)</f>
        <v>7.27</v>
      </c>
      <c r="H35" s="2">
        <f t="shared" si="2"/>
        <v>1.8174999999999999</v>
      </c>
      <c r="J35" s="4"/>
      <c r="K35" s="4"/>
      <c r="L35" s="4"/>
    </row>
    <row r="36" spans="1:12">
      <c r="B36" t="s">
        <v>56</v>
      </c>
      <c r="C36" s="2">
        <f>A3/1*4</f>
        <v>4</v>
      </c>
      <c r="D36" t="s">
        <v>25</v>
      </c>
      <c r="E36" s="3" t="s">
        <v>15</v>
      </c>
      <c r="F36" s="2" t="s">
        <v>15</v>
      </c>
      <c r="G36" s="2">
        <f>(109/100)</f>
        <v>1.0900000000000001</v>
      </c>
      <c r="H36" s="2">
        <f t="shared" si="2"/>
        <v>4.3600000000000003</v>
      </c>
      <c r="J36" s="4"/>
      <c r="K36" s="4"/>
      <c r="L36" s="4"/>
    </row>
    <row r="37" spans="1:12">
      <c r="B37" t="s">
        <v>72</v>
      </c>
      <c r="C37" s="2">
        <f>A3/1*5</f>
        <v>5</v>
      </c>
      <c r="D37" t="s">
        <v>10</v>
      </c>
      <c r="E37" s="3" t="s">
        <v>15</v>
      </c>
      <c r="F37" s="2" t="s">
        <v>15</v>
      </c>
      <c r="G37" s="2">
        <f>(166/100)</f>
        <v>1.66</v>
      </c>
      <c r="H37" s="2">
        <f t="shared" si="2"/>
        <v>8.2999999999999989</v>
      </c>
      <c r="J37" s="4"/>
      <c r="K37" s="4"/>
      <c r="L37" s="4"/>
    </row>
    <row r="38" spans="1:12">
      <c r="B38" t="s">
        <v>59</v>
      </c>
      <c r="C38" s="2">
        <f>A3/1*1</f>
        <v>1</v>
      </c>
      <c r="D38" t="s">
        <v>27</v>
      </c>
      <c r="E38" s="3" t="s">
        <v>15</v>
      </c>
      <c r="F38" s="2" t="s">
        <v>15</v>
      </c>
      <c r="G38" s="2">
        <f>42</f>
        <v>42</v>
      </c>
      <c r="H38" s="2">
        <f t="shared" si="2"/>
        <v>42</v>
      </c>
      <c r="J38" s="4"/>
      <c r="K38" s="4"/>
      <c r="L38" s="4"/>
    </row>
    <row r="39" spans="1:12">
      <c r="B39" t="s">
        <v>26</v>
      </c>
      <c r="C39" s="2">
        <f>A3/1*(3/10)</f>
        <v>0.3</v>
      </c>
      <c r="D39" t="s">
        <v>22</v>
      </c>
      <c r="E39" s="3" t="s">
        <v>15</v>
      </c>
      <c r="F39" s="2" t="s">
        <v>15</v>
      </c>
      <c r="G39" s="2">
        <f>(5372/100)</f>
        <v>53.72</v>
      </c>
      <c r="H39" s="2">
        <f t="shared" si="2"/>
        <v>16.116</v>
      </c>
      <c r="J39" s="4"/>
      <c r="K39" s="4"/>
      <c r="L39" s="4"/>
    </row>
    <row r="40" spans="1:12">
      <c r="B40" s="1" t="s">
        <v>16</v>
      </c>
      <c r="H40" s="4">
        <f>SUM(H24:H39)</f>
        <v>399.4855</v>
      </c>
      <c r="J40" s="4">
        <f t="shared" ref="J40:J41" si="3">H40*1.17</f>
        <v>467.39803499999999</v>
      </c>
      <c r="K40" s="4"/>
      <c r="L40" s="4"/>
    </row>
    <row r="41" spans="1:12">
      <c r="A41" s="1" t="s">
        <v>17</v>
      </c>
      <c r="B41" s="1" t="s">
        <v>18</v>
      </c>
      <c r="H41" s="4">
        <f>H23+H40</f>
        <v>900.02549999999997</v>
      </c>
      <c r="J41" s="4">
        <f t="shared" si="3"/>
        <v>1053.0298349999998</v>
      </c>
      <c r="K41" s="4"/>
      <c r="L41" s="4">
        <f>J41*1.21</f>
        <v>1274.1661003499999</v>
      </c>
    </row>
    <row r="42" spans="1:12">
      <c r="J42" s="4"/>
      <c r="K42" s="4"/>
      <c r="L42" s="4"/>
    </row>
    <row r="43" spans="1:12">
      <c r="J43" s="4"/>
      <c r="K43" s="4"/>
      <c r="L43" s="4"/>
    </row>
    <row r="44" spans="1:12">
      <c r="J44" s="4"/>
      <c r="K44" s="4"/>
      <c r="L44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F4B7D-5879-40C5-BA76-136BD7EC0BA5}">
  <dimension ref="A1:L39"/>
  <sheetViews>
    <sheetView topLeftCell="B13" workbookViewId="0">
      <selection activeCell="J20" sqref="J20:L35"/>
    </sheetView>
  </sheetViews>
  <sheetFormatPr defaultRowHeight="15"/>
  <cols>
    <col min="1" max="1" width="17.85546875" customWidth="1"/>
    <col min="2" max="2" width="110.14062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8">
      <c r="A1" s="1" t="s">
        <v>73</v>
      </c>
    </row>
    <row r="3" spans="1:8">
      <c r="A3">
        <v>1</v>
      </c>
      <c r="B3" t="s">
        <v>0</v>
      </c>
    </row>
    <row r="5" spans="1:8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</row>
    <row r="6" spans="1:8">
      <c r="A6" s="1" t="s">
        <v>9</v>
      </c>
      <c r="B6" t="s">
        <v>74</v>
      </c>
      <c r="C6" s="2">
        <f>A3/1*5000/1000</f>
        <v>5</v>
      </c>
      <c r="D6" t="s">
        <v>10</v>
      </c>
      <c r="E6" s="3">
        <f>1000/10000</f>
        <v>0.1</v>
      </c>
      <c r="F6" s="2">
        <f t="shared" ref="F6:F19" si="0">C6*E6</f>
        <v>0.5</v>
      </c>
      <c r="G6" s="2">
        <v>48.72</v>
      </c>
      <c r="H6" s="2">
        <f t="shared" ref="H6:H19" si="1">F6*G6</f>
        <v>24.36</v>
      </c>
    </row>
    <row r="7" spans="1:8">
      <c r="B7" t="s">
        <v>75</v>
      </c>
      <c r="C7" s="2">
        <f>A3/1*5000/1000</f>
        <v>5</v>
      </c>
      <c r="D7" t="s">
        <v>10</v>
      </c>
      <c r="E7" s="3">
        <f>2000/10000</f>
        <v>0.2</v>
      </c>
      <c r="F7" s="2">
        <f t="shared" si="0"/>
        <v>1</v>
      </c>
      <c r="G7" s="2">
        <v>48.72</v>
      </c>
      <c r="H7" s="2">
        <f t="shared" si="1"/>
        <v>48.72</v>
      </c>
    </row>
    <row r="8" spans="1:8">
      <c r="B8" t="s">
        <v>31</v>
      </c>
      <c r="C8" s="2">
        <f>A3/1*1000/1000</f>
        <v>1</v>
      </c>
      <c r="D8" t="s">
        <v>0</v>
      </c>
      <c r="E8" s="3">
        <f>7500/10000</f>
        <v>0.75</v>
      </c>
      <c r="F8" s="2">
        <f t="shared" si="0"/>
        <v>0.75</v>
      </c>
      <c r="G8" s="2">
        <v>48.72</v>
      </c>
      <c r="H8" s="2">
        <f t="shared" si="1"/>
        <v>36.54</v>
      </c>
    </row>
    <row r="9" spans="1:8">
      <c r="B9" t="s">
        <v>32</v>
      </c>
      <c r="C9" s="2">
        <f>A3/1*1000/1000</f>
        <v>1</v>
      </c>
      <c r="D9" t="s">
        <v>10</v>
      </c>
      <c r="E9" s="3">
        <f>3000/10000</f>
        <v>0.3</v>
      </c>
      <c r="F9" s="2">
        <f t="shared" si="0"/>
        <v>0.3</v>
      </c>
      <c r="G9" s="2">
        <v>48.72</v>
      </c>
      <c r="H9" s="2">
        <f t="shared" si="1"/>
        <v>14.616</v>
      </c>
    </row>
    <row r="10" spans="1:8">
      <c r="B10" t="s">
        <v>39</v>
      </c>
      <c r="C10" s="2">
        <f>A3/1*1000/1000</f>
        <v>1</v>
      </c>
      <c r="D10" t="s">
        <v>0</v>
      </c>
      <c r="E10" s="3">
        <f>12500/10000</f>
        <v>1.25</v>
      </c>
      <c r="F10" s="2">
        <f t="shared" si="0"/>
        <v>1.25</v>
      </c>
      <c r="G10" s="2">
        <v>48.72</v>
      </c>
      <c r="H10" s="2">
        <f t="shared" si="1"/>
        <v>60.9</v>
      </c>
    </row>
    <row r="11" spans="1:8">
      <c r="B11" t="s">
        <v>40</v>
      </c>
      <c r="C11" s="2">
        <f>A3/1*1000/1000</f>
        <v>1</v>
      </c>
      <c r="D11" t="s">
        <v>10</v>
      </c>
      <c r="E11" s="3">
        <f>7500/10000</f>
        <v>0.75</v>
      </c>
      <c r="F11" s="2">
        <f t="shared" si="0"/>
        <v>0.75</v>
      </c>
      <c r="G11" s="2">
        <v>48.72</v>
      </c>
      <c r="H11" s="2">
        <f t="shared" si="1"/>
        <v>36.54</v>
      </c>
    </row>
    <row r="12" spans="1:8">
      <c r="B12" t="s">
        <v>76</v>
      </c>
      <c r="C12" s="2">
        <f>A3/1*1000/1000</f>
        <v>1</v>
      </c>
      <c r="D12" t="s">
        <v>0</v>
      </c>
      <c r="E12" s="3">
        <f>15000/10000</f>
        <v>1.5</v>
      </c>
      <c r="F12" s="2">
        <f t="shared" si="0"/>
        <v>1.5</v>
      </c>
      <c r="G12" s="2">
        <v>48.72</v>
      </c>
      <c r="H12" s="2">
        <f t="shared" si="1"/>
        <v>73.08</v>
      </c>
    </row>
    <row r="13" spans="1:8">
      <c r="B13" t="s">
        <v>41</v>
      </c>
      <c r="C13" s="2">
        <f>A3/1*5000/1000</f>
        <v>5</v>
      </c>
      <c r="D13" t="s">
        <v>10</v>
      </c>
      <c r="E13" s="3">
        <f>1200/10000</f>
        <v>0.12</v>
      </c>
      <c r="F13" s="2">
        <f t="shared" si="0"/>
        <v>0.6</v>
      </c>
      <c r="G13" s="2">
        <v>48.72</v>
      </c>
      <c r="H13" s="2">
        <f t="shared" si="1"/>
        <v>29.231999999999999</v>
      </c>
    </row>
    <row r="14" spans="1:8">
      <c r="B14" t="s">
        <v>42</v>
      </c>
      <c r="C14" s="2">
        <f>A3/1*1000/1000</f>
        <v>1</v>
      </c>
      <c r="D14" t="s">
        <v>0</v>
      </c>
      <c r="E14" s="3">
        <f>25000/10000</f>
        <v>2.5</v>
      </c>
      <c r="F14" s="2">
        <f t="shared" si="0"/>
        <v>2.5</v>
      </c>
      <c r="G14" s="2">
        <v>48.72</v>
      </c>
      <c r="H14" s="2">
        <f t="shared" si="1"/>
        <v>121.8</v>
      </c>
    </row>
    <row r="15" spans="1:8">
      <c r="B15" t="s">
        <v>44</v>
      </c>
      <c r="C15" s="2">
        <f>A3/1*1000/1000</f>
        <v>1</v>
      </c>
      <c r="D15" t="s">
        <v>12</v>
      </c>
      <c r="E15" s="3">
        <f>5000/10000</f>
        <v>0.5</v>
      </c>
      <c r="F15" s="2">
        <f t="shared" si="0"/>
        <v>0.5</v>
      </c>
      <c r="G15" s="2">
        <v>48.72</v>
      </c>
      <c r="H15" s="2">
        <f t="shared" si="1"/>
        <v>24.36</v>
      </c>
    </row>
    <row r="16" spans="1:8">
      <c r="B16" t="s">
        <v>45</v>
      </c>
      <c r="C16" s="2">
        <f>A3/1*6000/1000</f>
        <v>6</v>
      </c>
      <c r="D16" t="s">
        <v>10</v>
      </c>
      <c r="E16" s="3">
        <f>2000/10000</f>
        <v>0.2</v>
      </c>
      <c r="F16" s="2">
        <f t="shared" si="0"/>
        <v>1.2000000000000002</v>
      </c>
      <c r="G16" s="2">
        <v>37.700000000000003</v>
      </c>
      <c r="H16" s="2">
        <f t="shared" si="1"/>
        <v>45.240000000000009</v>
      </c>
    </row>
    <row r="17" spans="1:12">
      <c r="B17" t="s">
        <v>46</v>
      </c>
      <c r="C17" s="2">
        <f>A3/1*4000/1000</f>
        <v>4</v>
      </c>
      <c r="D17" t="s">
        <v>20</v>
      </c>
      <c r="E17" s="3">
        <f>3500/10000</f>
        <v>0.35</v>
      </c>
      <c r="F17" s="2">
        <f t="shared" si="0"/>
        <v>1.4</v>
      </c>
      <c r="G17" s="2">
        <v>37.700000000000003</v>
      </c>
      <c r="H17" s="2">
        <f t="shared" si="1"/>
        <v>52.78</v>
      </c>
    </row>
    <row r="18" spans="1:12">
      <c r="B18" t="s">
        <v>21</v>
      </c>
      <c r="C18" s="2">
        <f>A3/1*300/1000</f>
        <v>0.3</v>
      </c>
      <c r="D18" t="s">
        <v>22</v>
      </c>
      <c r="E18" s="3">
        <f>10000/10000</f>
        <v>1</v>
      </c>
      <c r="F18" s="2">
        <f t="shared" si="0"/>
        <v>0.3</v>
      </c>
      <c r="G18" s="2">
        <v>48.72</v>
      </c>
      <c r="H18" s="2">
        <f t="shared" si="1"/>
        <v>14.616</v>
      </c>
    </row>
    <row r="19" spans="1:12">
      <c r="B19" t="s">
        <v>11</v>
      </c>
      <c r="C19" s="2">
        <f>A3/1*1000/1000</f>
        <v>1</v>
      </c>
      <c r="D19" t="s">
        <v>12</v>
      </c>
      <c r="E19" s="3">
        <f>3000/10000</f>
        <v>0.3</v>
      </c>
      <c r="F19" s="2">
        <f t="shared" si="0"/>
        <v>0.3</v>
      </c>
      <c r="G19" s="2">
        <v>48.72</v>
      </c>
      <c r="H19" s="2">
        <f t="shared" si="1"/>
        <v>14.616</v>
      </c>
    </row>
    <row r="20" spans="1:12">
      <c r="B20" s="1" t="s">
        <v>13</v>
      </c>
      <c r="F20" s="4">
        <f>SUM(F6:F19)</f>
        <v>12.85</v>
      </c>
      <c r="H20" s="4">
        <f>SUM(H6:H19)</f>
        <v>597.39999999999986</v>
      </c>
      <c r="J20" s="4">
        <f>H20*1.17</f>
        <v>698.95799999999974</v>
      </c>
      <c r="K20" s="4"/>
      <c r="L20" s="4"/>
    </row>
    <row r="21" spans="1:12">
      <c r="A21" s="1" t="s">
        <v>14</v>
      </c>
      <c r="B21" t="s">
        <v>49</v>
      </c>
      <c r="C21" s="2">
        <f>A3/1*1</f>
        <v>1</v>
      </c>
      <c r="D21" t="s">
        <v>0</v>
      </c>
      <c r="E21" s="3" t="s">
        <v>15</v>
      </c>
      <c r="F21" s="2" t="s">
        <v>15</v>
      </c>
      <c r="G21" s="2">
        <f>(5796/10)</f>
        <v>579.6</v>
      </c>
      <c r="H21" s="2">
        <f t="shared" ref="H21:H33" si="2">C21*G21</f>
        <v>579.6</v>
      </c>
      <c r="J21" s="4"/>
      <c r="K21" s="4"/>
      <c r="L21" s="4"/>
    </row>
    <row r="22" spans="1:12">
      <c r="B22" t="s">
        <v>50</v>
      </c>
      <c r="C22" s="2">
        <f>A3/1*1</f>
        <v>1</v>
      </c>
      <c r="D22" t="s">
        <v>0</v>
      </c>
      <c r="E22" s="3" t="s">
        <v>15</v>
      </c>
      <c r="F22" s="2" t="s">
        <v>15</v>
      </c>
      <c r="G22" s="2">
        <f>(44325/100)</f>
        <v>443.25</v>
      </c>
      <c r="H22" s="2">
        <f t="shared" si="2"/>
        <v>443.25</v>
      </c>
      <c r="J22" s="4"/>
      <c r="K22" s="4"/>
      <c r="L22" s="4"/>
    </row>
    <row r="23" spans="1:12">
      <c r="B23" t="s">
        <v>51</v>
      </c>
      <c r="C23" s="2">
        <f>A3/1*1</f>
        <v>1</v>
      </c>
      <c r="D23" t="s">
        <v>0</v>
      </c>
      <c r="E23" s="3" t="s">
        <v>15</v>
      </c>
      <c r="F23" s="2" t="s">
        <v>15</v>
      </c>
      <c r="G23" s="2">
        <f>(29008/100)</f>
        <v>290.08</v>
      </c>
      <c r="H23" s="2">
        <f t="shared" si="2"/>
        <v>290.08</v>
      </c>
      <c r="J23" s="4"/>
      <c r="K23" s="4"/>
      <c r="L23" s="4"/>
    </row>
    <row r="24" spans="1:12">
      <c r="B24" t="s">
        <v>52</v>
      </c>
      <c r="C24" s="2">
        <f>A3/1*1</f>
        <v>1</v>
      </c>
      <c r="D24" t="s">
        <v>20</v>
      </c>
      <c r="E24" s="3" t="s">
        <v>15</v>
      </c>
      <c r="F24" s="2" t="s">
        <v>15</v>
      </c>
      <c r="G24" s="2">
        <f>(5782/100)</f>
        <v>57.82</v>
      </c>
      <c r="H24" s="2">
        <f t="shared" si="2"/>
        <v>57.82</v>
      </c>
      <c r="J24" s="4"/>
      <c r="K24" s="4"/>
      <c r="L24" s="4"/>
    </row>
    <row r="25" spans="1:12">
      <c r="B25" t="s">
        <v>77</v>
      </c>
      <c r="C25" s="2">
        <f>A3/1*1</f>
        <v>1</v>
      </c>
      <c r="D25" t="s">
        <v>20</v>
      </c>
      <c r="E25" s="3" t="s">
        <v>15</v>
      </c>
      <c r="F25" s="2" t="s">
        <v>15</v>
      </c>
      <c r="G25" s="2">
        <f>(255/10)</f>
        <v>25.5</v>
      </c>
      <c r="H25" s="2">
        <f t="shared" si="2"/>
        <v>25.5</v>
      </c>
      <c r="J25" s="4"/>
      <c r="K25" s="4"/>
      <c r="L25" s="4"/>
    </row>
    <row r="26" spans="1:12">
      <c r="B26" t="s">
        <v>53</v>
      </c>
      <c r="C26" s="2">
        <f>A3/1*5</f>
        <v>5</v>
      </c>
      <c r="D26" t="s">
        <v>10</v>
      </c>
      <c r="E26" s="3" t="s">
        <v>15</v>
      </c>
      <c r="F26" s="2" t="s">
        <v>15</v>
      </c>
      <c r="G26" s="2">
        <f>(227/100)</f>
        <v>2.27</v>
      </c>
      <c r="H26" s="2">
        <f t="shared" si="2"/>
        <v>11.35</v>
      </c>
      <c r="J26" s="4"/>
      <c r="K26" s="4"/>
      <c r="L26" s="4"/>
    </row>
    <row r="27" spans="1:12">
      <c r="B27" t="s">
        <v>28</v>
      </c>
      <c r="C27" s="2">
        <f>A3/1*1</f>
        <v>1</v>
      </c>
      <c r="D27" t="s">
        <v>12</v>
      </c>
      <c r="E27" s="3" t="s">
        <v>15</v>
      </c>
      <c r="F27" s="2" t="s">
        <v>15</v>
      </c>
      <c r="G27" s="2">
        <f>20</f>
        <v>20</v>
      </c>
      <c r="H27" s="2">
        <f t="shared" si="2"/>
        <v>20</v>
      </c>
      <c r="J27" s="4"/>
      <c r="K27" s="4"/>
      <c r="L27" s="4"/>
    </row>
    <row r="28" spans="1:12">
      <c r="B28" t="s">
        <v>24</v>
      </c>
      <c r="C28" s="2">
        <f>A3/1*(25/100)</f>
        <v>0.25</v>
      </c>
      <c r="D28" t="s">
        <v>25</v>
      </c>
      <c r="E28" s="3" t="s">
        <v>15</v>
      </c>
      <c r="F28" s="2" t="s">
        <v>15</v>
      </c>
      <c r="G28" s="2">
        <f>(727/100)</f>
        <v>7.27</v>
      </c>
      <c r="H28" s="2">
        <f t="shared" si="2"/>
        <v>1.8174999999999999</v>
      </c>
      <c r="J28" s="4"/>
      <c r="K28" s="4"/>
      <c r="L28" s="4"/>
    </row>
    <row r="29" spans="1:12">
      <c r="B29" t="s">
        <v>56</v>
      </c>
      <c r="C29" s="2">
        <f>A3/1*4</f>
        <v>4</v>
      </c>
      <c r="D29" t="s">
        <v>25</v>
      </c>
      <c r="E29" s="3" t="s">
        <v>15</v>
      </c>
      <c r="F29" s="2" t="s">
        <v>15</v>
      </c>
      <c r="G29" s="2">
        <f>(109/100)</f>
        <v>1.0900000000000001</v>
      </c>
      <c r="H29" s="2">
        <f t="shared" si="2"/>
        <v>4.3600000000000003</v>
      </c>
      <c r="J29" s="4"/>
      <c r="K29" s="4"/>
      <c r="L29" s="4"/>
    </row>
    <row r="30" spans="1:12">
      <c r="B30" t="s">
        <v>57</v>
      </c>
      <c r="C30" s="2">
        <f>A3/1*6</f>
        <v>6</v>
      </c>
      <c r="D30" t="s">
        <v>10</v>
      </c>
      <c r="E30" s="3" t="s">
        <v>15</v>
      </c>
      <c r="F30" s="2" t="s">
        <v>15</v>
      </c>
      <c r="G30" s="2">
        <f>2</f>
        <v>2</v>
      </c>
      <c r="H30" s="2">
        <f t="shared" si="2"/>
        <v>12</v>
      </c>
      <c r="J30" s="4"/>
      <c r="K30" s="4"/>
      <c r="L30" s="4"/>
    </row>
    <row r="31" spans="1:12">
      <c r="B31" t="s">
        <v>58</v>
      </c>
      <c r="C31" s="2">
        <f>A3/1*4</f>
        <v>4</v>
      </c>
      <c r="D31" t="s">
        <v>20</v>
      </c>
      <c r="E31" s="3" t="s">
        <v>15</v>
      </c>
      <c r="F31" s="2" t="s">
        <v>15</v>
      </c>
      <c r="G31" s="2">
        <f>5</f>
        <v>5</v>
      </c>
      <c r="H31" s="2">
        <f t="shared" si="2"/>
        <v>20</v>
      </c>
      <c r="J31" s="4"/>
      <c r="K31" s="4"/>
      <c r="L31" s="4"/>
    </row>
    <row r="32" spans="1:12">
      <c r="B32" t="s">
        <v>78</v>
      </c>
      <c r="C32" s="2">
        <f>A3/1*1</f>
        <v>1</v>
      </c>
      <c r="D32" t="s">
        <v>27</v>
      </c>
      <c r="E32" s="3" t="s">
        <v>15</v>
      </c>
      <c r="F32" s="2" t="s">
        <v>15</v>
      </c>
      <c r="G32" s="2">
        <f>42</f>
        <v>42</v>
      </c>
      <c r="H32" s="2">
        <f t="shared" si="2"/>
        <v>42</v>
      </c>
      <c r="J32" s="4"/>
      <c r="K32" s="4"/>
      <c r="L32" s="4"/>
    </row>
    <row r="33" spans="1:12">
      <c r="B33" t="s">
        <v>26</v>
      </c>
      <c r="C33" s="2">
        <f>A3/1*(6/10)</f>
        <v>0.6</v>
      </c>
      <c r="D33" t="s">
        <v>22</v>
      </c>
      <c r="E33" s="3" t="s">
        <v>15</v>
      </c>
      <c r="F33" s="2" t="s">
        <v>15</v>
      </c>
      <c r="G33" s="2">
        <f>(5372/100)</f>
        <v>53.72</v>
      </c>
      <c r="H33" s="2">
        <f t="shared" si="2"/>
        <v>32.231999999999999</v>
      </c>
      <c r="J33" s="4"/>
      <c r="K33" s="4"/>
      <c r="L33" s="4"/>
    </row>
    <row r="34" spans="1:12">
      <c r="B34" s="1" t="s">
        <v>16</v>
      </c>
      <c r="H34" s="4">
        <f>SUM(H21:H33)</f>
        <v>1540.0094999999999</v>
      </c>
      <c r="J34" s="4">
        <f t="shared" ref="J34:J35" si="3">H34*1.17</f>
        <v>1801.8111149999997</v>
      </c>
      <c r="K34" s="4"/>
      <c r="L34" s="4"/>
    </row>
    <row r="35" spans="1:12">
      <c r="A35" s="1" t="s">
        <v>17</v>
      </c>
      <c r="B35" s="1" t="s">
        <v>18</v>
      </c>
      <c r="H35" s="4">
        <f>H20+H34</f>
        <v>2137.4094999999998</v>
      </c>
      <c r="J35" s="4">
        <f t="shared" si="3"/>
        <v>2500.7691149999996</v>
      </c>
      <c r="K35" s="4"/>
      <c r="L35" s="4">
        <f>J35*1.21</f>
        <v>3025.9306291499993</v>
      </c>
    </row>
    <row r="36" spans="1:12">
      <c r="J36" s="4"/>
      <c r="K36" s="4"/>
      <c r="L36" s="4"/>
    </row>
    <row r="37" spans="1:12">
      <c r="J37" s="4"/>
      <c r="K37" s="4"/>
      <c r="L37" s="4"/>
    </row>
    <row r="38" spans="1:12">
      <c r="J38" s="4"/>
      <c r="K38" s="4"/>
      <c r="L38" s="4"/>
    </row>
    <row r="39" spans="1:12">
      <c r="J39" s="4"/>
      <c r="K39" s="4"/>
      <c r="L39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9F4C7-A2B6-432B-840C-E58EEDD10788}">
  <dimension ref="A1:L16"/>
  <sheetViews>
    <sheetView workbookViewId="0">
      <selection activeCell="B14" sqref="B14"/>
    </sheetView>
  </sheetViews>
  <sheetFormatPr defaultRowHeight="15"/>
  <cols>
    <col min="1" max="1" width="17.85546875" customWidth="1"/>
    <col min="2" max="2" width="47.14062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  <col min="11" max="12" width="9.140625" style="4"/>
  </cols>
  <sheetData>
    <row r="1" spans="1:12">
      <c r="A1" s="1" t="s">
        <v>87</v>
      </c>
    </row>
    <row r="3" spans="1:12">
      <c r="A3">
        <v>1</v>
      </c>
      <c r="B3" t="s">
        <v>0</v>
      </c>
    </row>
    <row r="5" spans="1:12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</row>
    <row r="6" spans="1:12">
      <c r="A6" s="1" t="s">
        <v>9</v>
      </c>
      <c r="B6" t="s">
        <v>88</v>
      </c>
      <c r="C6" s="2">
        <f>A3/1*1000/1000</f>
        <v>1</v>
      </c>
      <c r="D6" t="s">
        <v>0</v>
      </c>
      <c r="E6" s="3">
        <f>1500/10000</f>
        <v>0.15</v>
      </c>
      <c r="F6" s="2">
        <f t="shared" ref="F6:F12" si="0">C6*E6</f>
        <v>0.15</v>
      </c>
      <c r="G6" s="2">
        <f t="shared" ref="G6:G11" si="1">52200/1000</f>
        <v>52.2</v>
      </c>
      <c r="H6" s="2">
        <f t="shared" ref="H6:H12" si="2">F6*G6</f>
        <v>7.83</v>
      </c>
    </row>
    <row r="7" spans="1:12">
      <c r="B7" t="s">
        <v>89</v>
      </c>
      <c r="C7" s="2">
        <f>A3/1*1000/1000</f>
        <v>1</v>
      </c>
      <c r="D7" t="s">
        <v>0</v>
      </c>
      <c r="E7" s="3">
        <f>5000/10000</f>
        <v>0.5</v>
      </c>
      <c r="F7" s="2">
        <f t="shared" si="0"/>
        <v>0.5</v>
      </c>
      <c r="G7" s="2">
        <f t="shared" si="1"/>
        <v>52.2</v>
      </c>
      <c r="H7" s="2">
        <f t="shared" si="2"/>
        <v>26.1</v>
      </c>
    </row>
    <row r="8" spans="1:12">
      <c r="B8" t="s">
        <v>90</v>
      </c>
      <c r="C8" s="2">
        <f>A3/1*5400/1000</f>
        <v>5.4</v>
      </c>
      <c r="D8" t="s">
        <v>10</v>
      </c>
      <c r="E8" s="3">
        <f>2500/10000</f>
        <v>0.25</v>
      </c>
      <c r="F8" s="2">
        <f t="shared" si="0"/>
        <v>1.35</v>
      </c>
      <c r="G8" s="2">
        <f t="shared" si="1"/>
        <v>52.2</v>
      </c>
      <c r="H8" s="2">
        <f t="shared" si="2"/>
        <v>70.470000000000013</v>
      </c>
    </row>
    <row r="9" spans="1:12">
      <c r="B9" t="s">
        <v>91</v>
      </c>
      <c r="C9" s="2">
        <f>A3/1*1000/1000</f>
        <v>1</v>
      </c>
      <c r="D9" t="s">
        <v>0</v>
      </c>
      <c r="E9" s="3">
        <f>2500/10000</f>
        <v>0.25</v>
      </c>
      <c r="F9" s="2">
        <f t="shared" si="0"/>
        <v>0.25</v>
      </c>
      <c r="G9" s="2">
        <f t="shared" si="1"/>
        <v>52.2</v>
      </c>
      <c r="H9" s="2">
        <f t="shared" si="2"/>
        <v>13.05</v>
      </c>
    </row>
    <row r="10" spans="1:12">
      <c r="B10" t="s">
        <v>92</v>
      </c>
      <c r="C10" s="2">
        <f>A3/1*1000/1000</f>
        <v>1</v>
      </c>
      <c r="D10" t="s">
        <v>0</v>
      </c>
      <c r="E10" s="3">
        <f>4200/10000</f>
        <v>0.42</v>
      </c>
      <c r="F10" s="2">
        <f t="shared" si="0"/>
        <v>0.42</v>
      </c>
      <c r="G10" s="2">
        <f t="shared" si="1"/>
        <v>52.2</v>
      </c>
      <c r="H10" s="2">
        <f t="shared" si="2"/>
        <v>21.923999999999999</v>
      </c>
    </row>
    <row r="11" spans="1:12">
      <c r="B11" t="s">
        <v>93</v>
      </c>
      <c r="C11" s="2">
        <f>A3/1*1000/1000</f>
        <v>1</v>
      </c>
      <c r="D11" t="s">
        <v>0</v>
      </c>
      <c r="E11" s="3">
        <f>4000/10000</f>
        <v>0.4</v>
      </c>
      <c r="F11" s="2">
        <f t="shared" si="0"/>
        <v>0.4</v>
      </c>
      <c r="G11" s="2">
        <f t="shared" si="1"/>
        <v>52.2</v>
      </c>
      <c r="H11" s="2">
        <f t="shared" si="2"/>
        <v>20.880000000000003</v>
      </c>
    </row>
    <row r="12" spans="1:12">
      <c r="B12" t="s">
        <v>67</v>
      </c>
      <c r="C12" s="2">
        <f>A3/1*5400/1000</f>
        <v>5.4</v>
      </c>
      <c r="D12" t="s">
        <v>10</v>
      </c>
      <c r="E12" s="3">
        <f>2000/10000</f>
        <v>0.2</v>
      </c>
      <c r="F12" s="2">
        <f t="shared" si="0"/>
        <v>1.08</v>
      </c>
      <c r="G12" s="2">
        <f>47560/1000</f>
        <v>47.56</v>
      </c>
      <c r="H12" s="2">
        <f t="shared" si="2"/>
        <v>51.364800000000002</v>
      </c>
    </row>
    <row r="13" spans="1:12">
      <c r="B13" s="1" t="s">
        <v>13</v>
      </c>
      <c r="F13" s="4">
        <f>SUM(F6:F12)</f>
        <v>4.1500000000000004</v>
      </c>
      <c r="H13" s="4">
        <f>SUM(H6:H12)</f>
        <v>211.61879999999999</v>
      </c>
      <c r="J13" s="4">
        <f>H13*1.17</f>
        <v>247.59399599999998</v>
      </c>
    </row>
    <row r="14" spans="1:12">
      <c r="A14" s="1" t="s">
        <v>14</v>
      </c>
      <c r="B14" t="s">
        <v>103</v>
      </c>
      <c r="C14" s="2">
        <f>A3/1*1</f>
        <v>1</v>
      </c>
      <c r="D14" t="s">
        <v>12</v>
      </c>
      <c r="E14" s="3" t="s">
        <v>15</v>
      </c>
      <c r="F14" s="2" t="s">
        <v>15</v>
      </c>
      <c r="G14" s="2">
        <v>38.14</v>
      </c>
      <c r="H14" s="2">
        <f>C14*G14</f>
        <v>38.14</v>
      </c>
    </row>
    <row r="15" spans="1:12">
      <c r="B15" s="1" t="s">
        <v>16</v>
      </c>
      <c r="H15" s="4">
        <f>SUM(H14:H14)</f>
        <v>38.14</v>
      </c>
      <c r="J15" s="4">
        <f>H15*1.17</f>
        <v>44.623799999999996</v>
      </c>
    </row>
    <row r="16" spans="1:12">
      <c r="A16" s="1" t="s">
        <v>17</v>
      </c>
      <c r="B16" s="1" t="s">
        <v>18</v>
      </c>
      <c r="H16" s="4">
        <f>H13+H15</f>
        <v>249.75880000000001</v>
      </c>
      <c r="J16" s="4">
        <f>H16*1.17</f>
        <v>292.21779599999996</v>
      </c>
      <c r="L16" s="4">
        <f>J16*1.21</f>
        <v>353.58353315999994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58D15-BA46-4BD4-A3A5-3975B1559BB4}">
  <dimension ref="A1:L18"/>
  <sheetViews>
    <sheetView tabSelected="1" workbookViewId="0">
      <selection activeCell="G30" sqref="G30"/>
    </sheetView>
  </sheetViews>
  <sheetFormatPr defaultRowHeight="15"/>
  <cols>
    <col min="1" max="1" width="17.85546875" customWidth="1"/>
    <col min="2" max="2" width="47.14062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2">
      <c r="A1" s="1" t="s">
        <v>94</v>
      </c>
    </row>
    <row r="3" spans="1:12">
      <c r="A3">
        <v>1</v>
      </c>
      <c r="B3" t="s">
        <v>0</v>
      </c>
    </row>
    <row r="5" spans="1:12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</row>
    <row r="6" spans="1:12">
      <c r="A6" s="1" t="s">
        <v>9</v>
      </c>
      <c r="B6" t="s">
        <v>88</v>
      </c>
      <c r="C6" s="2">
        <f>A3/1*1000/1000</f>
        <v>1</v>
      </c>
      <c r="D6" t="s">
        <v>0</v>
      </c>
      <c r="E6" s="3">
        <f>1500/10000</f>
        <v>0.15</v>
      </c>
      <c r="F6" s="2">
        <f t="shared" ref="F6:F13" si="0">C6*E6</f>
        <v>0.15</v>
      </c>
      <c r="G6" s="2">
        <v>48.72</v>
      </c>
      <c r="H6" s="2">
        <f t="shared" ref="H6:H13" si="1">F6*G6</f>
        <v>7.3079999999999998</v>
      </c>
    </row>
    <row r="7" spans="1:12">
      <c r="B7" t="s">
        <v>89</v>
      </c>
      <c r="C7" s="2">
        <f>A3/1*1000/1000</f>
        <v>1</v>
      </c>
      <c r="D7" t="s">
        <v>0</v>
      </c>
      <c r="E7" s="3">
        <f>5000/10000</f>
        <v>0.5</v>
      </c>
      <c r="F7" s="2">
        <f t="shared" si="0"/>
        <v>0.5</v>
      </c>
      <c r="G7" s="2">
        <v>48.72</v>
      </c>
      <c r="H7" s="2">
        <f t="shared" si="1"/>
        <v>24.36</v>
      </c>
    </row>
    <row r="8" spans="1:12">
      <c r="B8" t="s">
        <v>90</v>
      </c>
      <c r="C8" s="2">
        <f>A3/1*5400/1000</f>
        <v>5.4</v>
      </c>
      <c r="D8" t="s">
        <v>10</v>
      </c>
      <c r="E8" s="3">
        <f>2500/10000</f>
        <v>0.25</v>
      </c>
      <c r="F8" s="2">
        <f t="shared" si="0"/>
        <v>1.35</v>
      </c>
      <c r="G8" s="2">
        <v>48.72</v>
      </c>
      <c r="H8" s="2">
        <f t="shared" si="1"/>
        <v>65.772000000000006</v>
      </c>
    </row>
    <row r="9" spans="1:12">
      <c r="B9" t="s">
        <v>95</v>
      </c>
      <c r="C9" s="2">
        <f>A3/1*5400/1000</f>
        <v>5.4</v>
      </c>
      <c r="D9" t="s">
        <v>10</v>
      </c>
      <c r="E9" s="3">
        <f>1500/10000</f>
        <v>0.15</v>
      </c>
      <c r="F9" s="2">
        <f t="shared" si="0"/>
        <v>0.81</v>
      </c>
      <c r="G9" s="2">
        <v>48.72</v>
      </c>
      <c r="H9" s="2">
        <f t="shared" si="1"/>
        <v>39.463200000000001</v>
      </c>
    </row>
    <row r="10" spans="1:12">
      <c r="B10" t="s">
        <v>91</v>
      </c>
      <c r="C10" s="2">
        <f>A3/1*1000/1000</f>
        <v>1</v>
      </c>
      <c r="D10" t="s">
        <v>0</v>
      </c>
      <c r="E10" s="3">
        <f>2500/10000</f>
        <v>0.25</v>
      </c>
      <c r="F10" s="2">
        <f t="shared" si="0"/>
        <v>0.25</v>
      </c>
      <c r="G10" s="2">
        <v>48.72</v>
      </c>
      <c r="H10" s="2">
        <f t="shared" si="1"/>
        <v>12.18</v>
      </c>
    </row>
    <row r="11" spans="1:12">
      <c r="B11" t="s">
        <v>96</v>
      </c>
      <c r="C11" s="2">
        <f>A3/1*1000/1000</f>
        <v>1</v>
      </c>
      <c r="D11" t="s">
        <v>0</v>
      </c>
      <c r="E11" s="3">
        <f>6500/10000</f>
        <v>0.65</v>
      </c>
      <c r="F11" s="2">
        <f t="shared" si="0"/>
        <v>0.65</v>
      </c>
      <c r="G11" s="2">
        <v>48.72</v>
      </c>
      <c r="H11" s="2">
        <f t="shared" si="1"/>
        <v>31.667999999999999</v>
      </c>
    </row>
    <row r="12" spans="1:12">
      <c r="B12" t="s">
        <v>93</v>
      </c>
      <c r="C12" s="2">
        <f>A3/1*1000/1000</f>
        <v>1</v>
      </c>
      <c r="D12" t="s">
        <v>0</v>
      </c>
      <c r="E12" s="3">
        <f>5000/10000</f>
        <v>0.5</v>
      </c>
      <c r="F12" s="2">
        <f t="shared" si="0"/>
        <v>0.5</v>
      </c>
      <c r="G12" s="2">
        <v>48.72</v>
      </c>
      <c r="H12" s="2">
        <f t="shared" si="1"/>
        <v>24.36</v>
      </c>
    </row>
    <row r="13" spans="1:12">
      <c r="B13" t="s">
        <v>67</v>
      </c>
      <c r="C13" s="2">
        <f>A3/1*5400/1000</f>
        <v>5.4</v>
      </c>
      <c r="D13" t="s">
        <v>10</v>
      </c>
      <c r="E13" s="3">
        <f>2000/10000</f>
        <v>0.2</v>
      </c>
      <c r="F13" s="2">
        <f t="shared" si="0"/>
        <v>1.08</v>
      </c>
      <c r="G13" s="2">
        <v>37.700000000000003</v>
      </c>
      <c r="H13" s="2">
        <f t="shared" si="1"/>
        <v>40.716000000000008</v>
      </c>
    </row>
    <row r="14" spans="1:12">
      <c r="B14" s="1" t="s">
        <v>13</v>
      </c>
      <c r="F14" s="4">
        <f>SUM(F6:F13)</f>
        <v>5.29</v>
      </c>
      <c r="H14" s="4">
        <f>SUM(H6:H13)</f>
        <v>245.8272</v>
      </c>
      <c r="J14" s="4">
        <f>H14*1.17</f>
        <v>287.61782399999998</v>
      </c>
      <c r="K14" s="4"/>
      <c r="L14" s="4"/>
    </row>
    <row r="15" spans="1:12">
      <c r="A15" s="1" t="s">
        <v>14</v>
      </c>
      <c r="B15" t="s">
        <v>97</v>
      </c>
      <c r="C15" s="2">
        <f>A3/1*6</f>
        <v>6</v>
      </c>
      <c r="D15" t="s">
        <v>10</v>
      </c>
      <c r="E15" s="3" t="s">
        <v>15</v>
      </c>
      <c r="F15" s="2" t="s">
        <v>15</v>
      </c>
      <c r="G15" s="2">
        <f>(42/100)</f>
        <v>0.42</v>
      </c>
      <c r="H15" s="2">
        <f>C15*G15</f>
        <v>2.52</v>
      </c>
      <c r="K15" s="4"/>
      <c r="L15" s="4"/>
    </row>
    <row r="16" spans="1:12">
      <c r="B16" t="s">
        <v>103</v>
      </c>
      <c r="C16" s="2">
        <f>A3/1*1</f>
        <v>1</v>
      </c>
      <c r="D16" t="s">
        <v>12</v>
      </c>
      <c r="E16" s="3" t="s">
        <v>15</v>
      </c>
      <c r="F16" s="2" t="s">
        <v>15</v>
      </c>
      <c r="G16" s="2">
        <v>38.14</v>
      </c>
      <c r="H16" s="2">
        <f>C16*G16</f>
        <v>38.14</v>
      </c>
      <c r="J16" s="4"/>
      <c r="K16" s="4"/>
      <c r="L16" s="4"/>
    </row>
    <row r="17" spans="1:12">
      <c r="B17" s="1" t="s">
        <v>16</v>
      </c>
      <c r="H17" s="4">
        <f>SUM(H15:H16)</f>
        <v>40.660000000000004</v>
      </c>
      <c r="J17" s="4">
        <f>H17*1.17</f>
        <v>47.572200000000002</v>
      </c>
      <c r="K17" s="4"/>
      <c r="L17" s="4"/>
    </row>
    <row r="18" spans="1:12">
      <c r="A18" s="1" t="s">
        <v>17</v>
      </c>
      <c r="B18" s="1" t="s">
        <v>18</v>
      </c>
      <c r="H18" s="4">
        <f>H14+H17</f>
        <v>286.48720000000003</v>
      </c>
      <c r="J18" s="4">
        <f>H18*1.17</f>
        <v>335.19002399999999</v>
      </c>
      <c r="K18" s="4"/>
      <c r="L18" s="4">
        <f>J18*1.21</f>
        <v>405.57992903999997</v>
      </c>
    </row>
  </sheetData>
  <pageMargins left="0.7" right="0.7" top="0.75" bottom="0.75" header="0.3" footer="0.3"/>
  <ignoredErrors>
    <ignoredError sqref="E9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1CF40-BD7D-42A9-AB14-7CCE08BEDE1F}">
  <dimension ref="A1:L38"/>
  <sheetViews>
    <sheetView topLeftCell="F10" workbookViewId="0">
      <selection activeCell="J21" sqref="J21:L41"/>
    </sheetView>
  </sheetViews>
  <sheetFormatPr defaultRowHeight="15"/>
  <cols>
    <col min="1" max="1" width="17.85546875" customWidth="1"/>
    <col min="2" max="2" width="110.14062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8">
      <c r="A1" s="1" t="s">
        <v>98</v>
      </c>
    </row>
    <row r="3" spans="1:8">
      <c r="A3">
        <v>1</v>
      </c>
      <c r="B3" t="s">
        <v>0</v>
      </c>
    </row>
    <row r="5" spans="1:8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</row>
    <row r="6" spans="1:8">
      <c r="A6" s="1" t="s">
        <v>9</v>
      </c>
      <c r="B6" t="s">
        <v>33</v>
      </c>
      <c r="C6" s="2">
        <f>A3/1*6000/1000</f>
        <v>6</v>
      </c>
      <c r="D6" t="s">
        <v>10</v>
      </c>
      <c r="E6" s="3">
        <f>1000/10000</f>
        <v>0.1</v>
      </c>
      <c r="F6" s="2">
        <f t="shared" ref="F6:F20" si="0">C6*E6</f>
        <v>0.60000000000000009</v>
      </c>
      <c r="G6" s="2">
        <v>48.72</v>
      </c>
      <c r="H6" s="2">
        <f t="shared" ref="H6:H20" si="1">F6*G6</f>
        <v>29.232000000000003</v>
      </c>
    </row>
    <row r="7" spans="1:8">
      <c r="B7" t="s">
        <v>34</v>
      </c>
      <c r="C7" s="2">
        <f>A3/1*6000/1000</f>
        <v>6</v>
      </c>
      <c r="D7" t="s">
        <v>10</v>
      </c>
      <c r="E7" s="3">
        <f>3200/10000</f>
        <v>0.32</v>
      </c>
      <c r="F7" s="2">
        <f t="shared" si="0"/>
        <v>1.92</v>
      </c>
      <c r="G7" s="2">
        <v>48.72</v>
      </c>
      <c r="H7" s="2">
        <f t="shared" si="1"/>
        <v>93.542400000000001</v>
      </c>
    </row>
    <row r="8" spans="1:8">
      <c r="B8" t="s">
        <v>35</v>
      </c>
      <c r="C8" s="2">
        <f>A3/1*2800/1000</f>
        <v>2.8</v>
      </c>
      <c r="D8" t="s">
        <v>20</v>
      </c>
      <c r="E8" s="3">
        <f>6500/10000</f>
        <v>0.65</v>
      </c>
      <c r="F8" s="2">
        <f t="shared" si="0"/>
        <v>1.8199999999999998</v>
      </c>
      <c r="G8" s="2">
        <v>48.72</v>
      </c>
      <c r="H8" s="2">
        <f t="shared" si="1"/>
        <v>88.670399999999987</v>
      </c>
    </row>
    <row r="9" spans="1:8">
      <c r="B9" t="s">
        <v>37</v>
      </c>
      <c r="C9" s="2">
        <f>A3/1*1000/1000</f>
        <v>1</v>
      </c>
      <c r="D9" t="s">
        <v>0</v>
      </c>
      <c r="E9" s="3">
        <f>2500/10000</f>
        <v>0.25</v>
      </c>
      <c r="F9" s="2">
        <f t="shared" si="0"/>
        <v>0.25</v>
      </c>
      <c r="G9" s="2">
        <v>48.72</v>
      </c>
      <c r="H9" s="2">
        <f t="shared" si="1"/>
        <v>12.18</v>
      </c>
    </row>
    <row r="10" spans="1:8">
      <c r="B10" t="s">
        <v>38</v>
      </c>
      <c r="C10" s="2">
        <f>A3/1*1000/1000</f>
        <v>1</v>
      </c>
      <c r="D10" t="s">
        <v>0</v>
      </c>
      <c r="E10" s="3">
        <f>2500/10000</f>
        <v>0.25</v>
      </c>
      <c r="F10" s="2">
        <f t="shared" si="0"/>
        <v>0.25</v>
      </c>
      <c r="G10" s="2">
        <v>48.72</v>
      </c>
      <c r="H10" s="2">
        <f t="shared" si="1"/>
        <v>12.18</v>
      </c>
    </row>
    <row r="11" spans="1:8">
      <c r="B11" t="s">
        <v>39</v>
      </c>
      <c r="C11" s="2">
        <f>A3/1*1000/1000</f>
        <v>1</v>
      </c>
      <c r="D11" t="s">
        <v>0</v>
      </c>
      <c r="E11" s="3">
        <f>17500/10000</f>
        <v>1.75</v>
      </c>
      <c r="F11" s="2">
        <f t="shared" si="0"/>
        <v>1.75</v>
      </c>
      <c r="G11" s="2">
        <v>48.72</v>
      </c>
      <c r="H11" s="2">
        <f t="shared" si="1"/>
        <v>85.259999999999991</v>
      </c>
    </row>
    <row r="12" spans="1:8">
      <c r="B12" t="s">
        <v>40</v>
      </c>
      <c r="C12" s="2">
        <f>A3/1*1000/1000</f>
        <v>1</v>
      </c>
      <c r="D12" t="s">
        <v>10</v>
      </c>
      <c r="E12" s="3">
        <f>7500/10000</f>
        <v>0.75</v>
      </c>
      <c r="F12" s="2">
        <f t="shared" si="0"/>
        <v>0.75</v>
      </c>
      <c r="G12" s="2">
        <v>48.72</v>
      </c>
      <c r="H12" s="2">
        <f t="shared" si="1"/>
        <v>36.54</v>
      </c>
    </row>
    <row r="13" spans="1:8">
      <c r="B13" t="s">
        <v>43</v>
      </c>
      <c r="C13" s="2">
        <f>A3/1*1000/1000</f>
        <v>1</v>
      </c>
      <c r="D13" t="s">
        <v>20</v>
      </c>
      <c r="E13" s="3">
        <f>10000/10000</f>
        <v>1</v>
      </c>
      <c r="F13" s="2">
        <f t="shared" si="0"/>
        <v>1</v>
      </c>
      <c r="G13" s="2">
        <v>48.72</v>
      </c>
      <c r="H13" s="2">
        <f t="shared" si="1"/>
        <v>48.72</v>
      </c>
    </row>
    <row r="14" spans="1:8">
      <c r="B14" t="s">
        <v>41</v>
      </c>
      <c r="C14" s="2">
        <f>A3/1*6000/1000</f>
        <v>6</v>
      </c>
      <c r="D14" t="s">
        <v>10</v>
      </c>
      <c r="E14" s="3">
        <f>1200/10000</f>
        <v>0.12</v>
      </c>
      <c r="F14" s="2">
        <f t="shared" si="0"/>
        <v>0.72</v>
      </c>
      <c r="G14" s="2">
        <v>48.72</v>
      </c>
      <c r="H14" s="2">
        <f t="shared" si="1"/>
        <v>35.078399999999995</v>
      </c>
    </row>
    <row r="15" spans="1:8">
      <c r="B15" t="s">
        <v>42</v>
      </c>
      <c r="C15" s="2">
        <f>A3/1*1000/1000</f>
        <v>1</v>
      </c>
      <c r="D15" t="s">
        <v>0</v>
      </c>
      <c r="E15" s="3">
        <f>25000/10000</f>
        <v>2.5</v>
      </c>
      <c r="F15" s="2">
        <f t="shared" si="0"/>
        <v>2.5</v>
      </c>
      <c r="G15" s="2">
        <v>48.72</v>
      </c>
      <c r="H15" s="2">
        <f t="shared" si="1"/>
        <v>121.8</v>
      </c>
    </row>
    <row r="16" spans="1:8">
      <c r="B16" t="s">
        <v>44</v>
      </c>
      <c r="C16" s="2">
        <f>A3/1*1000/1000</f>
        <v>1</v>
      </c>
      <c r="D16" t="s">
        <v>12</v>
      </c>
      <c r="E16" s="3">
        <f>5000/10000</f>
        <v>0.5</v>
      </c>
      <c r="F16" s="2">
        <f t="shared" si="0"/>
        <v>0.5</v>
      </c>
      <c r="G16" s="2">
        <v>48.72</v>
      </c>
      <c r="H16" s="2">
        <f t="shared" si="1"/>
        <v>24.36</v>
      </c>
    </row>
    <row r="17" spans="1:12">
      <c r="B17" t="s">
        <v>45</v>
      </c>
      <c r="C17" s="2">
        <f>A3/1*6000/1000</f>
        <v>6</v>
      </c>
      <c r="D17" t="s">
        <v>10</v>
      </c>
      <c r="E17" s="3">
        <f>2000/10000</f>
        <v>0.2</v>
      </c>
      <c r="F17" s="2">
        <f t="shared" si="0"/>
        <v>1.2000000000000002</v>
      </c>
      <c r="G17" s="2">
        <v>37.700000000000003</v>
      </c>
      <c r="H17" s="2">
        <f t="shared" si="1"/>
        <v>45.240000000000009</v>
      </c>
    </row>
    <row r="18" spans="1:12">
      <c r="B18" t="s">
        <v>46</v>
      </c>
      <c r="C18" s="2">
        <f>A3/1*4000/1000</f>
        <v>4</v>
      </c>
      <c r="D18" t="s">
        <v>20</v>
      </c>
      <c r="E18" s="3">
        <f>3500/10000</f>
        <v>0.35</v>
      </c>
      <c r="F18" s="2">
        <f t="shared" si="0"/>
        <v>1.4</v>
      </c>
      <c r="G18" s="2">
        <v>37.700000000000003</v>
      </c>
      <c r="H18" s="2">
        <f t="shared" si="1"/>
        <v>52.78</v>
      </c>
    </row>
    <row r="19" spans="1:12">
      <c r="B19" t="s">
        <v>21</v>
      </c>
      <c r="C19" s="2">
        <f>A3/1*400/1000</f>
        <v>0.4</v>
      </c>
      <c r="D19" t="s">
        <v>22</v>
      </c>
      <c r="E19" s="3">
        <f>10000/10000</f>
        <v>1</v>
      </c>
      <c r="F19" s="2">
        <f t="shared" si="0"/>
        <v>0.4</v>
      </c>
      <c r="G19" s="2">
        <v>48.72</v>
      </c>
      <c r="H19" s="2">
        <f t="shared" si="1"/>
        <v>19.488</v>
      </c>
    </row>
    <row r="20" spans="1:12">
      <c r="B20" t="s">
        <v>11</v>
      </c>
      <c r="C20" s="2">
        <f>A3/1*1000/1000</f>
        <v>1</v>
      </c>
      <c r="D20" t="s">
        <v>12</v>
      </c>
      <c r="E20" s="3">
        <f>3000/10000</f>
        <v>0.3</v>
      </c>
      <c r="F20" s="2">
        <f t="shared" si="0"/>
        <v>0.3</v>
      </c>
      <c r="G20" s="2">
        <v>48.72</v>
      </c>
      <c r="H20" s="2">
        <f t="shared" si="1"/>
        <v>14.616</v>
      </c>
    </row>
    <row r="21" spans="1:12">
      <c r="B21" s="1" t="s">
        <v>13</v>
      </c>
      <c r="F21" s="4">
        <f>SUM(F6:F20)</f>
        <v>15.360000000000003</v>
      </c>
      <c r="H21" s="4">
        <f>SUM(H6:H20)</f>
        <v>719.68719999999985</v>
      </c>
      <c r="J21" s="4">
        <f>H21*1.17</f>
        <v>842.03402399999982</v>
      </c>
      <c r="K21" s="4"/>
      <c r="L21" s="4"/>
    </row>
    <row r="22" spans="1:12">
      <c r="A22" s="1" t="s">
        <v>14</v>
      </c>
      <c r="B22" t="s">
        <v>47</v>
      </c>
      <c r="C22" s="2">
        <f>A3/1*1</f>
        <v>1</v>
      </c>
      <c r="D22" t="s">
        <v>12</v>
      </c>
      <c r="E22" s="3" t="s">
        <v>15</v>
      </c>
      <c r="F22" s="2" t="s">
        <v>15</v>
      </c>
      <c r="G22" s="2">
        <f>(425/100)</f>
        <v>4.25</v>
      </c>
      <c r="H22" s="2">
        <f t="shared" ref="H22:H36" si="2">C22*G22</f>
        <v>4.25</v>
      </c>
      <c r="J22" s="4"/>
      <c r="K22" s="4"/>
      <c r="L22" s="4"/>
    </row>
    <row r="23" spans="1:12">
      <c r="B23" t="s">
        <v>48</v>
      </c>
      <c r="C23" s="2">
        <f>A3/1*1</f>
        <v>1</v>
      </c>
      <c r="D23" t="s">
        <v>0</v>
      </c>
      <c r="E23" s="3" t="s">
        <v>15</v>
      </c>
      <c r="F23" s="2" t="s">
        <v>15</v>
      </c>
      <c r="G23" s="2">
        <f>57</f>
        <v>57</v>
      </c>
      <c r="H23" s="2">
        <f t="shared" si="2"/>
        <v>57</v>
      </c>
      <c r="J23" s="4"/>
      <c r="K23" s="4"/>
      <c r="L23" s="4"/>
    </row>
    <row r="24" spans="1:12">
      <c r="B24" t="s">
        <v>49</v>
      </c>
      <c r="C24" s="2">
        <f>A3/1*1</f>
        <v>1</v>
      </c>
      <c r="D24" t="s">
        <v>0</v>
      </c>
      <c r="E24" s="3" t="s">
        <v>15</v>
      </c>
      <c r="F24" s="2" t="s">
        <v>15</v>
      </c>
      <c r="G24" s="2">
        <f>(5796/10)</f>
        <v>579.6</v>
      </c>
      <c r="H24" s="2">
        <f t="shared" si="2"/>
        <v>579.6</v>
      </c>
      <c r="J24" s="4"/>
      <c r="K24" s="4"/>
      <c r="L24" s="4"/>
    </row>
    <row r="25" spans="1:12">
      <c r="B25" t="s">
        <v>50</v>
      </c>
      <c r="C25" s="2">
        <f>A3/1*1</f>
        <v>1</v>
      </c>
      <c r="D25" t="s">
        <v>0</v>
      </c>
      <c r="E25" s="3" t="s">
        <v>15</v>
      </c>
      <c r="F25" s="2" t="s">
        <v>15</v>
      </c>
      <c r="G25" s="2">
        <f>(44325/100)</f>
        <v>443.25</v>
      </c>
      <c r="H25" s="2">
        <f t="shared" si="2"/>
        <v>443.25</v>
      </c>
      <c r="J25" s="4"/>
      <c r="K25" s="4"/>
      <c r="L25" s="4"/>
    </row>
    <row r="26" spans="1:12">
      <c r="B26" t="s">
        <v>51</v>
      </c>
      <c r="C26" s="2">
        <f>A3/1*1</f>
        <v>1</v>
      </c>
      <c r="D26" t="s">
        <v>0</v>
      </c>
      <c r="E26" s="3" t="s">
        <v>15</v>
      </c>
      <c r="F26" s="2" t="s">
        <v>15</v>
      </c>
      <c r="G26" s="2">
        <f>(29008/100)</f>
        <v>290.08</v>
      </c>
      <c r="H26" s="2">
        <f t="shared" si="2"/>
        <v>290.08</v>
      </c>
      <c r="J26" s="4"/>
      <c r="K26" s="4"/>
      <c r="L26" s="4"/>
    </row>
    <row r="27" spans="1:12">
      <c r="B27" t="s">
        <v>52</v>
      </c>
      <c r="C27" s="2">
        <f>A3/1*1</f>
        <v>1</v>
      </c>
      <c r="D27" t="s">
        <v>20</v>
      </c>
      <c r="E27" s="3" t="s">
        <v>15</v>
      </c>
      <c r="F27" s="2" t="s">
        <v>15</v>
      </c>
      <c r="G27" s="2">
        <f>(5782/100)</f>
        <v>57.82</v>
      </c>
      <c r="H27" s="2">
        <f t="shared" si="2"/>
        <v>57.82</v>
      </c>
      <c r="J27" s="4"/>
      <c r="K27" s="4"/>
      <c r="L27" s="4"/>
    </row>
    <row r="28" spans="1:12">
      <c r="B28" t="s">
        <v>53</v>
      </c>
      <c r="C28" s="2">
        <f>A3/1*6</f>
        <v>6</v>
      </c>
      <c r="D28" t="s">
        <v>10</v>
      </c>
      <c r="E28" s="3" t="s">
        <v>15</v>
      </c>
      <c r="F28" s="2" t="s">
        <v>15</v>
      </c>
      <c r="G28" s="2">
        <f>(227/100)</f>
        <v>2.27</v>
      </c>
      <c r="H28" s="2">
        <f t="shared" si="2"/>
        <v>13.620000000000001</v>
      </c>
      <c r="J28" s="4"/>
      <c r="K28" s="4"/>
      <c r="L28" s="4"/>
    </row>
    <row r="29" spans="1:12">
      <c r="B29" t="s">
        <v>54</v>
      </c>
      <c r="C29" s="2">
        <f>A3/1*8</f>
        <v>8</v>
      </c>
      <c r="D29" t="s">
        <v>25</v>
      </c>
      <c r="E29" s="3" t="s">
        <v>15</v>
      </c>
      <c r="F29" s="2" t="s">
        <v>15</v>
      </c>
      <c r="G29" s="2">
        <f>(24/100)</f>
        <v>0.24</v>
      </c>
      <c r="H29" s="2">
        <f t="shared" si="2"/>
        <v>1.92</v>
      </c>
      <c r="J29" s="4"/>
      <c r="K29" s="4"/>
      <c r="L29" s="4"/>
    </row>
    <row r="30" spans="1:12">
      <c r="B30" t="s">
        <v>55</v>
      </c>
      <c r="C30" s="2">
        <f>A3/1*(25/10)</f>
        <v>2.5</v>
      </c>
      <c r="D30" t="s">
        <v>25</v>
      </c>
      <c r="E30" s="3" t="s">
        <v>15</v>
      </c>
      <c r="F30" s="2" t="s">
        <v>15</v>
      </c>
      <c r="G30" s="2">
        <f>(71/100)</f>
        <v>0.71</v>
      </c>
      <c r="H30" s="2">
        <f t="shared" si="2"/>
        <v>1.7749999999999999</v>
      </c>
      <c r="J30" s="4"/>
      <c r="K30" s="4"/>
      <c r="L30" s="4"/>
    </row>
    <row r="31" spans="1:12">
      <c r="B31" t="s">
        <v>24</v>
      </c>
      <c r="C31" s="2">
        <f>A3/1*(25/100)</f>
        <v>0.25</v>
      </c>
      <c r="D31" t="s">
        <v>25</v>
      </c>
      <c r="E31" s="3" t="s">
        <v>15</v>
      </c>
      <c r="F31" s="2" t="s">
        <v>15</v>
      </c>
      <c r="G31" s="2">
        <f>(727/100)</f>
        <v>7.27</v>
      </c>
      <c r="H31" s="2">
        <f t="shared" si="2"/>
        <v>1.8174999999999999</v>
      </c>
      <c r="J31" s="4"/>
      <c r="K31" s="4"/>
      <c r="L31" s="4"/>
    </row>
    <row r="32" spans="1:12">
      <c r="B32" t="s">
        <v>56</v>
      </c>
      <c r="C32" s="2">
        <f>A3/1*4</f>
        <v>4</v>
      </c>
      <c r="D32" t="s">
        <v>25</v>
      </c>
      <c r="E32" s="3" t="s">
        <v>15</v>
      </c>
      <c r="F32" s="2" t="s">
        <v>15</v>
      </c>
      <c r="G32" s="2">
        <f>(109/100)</f>
        <v>1.0900000000000001</v>
      </c>
      <c r="H32" s="2">
        <f t="shared" si="2"/>
        <v>4.3600000000000003</v>
      </c>
      <c r="J32" s="4"/>
      <c r="K32" s="4"/>
      <c r="L32" s="4"/>
    </row>
    <row r="33" spans="1:12">
      <c r="B33" t="s">
        <v>57</v>
      </c>
      <c r="C33" s="2">
        <f>A3/1*6</f>
        <v>6</v>
      </c>
      <c r="D33" t="s">
        <v>10</v>
      </c>
      <c r="E33" s="3" t="s">
        <v>15</v>
      </c>
      <c r="F33" s="2" t="s">
        <v>15</v>
      </c>
      <c r="G33" s="2">
        <f>2</f>
        <v>2</v>
      </c>
      <c r="H33" s="2">
        <f t="shared" si="2"/>
        <v>12</v>
      </c>
      <c r="J33" s="4"/>
      <c r="K33" s="4"/>
      <c r="L33" s="4"/>
    </row>
    <row r="34" spans="1:12">
      <c r="B34" t="s">
        <v>59</v>
      </c>
      <c r="C34" s="2">
        <f>A3/1*1</f>
        <v>1</v>
      </c>
      <c r="D34" t="s">
        <v>27</v>
      </c>
      <c r="E34" s="3" t="s">
        <v>15</v>
      </c>
      <c r="F34" s="2" t="s">
        <v>15</v>
      </c>
      <c r="G34" s="2">
        <f>42</f>
        <v>42</v>
      </c>
      <c r="H34" s="2">
        <f t="shared" si="2"/>
        <v>42</v>
      </c>
      <c r="J34" s="4"/>
      <c r="K34" s="4"/>
      <c r="L34" s="4"/>
    </row>
    <row r="35" spans="1:12">
      <c r="B35" t="s">
        <v>58</v>
      </c>
      <c r="C35" s="2">
        <f>A3/1*4</f>
        <v>4</v>
      </c>
      <c r="D35" t="s">
        <v>20</v>
      </c>
      <c r="E35" s="3" t="s">
        <v>15</v>
      </c>
      <c r="F35" s="2" t="s">
        <v>15</v>
      </c>
      <c r="G35" s="2">
        <f>5</f>
        <v>5</v>
      </c>
      <c r="H35" s="2">
        <f t="shared" si="2"/>
        <v>20</v>
      </c>
      <c r="J35" s="4"/>
      <c r="K35" s="4"/>
      <c r="L35" s="4"/>
    </row>
    <row r="36" spans="1:12">
      <c r="B36" t="s">
        <v>26</v>
      </c>
      <c r="C36" s="2">
        <f>A3/1*(8/10)</f>
        <v>0.8</v>
      </c>
      <c r="D36" t="s">
        <v>22</v>
      </c>
      <c r="E36" s="3" t="s">
        <v>15</v>
      </c>
      <c r="F36" s="2" t="s">
        <v>15</v>
      </c>
      <c r="G36" s="2">
        <f>(5372/100)</f>
        <v>53.72</v>
      </c>
      <c r="H36" s="2">
        <f t="shared" si="2"/>
        <v>42.975999999999999</v>
      </c>
      <c r="J36" s="4"/>
      <c r="K36" s="4"/>
      <c r="L36" s="4"/>
    </row>
    <row r="37" spans="1:12">
      <c r="B37" s="1" t="s">
        <v>16</v>
      </c>
      <c r="H37" s="4">
        <f>SUM(H22:H36)</f>
        <v>1572.4684999999999</v>
      </c>
      <c r="J37" s="4">
        <f t="shared" ref="J37:J38" si="3">H37*1.17</f>
        <v>1839.7881449999998</v>
      </c>
      <c r="K37" s="4"/>
      <c r="L37" s="4"/>
    </row>
    <row r="38" spans="1:12">
      <c r="A38" s="1" t="s">
        <v>17</v>
      </c>
      <c r="B38" s="1" t="s">
        <v>18</v>
      </c>
      <c r="H38" s="4">
        <f>H21+H37</f>
        <v>2292.1556999999998</v>
      </c>
      <c r="J38" s="4">
        <f t="shared" si="3"/>
        <v>2681.8221689999996</v>
      </c>
      <c r="K38" s="4"/>
      <c r="L38" s="4">
        <f>J38*1.21</f>
        <v>3245.0048244899995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7F9AE-A0A4-4D2A-9DAD-DF6C01601BE7}">
  <dimension ref="A1:L42"/>
  <sheetViews>
    <sheetView topLeftCell="F13" workbookViewId="0">
      <selection activeCell="L41" sqref="L41"/>
    </sheetView>
  </sheetViews>
  <sheetFormatPr defaultRowHeight="15"/>
  <cols>
    <col min="1" max="1" width="17.85546875" customWidth="1"/>
    <col min="2" max="2" width="110.14062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8">
      <c r="A1" s="1" t="s">
        <v>99</v>
      </c>
    </row>
    <row r="3" spans="1:8">
      <c r="A3">
        <v>1</v>
      </c>
      <c r="B3" t="s">
        <v>0</v>
      </c>
    </row>
    <row r="5" spans="1:8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</row>
    <row r="6" spans="1:8">
      <c r="A6" s="1" t="s">
        <v>9</v>
      </c>
      <c r="B6" t="s">
        <v>33</v>
      </c>
      <c r="C6" s="2">
        <f>A3/1*12000/1000</f>
        <v>12</v>
      </c>
      <c r="D6" t="s">
        <v>10</v>
      </c>
      <c r="E6" s="3">
        <f>1000/10000</f>
        <v>0.1</v>
      </c>
      <c r="F6" s="2">
        <f t="shared" ref="F6:F22" si="0">C6*E6</f>
        <v>1.2000000000000002</v>
      </c>
      <c r="G6" s="2">
        <v>48.72</v>
      </c>
      <c r="H6" s="2">
        <f t="shared" ref="H6:H22" si="1">F6*G6</f>
        <v>58.464000000000006</v>
      </c>
    </row>
    <row r="7" spans="1:8">
      <c r="B7" t="s">
        <v>34</v>
      </c>
      <c r="C7" s="2">
        <f>A3/1*12000/1000</f>
        <v>12</v>
      </c>
      <c r="D7" t="s">
        <v>10</v>
      </c>
      <c r="E7" s="3">
        <f>3200/10000</f>
        <v>0.32</v>
      </c>
      <c r="F7" s="2">
        <f t="shared" si="0"/>
        <v>3.84</v>
      </c>
      <c r="G7" s="2">
        <v>48.72</v>
      </c>
      <c r="H7" s="2">
        <f t="shared" si="1"/>
        <v>187.0848</v>
      </c>
    </row>
    <row r="8" spans="1:8">
      <c r="B8" t="s">
        <v>35</v>
      </c>
      <c r="C8" s="2">
        <f>A3/1*2800/1000</f>
        <v>2.8</v>
      </c>
      <c r="D8" t="s">
        <v>20</v>
      </c>
      <c r="E8" s="3">
        <f>6500/10000</f>
        <v>0.65</v>
      </c>
      <c r="F8" s="2">
        <f t="shared" si="0"/>
        <v>1.8199999999999998</v>
      </c>
      <c r="G8" s="2">
        <v>48.72</v>
      </c>
      <c r="H8" s="2">
        <f t="shared" si="1"/>
        <v>88.670399999999987</v>
      </c>
    </row>
    <row r="9" spans="1:8">
      <c r="B9" t="s">
        <v>100</v>
      </c>
      <c r="C9" s="2">
        <f>A3/1*2800/1000</f>
        <v>2.8</v>
      </c>
      <c r="D9" t="s">
        <v>20</v>
      </c>
      <c r="E9" s="3">
        <f>11000/10000</f>
        <v>1.1000000000000001</v>
      </c>
      <c r="F9" s="2">
        <f t="shared" si="0"/>
        <v>3.08</v>
      </c>
      <c r="G9" s="2">
        <v>48.72</v>
      </c>
      <c r="H9" s="2">
        <f t="shared" si="1"/>
        <v>150.05760000000001</v>
      </c>
    </row>
    <row r="10" spans="1:8">
      <c r="B10" t="s">
        <v>101</v>
      </c>
      <c r="C10" s="2">
        <f>A3/1*1000/1000</f>
        <v>1</v>
      </c>
      <c r="D10" t="s">
        <v>0</v>
      </c>
      <c r="E10" s="3">
        <f>3500/10000</f>
        <v>0.35</v>
      </c>
      <c r="F10" s="2">
        <f t="shared" si="0"/>
        <v>0.35</v>
      </c>
      <c r="G10" s="2">
        <v>48.72</v>
      </c>
      <c r="H10" s="2">
        <f t="shared" si="1"/>
        <v>17.052</v>
      </c>
    </row>
    <row r="11" spans="1:8">
      <c r="B11" t="s">
        <v>63</v>
      </c>
      <c r="C11" s="2">
        <f>A3/1*1000/1000</f>
        <v>1</v>
      </c>
      <c r="D11" t="s">
        <v>0</v>
      </c>
      <c r="E11" s="3">
        <f>2500/10000</f>
        <v>0.25</v>
      </c>
      <c r="F11" s="2">
        <f t="shared" si="0"/>
        <v>0.25</v>
      </c>
      <c r="G11" s="2">
        <v>48.72</v>
      </c>
      <c r="H11" s="2">
        <f t="shared" si="1"/>
        <v>12.18</v>
      </c>
    </row>
    <row r="12" spans="1:8">
      <c r="B12" t="s">
        <v>38</v>
      </c>
      <c r="C12" s="2">
        <f>A3/1*1000/1000</f>
        <v>1</v>
      </c>
      <c r="D12" t="s">
        <v>0</v>
      </c>
      <c r="E12" s="3">
        <f>2500/10000</f>
        <v>0.25</v>
      </c>
      <c r="F12" s="2">
        <f t="shared" si="0"/>
        <v>0.25</v>
      </c>
      <c r="G12" s="2">
        <v>48.72</v>
      </c>
      <c r="H12" s="2">
        <f t="shared" si="1"/>
        <v>12.18</v>
      </c>
    </row>
    <row r="13" spans="1:8">
      <c r="B13" t="s">
        <v>39</v>
      </c>
      <c r="C13" s="2">
        <f>A3/1*1000/1000</f>
        <v>1</v>
      </c>
      <c r="D13" t="s">
        <v>0</v>
      </c>
      <c r="E13" s="3">
        <f>17500/10000</f>
        <v>1.75</v>
      </c>
      <c r="F13" s="2">
        <f t="shared" si="0"/>
        <v>1.75</v>
      </c>
      <c r="G13" s="2">
        <v>48.72</v>
      </c>
      <c r="H13" s="2">
        <f t="shared" si="1"/>
        <v>85.259999999999991</v>
      </c>
    </row>
    <row r="14" spans="1:8">
      <c r="B14" t="s">
        <v>40</v>
      </c>
      <c r="C14" s="2">
        <f>A3/1*1000/1000</f>
        <v>1</v>
      </c>
      <c r="D14" t="s">
        <v>10</v>
      </c>
      <c r="E14" s="3">
        <f>7500/10000</f>
        <v>0.75</v>
      </c>
      <c r="F14" s="2">
        <f t="shared" si="0"/>
        <v>0.75</v>
      </c>
      <c r="G14" s="2">
        <v>48.72</v>
      </c>
      <c r="H14" s="2">
        <f t="shared" si="1"/>
        <v>36.54</v>
      </c>
    </row>
    <row r="15" spans="1:8">
      <c r="B15" t="s">
        <v>43</v>
      </c>
      <c r="C15" s="2">
        <f>A3/1*1000/1000</f>
        <v>1</v>
      </c>
      <c r="D15" t="s">
        <v>20</v>
      </c>
      <c r="E15" s="3">
        <f>10000/10000</f>
        <v>1</v>
      </c>
      <c r="F15" s="2">
        <f t="shared" si="0"/>
        <v>1</v>
      </c>
      <c r="G15" s="2">
        <v>48.72</v>
      </c>
      <c r="H15" s="2">
        <f t="shared" si="1"/>
        <v>48.72</v>
      </c>
    </row>
    <row r="16" spans="1:8">
      <c r="B16" t="s">
        <v>41</v>
      </c>
      <c r="C16" s="2">
        <f>A3/1*6000/1000</f>
        <v>6</v>
      </c>
      <c r="D16" t="s">
        <v>10</v>
      </c>
      <c r="E16" s="3">
        <f>1200/10000</f>
        <v>0.12</v>
      </c>
      <c r="F16" s="2">
        <f t="shared" si="0"/>
        <v>0.72</v>
      </c>
      <c r="G16" s="2">
        <v>48.72</v>
      </c>
      <c r="H16" s="2">
        <f t="shared" si="1"/>
        <v>35.078399999999995</v>
      </c>
    </row>
    <row r="17" spans="1:12">
      <c r="B17" t="s">
        <v>42</v>
      </c>
      <c r="C17" s="2">
        <f>A3/1*1000/1000</f>
        <v>1</v>
      </c>
      <c r="D17" t="s">
        <v>0</v>
      </c>
      <c r="E17" s="3">
        <f>25000/10000</f>
        <v>2.5</v>
      </c>
      <c r="F17" s="2">
        <f t="shared" si="0"/>
        <v>2.5</v>
      </c>
      <c r="G17" s="2">
        <v>48.72</v>
      </c>
      <c r="H17" s="2">
        <f t="shared" si="1"/>
        <v>121.8</v>
      </c>
    </row>
    <row r="18" spans="1:12">
      <c r="B18" t="s">
        <v>44</v>
      </c>
      <c r="C18" s="2">
        <f>A3/1*1000/1000</f>
        <v>1</v>
      </c>
      <c r="D18" t="s">
        <v>12</v>
      </c>
      <c r="E18" s="3">
        <f>5000/10000</f>
        <v>0.5</v>
      </c>
      <c r="F18" s="2">
        <f t="shared" si="0"/>
        <v>0.5</v>
      </c>
      <c r="G18" s="2">
        <v>48.72</v>
      </c>
      <c r="H18" s="2">
        <f t="shared" si="1"/>
        <v>24.36</v>
      </c>
    </row>
    <row r="19" spans="1:12">
      <c r="B19" t="s">
        <v>45</v>
      </c>
      <c r="C19" s="2">
        <f>A3/1*6000/1000</f>
        <v>6</v>
      </c>
      <c r="D19" t="s">
        <v>10</v>
      </c>
      <c r="E19" s="3">
        <f>2000/10000</f>
        <v>0.2</v>
      </c>
      <c r="F19" s="2">
        <f t="shared" si="0"/>
        <v>1.2000000000000002</v>
      </c>
      <c r="G19" s="2">
        <v>37.700000000000003</v>
      </c>
      <c r="H19" s="2">
        <f t="shared" si="1"/>
        <v>45.240000000000009</v>
      </c>
    </row>
    <row r="20" spans="1:12">
      <c r="B20" t="s">
        <v>46</v>
      </c>
      <c r="C20" s="2">
        <f>A3/1*4000/1000</f>
        <v>4</v>
      </c>
      <c r="D20" t="s">
        <v>20</v>
      </c>
      <c r="E20" s="3">
        <f>3500/10000</f>
        <v>0.35</v>
      </c>
      <c r="F20" s="2">
        <f t="shared" si="0"/>
        <v>1.4</v>
      </c>
      <c r="G20" s="2">
        <v>37.700000000000003</v>
      </c>
      <c r="H20" s="2">
        <f t="shared" si="1"/>
        <v>52.78</v>
      </c>
    </row>
    <row r="21" spans="1:12">
      <c r="B21" t="s">
        <v>21</v>
      </c>
      <c r="C21" s="2">
        <f>A3/1*800/1000</f>
        <v>0.8</v>
      </c>
      <c r="D21" t="s">
        <v>22</v>
      </c>
      <c r="E21" s="3">
        <f>10000/10000</f>
        <v>1</v>
      </c>
      <c r="F21" s="2">
        <f t="shared" si="0"/>
        <v>0.8</v>
      </c>
      <c r="G21" s="2">
        <v>48.72</v>
      </c>
      <c r="H21" s="2">
        <f t="shared" si="1"/>
        <v>38.975999999999999</v>
      </c>
    </row>
    <row r="22" spans="1:12">
      <c r="B22" t="s">
        <v>11</v>
      </c>
      <c r="C22" s="2">
        <f>A3/1*1000/1000</f>
        <v>1</v>
      </c>
      <c r="D22" t="s">
        <v>12</v>
      </c>
      <c r="E22" s="3">
        <f>3000/10000</f>
        <v>0.3</v>
      </c>
      <c r="F22" s="2">
        <f t="shared" si="0"/>
        <v>0.3</v>
      </c>
      <c r="G22" s="2">
        <v>48.72</v>
      </c>
      <c r="H22" s="2">
        <f t="shared" si="1"/>
        <v>14.616</v>
      </c>
    </row>
    <row r="23" spans="1:12">
      <c r="B23" s="1" t="s">
        <v>13</v>
      </c>
      <c r="F23" s="4">
        <f>SUM(F6:F22)</f>
        <v>21.709999999999997</v>
      </c>
      <c r="H23" s="4">
        <f>SUM(H6:H22)</f>
        <v>1029.0591999999999</v>
      </c>
      <c r="J23" s="4">
        <f>H23*1.17</f>
        <v>1203.9992639999998</v>
      </c>
      <c r="K23" s="4"/>
      <c r="L23" s="4"/>
    </row>
    <row r="24" spans="1:12">
      <c r="A24" s="1" t="s">
        <v>14</v>
      </c>
      <c r="B24" t="s">
        <v>47</v>
      </c>
      <c r="C24" s="2">
        <f>A3/1*1</f>
        <v>1</v>
      </c>
      <c r="D24" t="s">
        <v>12</v>
      </c>
      <c r="E24" s="3" t="s">
        <v>15</v>
      </c>
      <c r="F24" s="2" t="s">
        <v>15</v>
      </c>
      <c r="G24" s="2">
        <f>(425/100)</f>
        <v>4.25</v>
      </c>
      <c r="H24" s="2">
        <f t="shared" ref="H24:H39" si="2">C24*G24</f>
        <v>4.25</v>
      </c>
      <c r="J24" s="4"/>
      <c r="K24" s="4"/>
      <c r="L24" s="4"/>
    </row>
    <row r="25" spans="1:12">
      <c r="B25" t="s">
        <v>68</v>
      </c>
      <c r="C25" s="2">
        <f>A3/1*(13/10)</f>
        <v>1.3</v>
      </c>
      <c r="D25" t="s">
        <v>10</v>
      </c>
      <c r="E25" s="3" t="s">
        <v>15</v>
      </c>
      <c r="F25" s="2" t="s">
        <v>15</v>
      </c>
      <c r="G25" s="2">
        <f>(1039/100)</f>
        <v>10.39</v>
      </c>
      <c r="H25" s="2">
        <f t="shared" si="2"/>
        <v>13.507000000000001</v>
      </c>
      <c r="J25" s="4"/>
      <c r="K25" s="4"/>
      <c r="L25" s="4"/>
    </row>
    <row r="26" spans="1:12">
      <c r="B26" t="s">
        <v>48</v>
      </c>
      <c r="C26" s="2">
        <f>A3/1*1</f>
        <v>1</v>
      </c>
      <c r="D26" t="s">
        <v>0</v>
      </c>
      <c r="E26" s="3" t="s">
        <v>15</v>
      </c>
      <c r="F26" s="2" t="s">
        <v>15</v>
      </c>
      <c r="G26" s="2">
        <f>57</f>
        <v>57</v>
      </c>
      <c r="H26" s="2">
        <f t="shared" si="2"/>
        <v>57</v>
      </c>
      <c r="J26" s="4"/>
      <c r="K26" s="4"/>
      <c r="L26" s="4"/>
    </row>
    <row r="27" spans="1:12">
      <c r="B27" t="s">
        <v>49</v>
      </c>
      <c r="C27" s="2">
        <f>A3/1*1</f>
        <v>1</v>
      </c>
      <c r="D27" t="s">
        <v>0</v>
      </c>
      <c r="E27" s="3" t="s">
        <v>15</v>
      </c>
      <c r="F27" s="2" t="s">
        <v>15</v>
      </c>
      <c r="G27" s="2">
        <f>(5796/10)</f>
        <v>579.6</v>
      </c>
      <c r="H27" s="2">
        <f t="shared" si="2"/>
        <v>579.6</v>
      </c>
      <c r="J27" s="4"/>
      <c r="K27" s="4"/>
      <c r="L27" s="4"/>
    </row>
    <row r="28" spans="1:12">
      <c r="B28" t="s">
        <v>102</v>
      </c>
      <c r="C28" s="2">
        <f>A3/1*1</f>
        <v>1</v>
      </c>
      <c r="D28" t="s">
        <v>0</v>
      </c>
      <c r="E28" s="3" t="s">
        <v>15</v>
      </c>
      <c r="F28" s="2" t="s">
        <v>15</v>
      </c>
      <c r="G28" s="2">
        <f>(44325/100)</f>
        <v>443.25</v>
      </c>
      <c r="H28" s="2">
        <f t="shared" si="2"/>
        <v>443.25</v>
      </c>
      <c r="J28" s="4"/>
      <c r="K28" s="4"/>
      <c r="L28" s="4"/>
    </row>
    <row r="29" spans="1:12">
      <c r="B29" t="s">
        <v>51</v>
      </c>
      <c r="C29" s="2">
        <f>A3/1*1</f>
        <v>1</v>
      </c>
      <c r="D29" t="s">
        <v>0</v>
      </c>
      <c r="E29" s="3" t="s">
        <v>15</v>
      </c>
      <c r="F29" s="2" t="s">
        <v>15</v>
      </c>
      <c r="G29" s="2">
        <f>(29008/100)</f>
        <v>290.08</v>
      </c>
      <c r="H29" s="2">
        <f t="shared" si="2"/>
        <v>290.08</v>
      </c>
      <c r="J29" s="4"/>
      <c r="K29" s="4"/>
      <c r="L29" s="4"/>
    </row>
    <row r="30" spans="1:12">
      <c r="B30" t="s">
        <v>52</v>
      </c>
      <c r="C30" s="2">
        <f>A3/1*1</f>
        <v>1</v>
      </c>
      <c r="D30" t="s">
        <v>20</v>
      </c>
      <c r="E30" s="3" t="s">
        <v>15</v>
      </c>
      <c r="F30" s="2" t="s">
        <v>15</v>
      </c>
      <c r="G30" s="2">
        <f>(5782/100)</f>
        <v>57.82</v>
      </c>
      <c r="H30" s="2">
        <f t="shared" si="2"/>
        <v>57.82</v>
      </c>
      <c r="J30" s="4"/>
      <c r="K30" s="4"/>
      <c r="L30" s="4"/>
    </row>
    <row r="31" spans="1:12">
      <c r="B31" t="s">
        <v>53</v>
      </c>
      <c r="C31" s="2">
        <f>A3/1*6</f>
        <v>6</v>
      </c>
      <c r="D31" t="s">
        <v>10</v>
      </c>
      <c r="E31" s="3" t="s">
        <v>15</v>
      </c>
      <c r="F31" s="2" t="s">
        <v>15</v>
      </c>
      <c r="G31" s="2">
        <f>(227/100)</f>
        <v>2.27</v>
      </c>
      <c r="H31" s="2">
        <f t="shared" si="2"/>
        <v>13.620000000000001</v>
      </c>
      <c r="J31" s="4"/>
      <c r="K31" s="4"/>
      <c r="L31" s="4"/>
    </row>
    <row r="32" spans="1:12">
      <c r="B32" t="s">
        <v>54</v>
      </c>
      <c r="C32" s="2">
        <f>A3/1*8</f>
        <v>8</v>
      </c>
      <c r="D32" t="s">
        <v>25</v>
      </c>
      <c r="E32" s="3" t="s">
        <v>15</v>
      </c>
      <c r="F32" s="2" t="s">
        <v>15</v>
      </c>
      <c r="G32" s="2">
        <f>(24/100)</f>
        <v>0.24</v>
      </c>
      <c r="H32" s="2">
        <f t="shared" si="2"/>
        <v>1.92</v>
      </c>
      <c r="J32" s="4"/>
      <c r="K32" s="4"/>
      <c r="L32" s="4"/>
    </row>
    <row r="33" spans="1:12">
      <c r="B33" t="s">
        <v>55</v>
      </c>
      <c r="C33" s="2">
        <f>A3/1*(25/10)</f>
        <v>2.5</v>
      </c>
      <c r="D33" t="s">
        <v>25</v>
      </c>
      <c r="E33" s="3" t="s">
        <v>15</v>
      </c>
      <c r="F33" s="2" t="s">
        <v>15</v>
      </c>
      <c r="G33" s="2">
        <f>(71/100)</f>
        <v>0.71</v>
      </c>
      <c r="H33" s="2">
        <f t="shared" si="2"/>
        <v>1.7749999999999999</v>
      </c>
      <c r="J33" s="4"/>
      <c r="K33" s="4"/>
      <c r="L33" s="4"/>
    </row>
    <row r="34" spans="1:12">
      <c r="B34" t="s">
        <v>24</v>
      </c>
      <c r="C34" s="2">
        <f>A3/1*(25/100)</f>
        <v>0.25</v>
      </c>
      <c r="D34" t="s">
        <v>25</v>
      </c>
      <c r="E34" s="3" t="s">
        <v>15</v>
      </c>
      <c r="F34" s="2" t="s">
        <v>15</v>
      </c>
      <c r="G34" s="2">
        <f>(727/100)</f>
        <v>7.27</v>
      </c>
      <c r="H34" s="2">
        <f t="shared" si="2"/>
        <v>1.8174999999999999</v>
      </c>
      <c r="J34" s="4"/>
      <c r="K34" s="4"/>
      <c r="L34" s="4"/>
    </row>
    <row r="35" spans="1:12">
      <c r="B35" t="s">
        <v>56</v>
      </c>
      <c r="C35" s="2">
        <f>A3/1*4</f>
        <v>4</v>
      </c>
      <c r="D35" t="s">
        <v>25</v>
      </c>
      <c r="E35" s="3" t="s">
        <v>15</v>
      </c>
      <c r="F35" s="2" t="s">
        <v>15</v>
      </c>
      <c r="G35" s="2">
        <f>(109/100)</f>
        <v>1.0900000000000001</v>
      </c>
      <c r="H35" s="2">
        <f t="shared" si="2"/>
        <v>4.3600000000000003</v>
      </c>
      <c r="J35" s="4"/>
      <c r="K35" s="4"/>
      <c r="L35" s="4"/>
    </row>
    <row r="36" spans="1:12">
      <c r="B36" t="s">
        <v>57</v>
      </c>
      <c r="C36" s="2">
        <f>A3/1*6</f>
        <v>6</v>
      </c>
      <c r="D36" t="s">
        <v>10</v>
      </c>
      <c r="E36" s="3" t="s">
        <v>15</v>
      </c>
      <c r="F36" s="2" t="s">
        <v>15</v>
      </c>
      <c r="G36" s="2">
        <f>2</f>
        <v>2</v>
      </c>
      <c r="H36" s="2">
        <f t="shared" si="2"/>
        <v>12</v>
      </c>
      <c r="J36" s="4"/>
      <c r="K36" s="4"/>
      <c r="L36" s="4"/>
    </row>
    <row r="37" spans="1:12">
      <c r="B37" t="s">
        <v>58</v>
      </c>
      <c r="C37" s="2">
        <f>A3/1*4</f>
        <v>4</v>
      </c>
      <c r="D37" t="s">
        <v>20</v>
      </c>
      <c r="E37" s="3" t="s">
        <v>15</v>
      </c>
      <c r="F37" s="2" t="s">
        <v>15</v>
      </c>
      <c r="G37" s="2">
        <f>5</f>
        <v>5</v>
      </c>
      <c r="H37" s="2">
        <f t="shared" si="2"/>
        <v>20</v>
      </c>
      <c r="J37" s="4"/>
      <c r="K37" s="4"/>
      <c r="L37" s="4"/>
    </row>
    <row r="38" spans="1:12">
      <c r="B38" t="s">
        <v>59</v>
      </c>
      <c r="C38" s="2">
        <f>A3/1*1</f>
        <v>1</v>
      </c>
      <c r="D38" t="s">
        <v>27</v>
      </c>
      <c r="E38" s="3" t="s">
        <v>15</v>
      </c>
      <c r="F38" s="2" t="s">
        <v>15</v>
      </c>
      <c r="G38" s="2">
        <f>42</f>
        <v>42</v>
      </c>
      <c r="H38" s="2">
        <f t="shared" si="2"/>
        <v>42</v>
      </c>
      <c r="J38" s="4"/>
      <c r="K38" s="4"/>
      <c r="L38" s="4"/>
    </row>
    <row r="39" spans="1:12">
      <c r="B39" t="s">
        <v>26</v>
      </c>
      <c r="C39" s="2">
        <f>A3/1*(12/10)</f>
        <v>1.2</v>
      </c>
      <c r="D39" t="s">
        <v>22</v>
      </c>
      <c r="E39" s="3" t="s">
        <v>15</v>
      </c>
      <c r="F39" s="2" t="s">
        <v>15</v>
      </c>
      <c r="G39" s="2">
        <f>(5372/100)</f>
        <v>53.72</v>
      </c>
      <c r="H39" s="2">
        <f t="shared" si="2"/>
        <v>64.463999999999999</v>
      </c>
      <c r="J39" s="4"/>
      <c r="K39" s="4"/>
      <c r="L39" s="4"/>
    </row>
    <row r="40" spans="1:12">
      <c r="B40" s="1" t="s">
        <v>16</v>
      </c>
      <c r="H40" s="4">
        <f>SUM(H24:H39)</f>
        <v>1607.4634999999998</v>
      </c>
      <c r="J40" s="4">
        <f t="shared" ref="J40:J41" si="3">H40*1.17</f>
        <v>1880.7322949999998</v>
      </c>
      <c r="K40" s="4"/>
      <c r="L40" s="4"/>
    </row>
    <row r="41" spans="1:12">
      <c r="A41" s="1" t="s">
        <v>17</v>
      </c>
      <c r="B41" s="1" t="s">
        <v>18</v>
      </c>
      <c r="H41" s="4">
        <f>H23+H40</f>
        <v>2636.5226999999995</v>
      </c>
      <c r="J41" s="4">
        <f t="shared" si="3"/>
        <v>3084.7315589999994</v>
      </c>
      <c r="K41" s="4"/>
      <c r="L41" s="4">
        <f>J41*1.21</f>
        <v>3732.5251863899994</v>
      </c>
    </row>
    <row r="42" spans="1:12">
      <c r="J42" s="4"/>
      <c r="K42" s="4"/>
      <c r="L42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G1</vt:lpstr>
      <vt:lpstr>G2</vt:lpstr>
      <vt:lpstr>G2b</vt:lpstr>
      <vt:lpstr>G3</vt:lpstr>
      <vt:lpstr>G4</vt:lpstr>
      <vt:lpstr>G5</vt:lpstr>
      <vt:lpstr>G6</vt:lpstr>
      <vt:lpstr>G7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Boudewijn</dc:creator>
  <cp:lastModifiedBy>Simone Calis</cp:lastModifiedBy>
  <dcterms:created xsi:type="dcterms:W3CDTF">2023-04-24T14:38:00Z</dcterms:created>
  <dcterms:modified xsi:type="dcterms:W3CDTF">2023-04-26T13:29:03Z</dcterms:modified>
</cp:coreProperties>
</file>