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13_ncr:1_{EEDAABB7-0C9A-4DC2-9CC2-F5CF811EFFAC}" xr6:coauthVersionLast="47" xr6:coauthVersionMax="47" xr10:uidLastSave="{00000000-0000-0000-0000-000000000000}"/>
  <bookViews>
    <workbookView xWindow="-28920" yWindow="-120" windowWidth="29040" windowHeight="15840" tabRatio="601" activeTab="14" xr2:uid="{00000000-000D-0000-FFFF-FFFF00000000}"/>
  </bookViews>
  <sheets>
    <sheet name="H1" sheetId="144" r:id="rId1"/>
    <sheet name="H2" sheetId="146" r:id="rId2"/>
    <sheet name="H3" sheetId="147" r:id="rId3"/>
    <sheet name="H4" sheetId="148" r:id="rId4"/>
    <sheet name="H5" sheetId="149" r:id="rId5"/>
    <sheet name="H6" sheetId="150" r:id="rId6"/>
    <sheet name="H7" sheetId="151" r:id="rId7"/>
    <sheet name="H8" sheetId="152" r:id="rId8"/>
    <sheet name="H9" sheetId="153" r:id="rId9"/>
    <sheet name="H10" sheetId="154" r:id="rId10"/>
    <sheet name="H11" sheetId="155" r:id="rId11"/>
    <sheet name="H12" sheetId="156" r:id="rId12"/>
    <sheet name="H13" sheetId="157" r:id="rId13"/>
    <sheet name="H14" sheetId="158" r:id="rId14"/>
    <sheet name="H14a" sheetId="159" r:id="rId15"/>
    <sheet name="H15" sheetId="160" r:id="rId16"/>
    <sheet name="H16" sheetId="161" r:id="rId17"/>
    <sheet name="H17" sheetId="162" r:id="rId18"/>
    <sheet name="H18" sheetId="163" r:id="rId19"/>
    <sheet name="H19" sheetId="164" r:id="rId20"/>
    <sheet name="H20" sheetId="165" r:id="rId21"/>
    <sheet name="H21" sheetId="166" r:id="rId22"/>
    <sheet name="H22" sheetId="167" r:id="rId23"/>
    <sheet name="H23" sheetId="168" r:id="rId24"/>
    <sheet name="H24" sheetId="169" r:id="rId25"/>
    <sheet name="H25" sheetId="170" r:id="rId26"/>
    <sheet name="H26" sheetId="171" r:id="rId27"/>
    <sheet name="H27" sheetId="172" r:id="rId28"/>
    <sheet name="J1" sheetId="173" r:id="rId29"/>
    <sheet name="J2" sheetId="174" r:id="rId30"/>
    <sheet name="J3" sheetId="175" r:id="rId31"/>
    <sheet name="J4" sheetId="176" r:id="rId32"/>
  </sheets>
  <calcPr calcId="181029"/>
</workbook>
</file>

<file path=xl/calcChain.xml><?xml version="1.0" encoding="utf-8"?>
<calcChain xmlns="http://schemas.openxmlformats.org/spreadsheetml/2006/main">
  <c r="J8" i="176" l="1"/>
  <c r="G7" i="176"/>
  <c r="C7" i="176"/>
  <c r="H7" i="176" s="1"/>
  <c r="H8" i="176" s="1"/>
  <c r="J8" i="175"/>
  <c r="G7" i="175"/>
  <c r="C7" i="175"/>
  <c r="H7" i="175" s="1"/>
  <c r="H8" i="175" s="1"/>
  <c r="J8" i="174"/>
  <c r="G7" i="174"/>
  <c r="C7" i="174"/>
  <c r="H7" i="174" s="1"/>
  <c r="H8" i="174" s="1"/>
  <c r="J8" i="173"/>
  <c r="G7" i="173"/>
  <c r="C7" i="173"/>
  <c r="H7" i="173" s="1"/>
  <c r="H8" i="173" s="1"/>
  <c r="J11" i="172"/>
  <c r="L11" i="172" s="1"/>
  <c r="J10" i="172"/>
  <c r="J8" i="172"/>
  <c r="H9" i="172"/>
  <c r="H10" i="172" s="1"/>
  <c r="G9" i="172"/>
  <c r="C9" i="172"/>
  <c r="G7" i="172"/>
  <c r="E7" i="172"/>
  <c r="C7" i="172"/>
  <c r="F7" i="172" s="1"/>
  <c r="H7" i="172" s="1"/>
  <c r="G6" i="172"/>
  <c r="F6" i="172"/>
  <c r="E6" i="172"/>
  <c r="C6" i="172"/>
  <c r="J11" i="171"/>
  <c r="L11" i="171" s="1"/>
  <c r="J10" i="171"/>
  <c r="J8" i="171"/>
  <c r="G9" i="171"/>
  <c r="C9" i="171"/>
  <c r="H9" i="171" s="1"/>
  <c r="H10" i="171" s="1"/>
  <c r="G7" i="171"/>
  <c r="E7" i="171"/>
  <c r="C7" i="171"/>
  <c r="F7" i="171" s="1"/>
  <c r="H7" i="171" s="1"/>
  <c r="G6" i="171"/>
  <c r="E6" i="171"/>
  <c r="C6" i="171"/>
  <c r="F6" i="171" s="1"/>
  <c r="J8" i="170"/>
  <c r="G7" i="170"/>
  <c r="C7" i="170"/>
  <c r="H7" i="170" s="1"/>
  <c r="H8" i="170" s="1"/>
  <c r="J10" i="169"/>
  <c r="H9" i="169"/>
  <c r="G9" i="169"/>
  <c r="C9" i="169"/>
  <c r="H8" i="169"/>
  <c r="G8" i="169"/>
  <c r="C8" i="169"/>
  <c r="H7" i="169"/>
  <c r="H10" i="169" s="1"/>
  <c r="G7" i="169"/>
  <c r="C7" i="169"/>
  <c r="J10" i="168"/>
  <c r="G9" i="168"/>
  <c r="C9" i="168"/>
  <c r="H9" i="168" s="1"/>
  <c r="H8" i="168"/>
  <c r="G8" i="168"/>
  <c r="C8" i="168"/>
  <c r="G7" i="168"/>
  <c r="C7" i="168"/>
  <c r="H7" i="168" s="1"/>
  <c r="H10" i="168" s="1"/>
  <c r="J10" i="167"/>
  <c r="G9" i="167"/>
  <c r="H9" i="167" s="1"/>
  <c r="C9" i="167"/>
  <c r="H8" i="167"/>
  <c r="G8" i="167"/>
  <c r="C8" i="167"/>
  <c r="G7" i="167"/>
  <c r="H7" i="167" s="1"/>
  <c r="H10" i="167" s="1"/>
  <c r="C7" i="167"/>
  <c r="J10" i="166"/>
  <c r="G9" i="166"/>
  <c r="C9" i="166"/>
  <c r="H9" i="166" s="1"/>
  <c r="G8" i="166"/>
  <c r="C8" i="166"/>
  <c r="H8" i="166" s="1"/>
  <c r="G7" i="166"/>
  <c r="C7" i="166"/>
  <c r="H7" i="166" s="1"/>
  <c r="H10" i="166" s="1"/>
  <c r="J10" i="165"/>
  <c r="H9" i="165"/>
  <c r="G9" i="165"/>
  <c r="C9" i="165"/>
  <c r="H8" i="165"/>
  <c r="G8" i="165"/>
  <c r="C8" i="165"/>
  <c r="H7" i="165"/>
  <c r="H10" i="165" s="1"/>
  <c r="G7" i="165"/>
  <c r="C7" i="165"/>
  <c r="J15" i="164"/>
  <c r="L15" i="164" s="1"/>
  <c r="J14" i="164"/>
  <c r="J11" i="164"/>
  <c r="G13" i="164"/>
  <c r="C13" i="164"/>
  <c r="H13" i="164" s="1"/>
  <c r="H12" i="164"/>
  <c r="G12" i="164"/>
  <c r="C12" i="164"/>
  <c r="E10" i="164"/>
  <c r="F10" i="164" s="1"/>
  <c r="H10" i="164" s="1"/>
  <c r="C10" i="164"/>
  <c r="F9" i="164"/>
  <c r="H9" i="164" s="1"/>
  <c r="E9" i="164"/>
  <c r="C9" i="164"/>
  <c r="E8" i="164"/>
  <c r="F8" i="164" s="1"/>
  <c r="H8" i="164" s="1"/>
  <c r="C8" i="164"/>
  <c r="E7" i="164"/>
  <c r="C7" i="164"/>
  <c r="F7" i="164" s="1"/>
  <c r="H7" i="164" s="1"/>
  <c r="E6" i="164"/>
  <c r="C6" i="164"/>
  <c r="F6" i="164" s="1"/>
  <c r="J14" i="163"/>
  <c r="G13" i="163"/>
  <c r="C13" i="163"/>
  <c r="H13" i="163" s="1"/>
  <c r="H12" i="163"/>
  <c r="G12" i="163"/>
  <c r="C12" i="163"/>
  <c r="G11" i="163"/>
  <c r="C11" i="163"/>
  <c r="H11" i="163" s="1"/>
  <c r="E9" i="163"/>
  <c r="C9" i="163"/>
  <c r="F9" i="163" s="1"/>
  <c r="H9" i="163" s="1"/>
  <c r="E8" i="163"/>
  <c r="C8" i="163"/>
  <c r="F8" i="163" s="1"/>
  <c r="H8" i="163" s="1"/>
  <c r="E7" i="163"/>
  <c r="F7" i="163" s="1"/>
  <c r="H7" i="163" s="1"/>
  <c r="C7" i="163"/>
  <c r="E6" i="163"/>
  <c r="C6" i="163"/>
  <c r="F6" i="163" s="1"/>
  <c r="J12" i="162"/>
  <c r="L12" i="162" s="1"/>
  <c r="J11" i="162"/>
  <c r="J9" i="162"/>
  <c r="G10" i="162"/>
  <c r="C10" i="162"/>
  <c r="H10" i="162" s="1"/>
  <c r="H11" i="162" s="1"/>
  <c r="E8" i="162"/>
  <c r="C8" i="162"/>
  <c r="F8" i="162" s="1"/>
  <c r="H8" i="162" s="1"/>
  <c r="E7" i="162"/>
  <c r="C7" i="162"/>
  <c r="F7" i="162" s="1"/>
  <c r="H7" i="162" s="1"/>
  <c r="E6" i="162"/>
  <c r="C6" i="162"/>
  <c r="F6" i="162" s="1"/>
  <c r="J9" i="161"/>
  <c r="G13" i="161"/>
  <c r="C13" i="161"/>
  <c r="H13" i="161" s="1"/>
  <c r="G12" i="161"/>
  <c r="C12" i="161"/>
  <c r="H12" i="161" s="1"/>
  <c r="G11" i="161"/>
  <c r="C11" i="161"/>
  <c r="H11" i="161" s="1"/>
  <c r="C10" i="161"/>
  <c r="H10" i="161" s="1"/>
  <c r="E8" i="161"/>
  <c r="F8" i="161" s="1"/>
  <c r="H8" i="161" s="1"/>
  <c r="C8" i="161"/>
  <c r="E7" i="161"/>
  <c r="C7" i="161"/>
  <c r="F7" i="161" s="1"/>
  <c r="H7" i="161" s="1"/>
  <c r="E6" i="161"/>
  <c r="C6" i="161"/>
  <c r="F6" i="161" s="1"/>
  <c r="D12" i="160"/>
  <c r="D13" i="160"/>
  <c r="G13" i="160" s="1"/>
  <c r="H13" i="160" s="1"/>
  <c r="F9" i="160"/>
  <c r="E9" i="160"/>
  <c r="G9" i="160" s="1"/>
  <c r="H9" i="160" s="1"/>
  <c r="D9" i="160"/>
  <c r="F8" i="160"/>
  <c r="E8" i="160"/>
  <c r="G8" i="160" s="1"/>
  <c r="H8" i="160" s="1"/>
  <c r="D8" i="160"/>
  <c r="F7" i="160"/>
  <c r="E7" i="160"/>
  <c r="G7" i="160" s="1"/>
  <c r="H7" i="160" s="1"/>
  <c r="D7" i="160"/>
  <c r="F6" i="160"/>
  <c r="F10" i="160" s="1"/>
  <c r="E6" i="160"/>
  <c r="E10" i="160" s="1"/>
  <c r="D6" i="160"/>
  <c r="D10" i="160" s="1"/>
  <c r="J10" i="159"/>
  <c r="G9" i="159"/>
  <c r="C9" i="159"/>
  <c r="H9" i="159" s="1"/>
  <c r="H10" i="159" s="1"/>
  <c r="G7" i="159"/>
  <c r="E7" i="159"/>
  <c r="C7" i="159"/>
  <c r="F7" i="159" s="1"/>
  <c r="H7" i="159" s="1"/>
  <c r="G6" i="159"/>
  <c r="E6" i="159"/>
  <c r="F6" i="159"/>
  <c r="G12" i="158"/>
  <c r="H12" i="158" s="1"/>
  <c r="G11" i="158"/>
  <c r="H11" i="158" s="1"/>
  <c r="D12" i="158"/>
  <c r="D11" i="158"/>
  <c r="E9" i="158"/>
  <c r="D9" i="158"/>
  <c r="F8" i="158"/>
  <c r="E8" i="158"/>
  <c r="G8" i="158" s="1"/>
  <c r="H8" i="158" s="1"/>
  <c r="D8" i="158"/>
  <c r="G7" i="158"/>
  <c r="H7" i="158" s="1"/>
  <c r="F7" i="158"/>
  <c r="E7" i="158"/>
  <c r="D7" i="158"/>
  <c r="F6" i="158"/>
  <c r="G6" i="158" s="1"/>
  <c r="E6" i="158"/>
  <c r="D6" i="158"/>
  <c r="J10" i="157"/>
  <c r="L10" i="157" s="1"/>
  <c r="J9" i="157"/>
  <c r="J7" i="157"/>
  <c r="G8" i="157"/>
  <c r="C8" i="157"/>
  <c r="H8" i="157" s="1"/>
  <c r="H9" i="157" s="1"/>
  <c r="E6" i="157"/>
  <c r="C6" i="157"/>
  <c r="F6" i="157" s="1"/>
  <c r="L10" i="156"/>
  <c r="J10" i="156"/>
  <c r="J9" i="156"/>
  <c r="J7" i="156"/>
  <c r="G8" i="156"/>
  <c r="H8" i="156" s="1"/>
  <c r="H9" i="156" s="1"/>
  <c r="C8" i="156"/>
  <c r="E6" i="156"/>
  <c r="C6" i="156"/>
  <c r="F6" i="156" s="1"/>
  <c r="G11" i="155"/>
  <c r="G10" i="155"/>
  <c r="D10" i="155"/>
  <c r="D11" i="155"/>
  <c r="H11" i="155" s="1"/>
  <c r="E8" i="155"/>
  <c r="D8" i="155"/>
  <c r="H7" i="155"/>
  <c r="G7" i="155"/>
  <c r="F7" i="155"/>
  <c r="E7" i="155"/>
  <c r="D7" i="155"/>
  <c r="G6" i="155"/>
  <c r="G8" i="155" s="1"/>
  <c r="F6" i="155"/>
  <c r="F8" i="155" s="1"/>
  <c r="E6" i="155"/>
  <c r="D6" i="155"/>
  <c r="J22" i="154"/>
  <c r="J23" i="154"/>
  <c r="L23" i="154" s="1"/>
  <c r="J14" i="154"/>
  <c r="H21" i="154"/>
  <c r="G21" i="154"/>
  <c r="C21" i="154"/>
  <c r="H20" i="154"/>
  <c r="G20" i="154"/>
  <c r="C20" i="154"/>
  <c r="H19" i="154"/>
  <c r="G19" i="154"/>
  <c r="C19" i="154"/>
  <c r="H18" i="154"/>
  <c r="G18" i="154"/>
  <c r="C18" i="154"/>
  <c r="H17" i="154"/>
  <c r="G17" i="154"/>
  <c r="C17" i="154"/>
  <c r="H16" i="154"/>
  <c r="G16" i="154"/>
  <c r="C16" i="154"/>
  <c r="H15" i="154"/>
  <c r="H22" i="154" s="1"/>
  <c r="G15" i="154"/>
  <c r="C15" i="154"/>
  <c r="E13" i="154"/>
  <c r="C13" i="154"/>
  <c r="F13" i="154" s="1"/>
  <c r="H13" i="154" s="1"/>
  <c r="F12" i="154"/>
  <c r="H12" i="154" s="1"/>
  <c r="E12" i="154"/>
  <c r="C12" i="154"/>
  <c r="H11" i="154"/>
  <c r="F11" i="154"/>
  <c r="E11" i="154"/>
  <c r="C11" i="154"/>
  <c r="E10" i="154"/>
  <c r="C10" i="154"/>
  <c r="F10" i="154" s="1"/>
  <c r="H10" i="154" s="1"/>
  <c r="F9" i="154"/>
  <c r="H9" i="154" s="1"/>
  <c r="E9" i="154"/>
  <c r="C9" i="154"/>
  <c r="E8" i="154"/>
  <c r="F8" i="154" s="1"/>
  <c r="H8" i="154" s="1"/>
  <c r="C8" i="154"/>
  <c r="E7" i="154"/>
  <c r="C7" i="154"/>
  <c r="F7" i="154" s="1"/>
  <c r="H7" i="154" s="1"/>
  <c r="F6" i="154"/>
  <c r="E6" i="154"/>
  <c r="C6" i="154"/>
  <c r="L19" i="153"/>
  <c r="J19" i="153"/>
  <c r="J18" i="153"/>
  <c r="J11" i="153"/>
  <c r="G17" i="153"/>
  <c r="C17" i="153"/>
  <c r="H17" i="153" s="1"/>
  <c r="H16" i="153"/>
  <c r="G16" i="153"/>
  <c r="C16" i="153"/>
  <c r="G15" i="153"/>
  <c r="C15" i="153"/>
  <c r="H15" i="153" s="1"/>
  <c r="H14" i="153"/>
  <c r="G14" i="153"/>
  <c r="C14" i="153"/>
  <c r="G13" i="153"/>
  <c r="C13" i="153"/>
  <c r="H13" i="153" s="1"/>
  <c r="H12" i="153"/>
  <c r="G12" i="153"/>
  <c r="C12" i="153"/>
  <c r="E10" i="153"/>
  <c r="C10" i="153"/>
  <c r="F10" i="153" s="1"/>
  <c r="H10" i="153" s="1"/>
  <c r="F9" i="153"/>
  <c r="H9" i="153" s="1"/>
  <c r="E9" i="153"/>
  <c r="C9" i="153"/>
  <c r="E8" i="153"/>
  <c r="F8" i="153" s="1"/>
  <c r="H8" i="153" s="1"/>
  <c r="C8" i="153"/>
  <c r="E7" i="153"/>
  <c r="C7" i="153"/>
  <c r="F7" i="153" s="1"/>
  <c r="H7" i="153" s="1"/>
  <c r="E6" i="153"/>
  <c r="C6" i="153"/>
  <c r="F6" i="153" s="1"/>
  <c r="J16" i="152"/>
  <c r="G15" i="152"/>
  <c r="H15" i="152" s="1"/>
  <c r="C15" i="152"/>
  <c r="H14" i="152"/>
  <c r="G14" i="152"/>
  <c r="C14" i="152"/>
  <c r="G13" i="152"/>
  <c r="H13" i="152" s="1"/>
  <c r="C13" i="152"/>
  <c r="H12" i="152"/>
  <c r="G12" i="152"/>
  <c r="C12" i="152"/>
  <c r="G11" i="152"/>
  <c r="H11" i="152" s="1"/>
  <c r="C11" i="152"/>
  <c r="E9" i="152"/>
  <c r="C9" i="152"/>
  <c r="F9" i="152" s="1"/>
  <c r="H9" i="152" s="1"/>
  <c r="E8" i="152"/>
  <c r="F8" i="152" s="1"/>
  <c r="H8" i="152" s="1"/>
  <c r="C8" i="152"/>
  <c r="E7" i="152"/>
  <c r="C7" i="152"/>
  <c r="F7" i="152" s="1"/>
  <c r="H7" i="152" s="1"/>
  <c r="E6" i="152"/>
  <c r="C6" i="152"/>
  <c r="F6" i="152" s="1"/>
  <c r="L10" i="151"/>
  <c r="J10" i="151"/>
  <c r="J9" i="151"/>
  <c r="J7" i="151"/>
  <c r="G8" i="151"/>
  <c r="C8" i="151"/>
  <c r="H8" i="151" s="1"/>
  <c r="H9" i="151" s="1"/>
  <c r="E6" i="151"/>
  <c r="C6" i="151"/>
  <c r="F6" i="151" s="1"/>
  <c r="J10" i="150"/>
  <c r="G9" i="150"/>
  <c r="C9" i="150"/>
  <c r="H9" i="150" s="1"/>
  <c r="H8" i="150"/>
  <c r="H10" i="150" s="1"/>
  <c r="G8" i="150"/>
  <c r="C8" i="150"/>
  <c r="E6" i="150"/>
  <c r="C6" i="150"/>
  <c r="F6" i="150" s="1"/>
  <c r="J13" i="149"/>
  <c r="J14" i="149"/>
  <c r="L14" i="149" s="1"/>
  <c r="J9" i="149"/>
  <c r="G12" i="149"/>
  <c r="C12" i="149"/>
  <c r="H12" i="149" s="1"/>
  <c r="H11" i="149"/>
  <c r="G11" i="149"/>
  <c r="C11" i="149"/>
  <c r="G10" i="149"/>
  <c r="C10" i="149"/>
  <c r="H10" i="149" s="1"/>
  <c r="E8" i="149"/>
  <c r="C8" i="149"/>
  <c r="F8" i="149" s="1"/>
  <c r="H8" i="149" s="1"/>
  <c r="E7" i="149"/>
  <c r="C7" i="149"/>
  <c r="F7" i="149" s="1"/>
  <c r="H7" i="149" s="1"/>
  <c r="E6" i="149"/>
  <c r="C6" i="149"/>
  <c r="F6" i="149" s="1"/>
  <c r="J11" i="148"/>
  <c r="L11" i="148" s="1"/>
  <c r="J10" i="148"/>
  <c r="J7" i="148"/>
  <c r="G9" i="148"/>
  <c r="C9" i="148"/>
  <c r="H9" i="148" s="1"/>
  <c r="H8" i="148"/>
  <c r="H10" i="148" s="1"/>
  <c r="G8" i="148"/>
  <c r="C8" i="148"/>
  <c r="E6" i="148"/>
  <c r="C6" i="148"/>
  <c r="F6" i="148" s="1"/>
  <c r="J11" i="147"/>
  <c r="L11" i="147" s="1"/>
  <c r="J10" i="147"/>
  <c r="J7" i="147"/>
  <c r="H9" i="147"/>
  <c r="G9" i="147"/>
  <c r="C9" i="147"/>
  <c r="H8" i="147"/>
  <c r="H10" i="147" s="1"/>
  <c r="G8" i="147"/>
  <c r="C8" i="147"/>
  <c r="E6" i="147"/>
  <c r="C6" i="147"/>
  <c r="F6" i="147" s="1"/>
  <c r="J13" i="146"/>
  <c r="L13" i="146" s="1"/>
  <c r="J12" i="146"/>
  <c r="J8" i="146"/>
  <c r="G11" i="146"/>
  <c r="C11" i="146"/>
  <c r="H11" i="146" s="1"/>
  <c r="H10" i="146"/>
  <c r="G10" i="146"/>
  <c r="C10" i="146"/>
  <c r="G9" i="146"/>
  <c r="C9" i="146"/>
  <c r="H9" i="146" s="1"/>
  <c r="E7" i="146"/>
  <c r="C7" i="146"/>
  <c r="F7" i="146" s="1"/>
  <c r="H7" i="146" s="1"/>
  <c r="E6" i="146"/>
  <c r="C6" i="146"/>
  <c r="F6" i="146" s="1"/>
  <c r="L13" i="144"/>
  <c r="J13" i="144"/>
  <c r="J12" i="144"/>
  <c r="J8" i="144"/>
  <c r="G11" i="144"/>
  <c r="C11" i="144"/>
  <c r="H11" i="144" s="1"/>
  <c r="H10" i="144"/>
  <c r="G10" i="144"/>
  <c r="C10" i="144"/>
  <c r="G9" i="144"/>
  <c r="C9" i="144"/>
  <c r="H9" i="144" s="1"/>
  <c r="H12" i="144" s="1"/>
  <c r="E7" i="144"/>
  <c r="C7" i="144"/>
  <c r="F7" i="144" s="1"/>
  <c r="H7" i="144" s="1"/>
  <c r="E6" i="144"/>
  <c r="C6" i="144"/>
  <c r="F6" i="144" s="1"/>
  <c r="F8" i="172" l="1"/>
  <c r="H6" i="172"/>
  <c r="H8" i="172" s="1"/>
  <c r="H11" i="172" s="1"/>
  <c r="F8" i="171"/>
  <c r="H6" i="171"/>
  <c r="H8" i="171" s="1"/>
  <c r="H11" i="171" s="1"/>
  <c r="H6" i="164"/>
  <c r="H11" i="164" s="1"/>
  <c r="H15" i="164" s="1"/>
  <c r="F11" i="164"/>
  <c r="H14" i="164"/>
  <c r="F10" i="163"/>
  <c r="H6" i="163"/>
  <c r="H10" i="163" s="1"/>
  <c r="J10" i="163" s="1"/>
  <c r="H14" i="163"/>
  <c r="F9" i="162"/>
  <c r="H6" i="162"/>
  <c r="H9" i="162" s="1"/>
  <c r="H12" i="162" s="1"/>
  <c r="H6" i="161"/>
  <c r="H9" i="161" s="1"/>
  <c r="F9" i="161"/>
  <c r="H14" i="161"/>
  <c r="J14" i="161" s="1"/>
  <c r="G12" i="160"/>
  <c r="H12" i="160" s="1"/>
  <c r="G6" i="160"/>
  <c r="F8" i="159"/>
  <c r="H6" i="159"/>
  <c r="H8" i="159" s="1"/>
  <c r="G9" i="158"/>
  <c r="H6" i="158"/>
  <c r="H9" i="158" s="1"/>
  <c r="F9" i="158"/>
  <c r="F7" i="157"/>
  <c r="H6" i="157"/>
  <c r="H7" i="157" s="1"/>
  <c r="H10" i="157" s="1"/>
  <c r="F7" i="156"/>
  <c r="H6" i="156"/>
  <c r="H7" i="156" s="1"/>
  <c r="H10" i="156" s="1"/>
  <c r="H10" i="155"/>
  <c r="H6" i="155"/>
  <c r="H8" i="155" s="1"/>
  <c r="F14" i="154"/>
  <c r="H6" i="154"/>
  <c r="H14" i="154" s="1"/>
  <c r="H23" i="154" s="1"/>
  <c r="H6" i="153"/>
  <c r="H11" i="153" s="1"/>
  <c r="H19" i="153" s="1"/>
  <c r="F11" i="153"/>
  <c r="H18" i="153"/>
  <c r="H16" i="152"/>
  <c r="F10" i="152"/>
  <c r="H6" i="152"/>
  <c r="H10" i="152" s="1"/>
  <c r="F7" i="151"/>
  <c r="H6" i="151"/>
  <c r="H7" i="151" s="1"/>
  <c r="H10" i="151" s="1"/>
  <c r="H6" i="150"/>
  <c r="H7" i="150" s="1"/>
  <c r="F7" i="150"/>
  <c r="F9" i="149"/>
  <c r="H6" i="149"/>
  <c r="H9" i="149" s="1"/>
  <c r="H14" i="149" s="1"/>
  <c r="H13" i="149"/>
  <c r="F7" i="148"/>
  <c r="H6" i="148"/>
  <c r="H7" i="148" s="1"/>
  <c r="H11" i="148" s="1"/>
  <c r="F7" i="147"/>
  <c r="H6" i="147"/>
  <c r="H7" i="147" s="1"/>
  <c r="H11" i="147" s="1"/>
  <c r="F8" i="146"/>
  <c r="H6" i="146"/>
  <c r="H8" i="146" s="1"/>
  <c r="H12" i="146"/>
  <c r="F8" i="144"/>
  <c r="H6" i="144"/>
  <c r="H8" i="144" s="1"/>
  <c r="H13" i="144" s="1"/>
  <c r="H15" i="161" l="1"/>
  <c r="J15" i="161" s="1"/>
  <c r="L15" i="161" s="1"/>
  <c r="H11" i="159"/>
  <c r="J11" i="159" s="1"/>
  <c r="L11" i="159" s="1"/>
  <c r="J8" i="159"/>
  <c r="H15" i="163"/>
  <c r="J15" i="163" s="1"/>
  <c r="L15" i="163" s="1"/>
  <c r="G10" i="160"/>
  <c r="H6" i="160"/>
  <c r="H10" i="160" s="1"/>
  <c r="H17" i="152"/>
  <c r="J17" i="152" s="1"/>
  <c r="L17" i="152" s="1"/>
  <c r="J10" i="152"/>
  <c r="H11" i="150"/>
  <c r="J11" i="150" s="1"/>
  <c r="L11" i="150" s="1"/>
  <c r="J7" i="150"/>
  <c r="H13" i="146"/>
  <c r="F6" i="169" l="1"/>
  <c r="H6" i="175"/>
  <c r="H9" i="175"/>
  <c r="F6" i="176"/>
  <c r="H11" i="167"/>
  <c r="H6" i="167"/>
  <c r="F6" i="170"/>
  <c r="F6" i="175"/>
  <c r="H6" i="169"/>
  <c r="H11" i="169"/>
  <c r="H11" i="168"/>
  <c r="H6" i="168"/>
  <c r="H9" i="174"/>
  <c r="H6" i="174"/>
  <c r="F6" i="167"/>
  <c r="F6" i="173"/>
  <c r="H9" i="170"/>
  <c r="H6" i="170"/>
  <c r="F6" i="174"/>
  <c r="F6" i="168"/>
  <c r="F6" i="165"/>
  <c r="H6" i="166"/>
  <c r="H11" i="166"/>
  <c r="H9" i="176"/>
  <c r="H6" i="176"/>
  <c r="H11" i="165"/>
  <c r="H6" i="165"/>
  <c r="H6" i="173"/>
  <c r="H9" i="173"/>
  <c r="F6" i="166"/>
</calcChain>
</file>

<file path=xl/sharedStrings.xml><?xml version="1.0" encoding="utf-8"?>
<sst xmlns="http://schemas.openxmlformats.org/spreadsheetml/2006/main" count="908" uniqueCount="135">
  <si>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</si>
  <si>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</si>
  <si>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</si>
  <si>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</si>
  <si>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</si>
  <si>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</si>
  <si>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</si>
  <si>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</si>
  <si>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</si>
  <si>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</si>
  <si>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Kabelgoot (leidingkanaal) aanbrengen, inclusief bedrading en aansluiten</t>
  </si>
  <si>
    <t>m</t>
  </si>
  <si>
    <t>post</t>
  </si>
  <si>
    <t>Subtotaal loonkosten</t>
  </si>
  <si>
    <t>Materialkosten</t>
  </si>
  <si>
    <t/>
  </si>
  <si>
    <t>Plattebuissysteem, Attema type P25, kunststof, wit, 13 x 25 mm</t>
  </si>
  <si>
    <t>Enkele wandcontactdoos met randaarde, kunststof, creme/wit (opbouw)</t>
  </si>
  <si>
    <t>Toeslag (klein) materiaal, materieel en diversen</t>
  </si>
  <si>
    <t>Subtotaal materiaalkosten</t>
  </si>
  <si>
    <t>Directe kosten</t>
  </si>
  <si>
    <t>Eindtotaal directe kosten</t>
  </si>
  <si>
    <t>Installatiedraad VD 2,5 mm2</t>
  </si>
  <si>
    <t>Demontage en herstelwerk</t>
  </si>
  <si>
    <t>uur</t>
  </si>
  <si>
    <t>Schoonmaken en in herverstrekbare staat brengen</t>
  </si>
  <si>
    <t>Bevestigingsset t.b.v. beugels en grepen, RVS</t>
  </si>
  <si>
    <t>set</t>
  </si>
  <si>
    <t>ruimte</t>
  </si>
  <si>
    <t>m2</t>
  </si>
  <si>
    <t>m3</t>
  </si>
  <si>
    <t>Bouw- en sloopafval in container, inclusief transport en stortkosten</t>
  </si>
  <si>
    <t>Begroting</t>
  </si>
  <si>
    <t>Aantal</t>
  </si>
  <si>
    <t>Eenheid</t>
  </si>
  <si>
    <t>Uren</t>
  </si>
  <si>
    <t>Indirecte kosten</t>
  </si>
  <si>
    <t>Totaal excl. BTW</t>
  </si>
  <si>
    <t>Totaal incl. BTW</t>
  </si>
  <si>
    <t>Opmerking</t>
  </si>
  <si>
    <t>Looncomponent</t>
  </si>
  <si>
    <t>Materiaalcomponent</t>
  </si>
  <si>
    <t>Bevestigingsmiddelen timmerwerk</t>
  </si>
  <si>
    <t>Grenen trapleuning, rond 38 mm, aanbrengen bij rechte steektrap</t>
  </si>
  <si>
    <t>Trap- of muurleuning monteren</t>
  </si>
  <si>
    <t>Leuningijzer aanbrengen</t>
  </si>
  <si>
    <t>Leuningijzer voor trapleuning, verchroomd</t>
  </si>
  <si>
    <t>Trap- of muurleuning rond 38 mm, grenen</t>
  </si>
  <si>
    <t>Grenen smetplank anbrengen, 19 x 90 mm, bij rechte trapleuning</t>
  </si>
  <si>
    <t>Smetplank monteren</t>
  </si>
  <si>
    <t>Smetplank recht, grenen, 19 x 90 mm, wit gegrond</t>
  </si>
  <si>
    <t>Grenen smetplank aanbrengen, 19 x 90 mm, bij rechte trapleuning</t>
  </si>
  <si>
    <t xml:space="preserve">Trapleuning met hulpspil aan openzijde trap aanbrengen, zonder tussenleuning, lengte leuning tot 4.000 mm </t>
  </si>
  <si>
    <t>Hulpspil voor trap aanbrengen</t>
  </si>
  <si>
    <t xml:space="preserve">Trapspilbeugel aanbrengen, Handicare Linido, rechts, staal gecoat wit, 510 x 510 mm </t>
  </si>
  <si>
    <t>Trapspilbeugel aanbrengen</t>
  </si>
  <si>
    <t>Trapspilbeugel, Handicare Linido, rechts, staal gecoat, wit, 510 x 510 mm</t>
  </si>
  <si>
    <t>Bestaande traplift verwijderen.</t>
  </si>
  <si>
    <t>trap</t>
  </si>
  <si>
    <t>Traplift verwijderen inclusief afvoeren</t>
  </si>
  <si>
    <t>Enkele wandcontactdoos met randaarde (opbouw) aanbrengen, inclusief buis en bedrading, lengte 5 m1</t>
  </si>
  <si>
    <t>Montageplaat voor schakelaar/wandcontactdoos aanbrengen (opbouw)</t>
  </si>
  <si>
    <t>Enkele wandcontactdoos met randaarde aanbrengen (opbouw)</t>
  </si>
  <si>
    <t>Aansluiting op bestaande installatie</t>
  </si>
  <si>
    <t>Montageplaat t.b.v. schakelmateriaal/contactdoos, Attema type 5510, opbouw, kleur creme</t>
  </si>
  <si>
    <t>Stelpost (klein) materiaal en diversen elektra</t>
  </si>
  <si>
    <t>Enkele wandcontactdoos met randaarde (opbouw) en verbruiksmeter Carlo Gavazzi kWh-meter 65A aanbrengen,  inclusief buis en bedrading, lengte 5 m1</t>
  </si>
  <si>
    <t>Verbruiksmeter aanbrengen en aansluiten</t>
  </si>
  <si>
    <t>Elektriciteitsmeter/verbruiksmeter, Carlo Gavazzi kWh-meter 65A, 3-fase, 230-400V, klasse B</t>
  </si>
  <si>
    <t>Geaard wandcontactdoos in vrijstaande stalling voor scootmobiel aanbrengen, inclusief grondkabel en graafwerk.</t>
  </si>
  <si>
    <t>Grondwerk t.b.v. grondkabel</t>
  </si>
  <si>
    <t>Grondkabel leggen</t>
  </si>
  <si>
    <t>Waterdichte doos t.b.v. grondkabel aanbrengen</t>
  </si>
  <si>
    <t>Sleuf dichten t.b.v. grondkabel</t>
  </si>
  <si>
    <t>Opbouwdoos (lasdoos) aanbrengen</t>
  </si>
  <si>
    <t>PVC buis elektra aanbrengen</t>
  </si>
  <si>
    <t>Bedrading aanbrengen</t>
  </si>
  <si>
    <t>Opbouwdoos, wand/plafond, rond, zonder deksel</t>
  </si>
  <si>
    <t>Deksel voor opbouwdoos, wand/plafond, rond, kunststof wit</t>
  </si>
  <si>
    <t>Installatiebuis 5/8", creme</t>
  </si>
  <si>
    <t>Kabeldoos, waterdicht, Attema type 2291</t>
  </si>
  <si>
    <t>Grondkabel, 3x 2,5 mm2, YMvKas, mantel grijs</t>
  </si>
  <si>
    <t>Aanbrengen afdak t.b.v. stalling scootmobiel, afmeting 1.800 x 2.000 mm (LxB), met verankeringsring, excl. elektra en bestrating</t>
  </si>
  <si>
    <t>Aanbrengen afdak t.b.v. stalling scootmobiel o.d., afmeting 1.800 x 2.000 mm (LxB), met vezelcement golfplaten Eternit Ecolor</t>
  </si>
  <si>
    <t>Muurslot voor scootmobiel aanbrengen, Q-Netics muurslot</t>
  </si>
  <si>
    <t>Acculaderplank voor scootmobieloplader monteren aan wand, Q-Netics</t>
  </si>
  <si>
    <t>Acculaderplank aanbrengen</t>
  </si>
  <si>
    <t>Acculaderplank, Q-Netics</t>
  </si>
  <si>
    <t>Acculaderkast voor scootmobieloplader plaatsen en monteren aan wand, Q-Netics kast</t>
  </si>
  <si>
    <t>Acculaderkast voor scootmobiel monteren</t>
  </si>
  <si>
    <t>Acculaderkast, Q-Netics</t>
  </si>
  <si>
    <t>Stalling voor scootmobiel plaatsen, plaatstaal groen gecoat, afmeting 1.600 x 1.250 x 1.200 mm (LxBxH), met afstandsbediening, wandcontactdoos en bestrating</t>
  </si>
  <si>
    <t>Betontegels bestraten op met minigraver aangevuld zandbed, afmeting 300x300x45 mm, glad zonder facet, grijs, exclusief opsluitbanden</t>
  </si>
  <si>
    <t>Stalling voor scootmobiel plaatsen, met afstandsbediening, plaatstaal groen gecoat, afmeting 1.600 x 1.250 x 1.200 mm (LxBxH)</t>
  </si>
  <si>
    <t xml:space="preserve">Grondkabel 3x 2,5 mm2 voor buitenberging, stalling of tuinhuis aanbrengen, inclusief grondwerk </t>
  </si>
  <si>
    <t>Elektra (scootmobielbox), demontage, herstelwerk, schoonmaken en in herverstrekbare staat brengen - H14</t>
  </si>
  <si>
    <t>Plaatsen tuinhuis met plat dak t.b.v. scootmobielstalling, inclusief wandcontactdoos/verlichting, fundering en straatwerk, afmeting 2.020 x 1.970 x 2.200 mm (BxLxH)</t>
  </si>
  <si>
    <t>Betonnen opsluitbanden 100 x 200 mm aanbrengen als fundering voor houten tuinhuis (afmeting 2,5 x 2,5 m)</t>
  </si>
  <si>
    <t>Plaatsen tuinhuis t.b.v. scootmobielstalling, geïmpregneerde vuren delen dik 19 mm,  enkele draaideur, afmeting 2.020 x 1.970 x 2.200 mm (BxLxH)</t>
  </si>
  <si>
    <t>Uitbreiden bestaande groepenkast met 1 groep met aardlekschakelaar, éénmalig.</t>
  </si>
  <si>
    <t>Aardlek-automaat monteren</t>
  </si>
  <si>
    <t>Aardlekschakelaar, 2-polig, 40 Amp, Attema AT90215</t>
  </si>
  <si>
    <t>Installatiedraad VD 6 mm2</t>
  </si>
  <si>
    <t>Radiator verplaatsen</t>
  </si>
  <si>
    <t>CV afsluiten en (leiding) aftappen</t>
  </si>
  <si>
    <t>Bestaande radiator afkoppelen</t>
  </si>
  <si>
    <t>Radiator plaatsen en aansluiten, inclusief leidingwerk</t>
  </si>
  <si>
    <t>CV aansluiten en (leiding) vullen</t>
  </si>
  <si>
    <t>Radiator J-ophangbeugel</t>
  </si>
  <si>
    <t>CV buis, dunwandig staal, diameter 22 mm, dik 1,5 mm, verzinkt, Lebu</t>
  </si>
  <si>
    <t>Bestaande radiator afkoppelen en verwijderen</t>
  </si>
  <si>
    <t>CV-leiding afdoppen</t>
  </si>
  <si>
    <t>Bestaande radiator afvoeren</t>
  </si>
  <si>
    <t>Onderrijdbare keuken, rechte opstelling, vaste werkhoogte (nastelbaar), indien nodig gas, water en afvoer verleggen, wandcontactdozen verplaatsen en tegelwerk herstellen</t>
  </si>
  <si>
    <t>Demonteren bestaande rechte keuken</t>
  </si>
  <si>
    <t>Afvoeren bestaande keuken</t>
  </si>
  <si>
    <t>Onderrijdbare keuken, rechte opstelling, vaste werkhoogte (nastelbaar), compleet, lengte 2.400 - 3.000 mm</t>
  </si>
  <si>
    <t>Onderrijdbare keuken, rechte opstelling, mechanisch verstelbaar, indien nodig gas, water en afvoer verleggen, wandcontactdozen verplaatsen en tegelwerk herstellen. 2.400 - 3.000 mm</t>
  </si>
  <si>
    <t>Onderrijdbare keuken, rechte opstelling, mechanisch verstelbaar, compleet, lengte 2.400 - 3.000 mm</t>
  </si>
  <si>
    <t>Onderrijdbare keuken, hoekopstelling, vaste werkhoogte (nastelbaar), indien nodig gas, water en afvoer verleggen, wandcontactdozen verplaatsen en tegelwerk herstellen</t>
  </si>
  <si>
    <t>Demonteren bestaande hoekkeuken</t>
  </si>
  <si>
    <t>Onderrijdbare keuken, hoekopstelling, vaste werkhoogte (nastelbaar), compleet, lengte 2.400 - 3.000 mm</t>
  </si>
  <si>
    <t>Onderrijdbare keuken, hoekopstelling, elektrisch verstelbaar, indien nodig gas, water en afvoer verleggen, wandcontactdozen verplaatsen en tegelwerk herstellen. 2.400 - 3.000 mm</t>
  </si>
  <si>
    <t>Onderrijdbare keuken, hoekopstelling, elektrisch verstelbaar), compleet, lengte 2.400 - 3.000 mm</t>
  </si>
  <si>
    <t>Preventief onderhoud elektrisch verstelbare keuken (1x per jaar)</t>
  </si>
  <si>
    <t>Preventief onderhoud elektrisch verstelbare keuken</t>
  </si>
  <si>
    <t>Onderrijdbare keuken (nastelbaar), demontage, herstelwerk, schoonmaken en in herverstrekbare staat brengen - H20/H23</t>
  </si>
  <si>
    <t>Onderrijdbare keuken (mechanisch- en elektrisch), demontage, herstelwerk, schoonmaken en in herverstrekbare staat brengen - H21/22/24</t>
  </si>
  <si>
    <t>Storingsservice, op werkdagen vanaf 07.00 tot 18.00 uur</t>
  </si>
  <si>
    <t>Storingsservice, op werkdagen vanaf 7.00 tot 18.00 uur</t>
  </si>
  <si>
    <t>Storingsservice, op werkdagen vanaf 18.00 tot 00.00 uur</t>
  </si>
  <si>
    <t>Storingsservice, op werkdagen vanaf 00.00 uur tot 07.00 uur, in weekenden vanaf 00.00 uur tot maandag 07.00 uur en op feestdagen</t>
  </si>
  <si>
    <t>Tarief voorrijdkosten (vaste prijs)</t>
  </si>
  <si>
    <t>Tarief voorrijkosten (vaste prijs)</t>
  </si>
  <si>
    <t>Demontage, afkoppen elektra, herstelwerk en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</si>
</sst>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4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EF84-938D-4A79-919C-6AF4EA77A5A4}">
  <dimension ref="A1:L13"/>
  <sheetViews>
    <sheetView topLeftCell="C1" workbookViewId="0">
      <selection activeCell="L18" sqref="L18"/>
    </sheetView>
  </sheetViews>
  <sheetFormatPr defaultRowHeight="15"/>
  <cols>
    <col min="1" max="1" width="17.85546875" customWidth="1"/>
    <col min="2" max="2" width="38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43</v>
      </c>
    </row>
    <row r="3" spans="1:12">
      <c r="A3">
        <v>2</v>
      </c>
      <c r="B3" t="s">
        <v>11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44</v>
      </c>
      <c r="C6" s="2">
        <f>A3/2*2000/1000</f>
        <v>2</v>
      </c>
      <c r="D6" t="s">
        <v>11</v>
      </c>
      <c r="E6" s="3">
        <f>3500/10000</f>
        <v>0.35</v>
      </c>
      <c r="F6" s="2">
        <f>C6*E6</f>
        <v>0.7</v>
      </c>
      <c r="G6" s="2">
        <v>48.72</v>
      </c>
      <c r="H6" s="2">
        <f>F6*G6</f>
        <v>34.103999999999999</v>
      </c>
    </row>
    <row r="7" spans="1:12">
      <c r="B7" t="s">
        <v>45</v>
      </c>
      <c r="C7" s="2">
        <f>A3/2*3000/1000</f>
        <v>3</v>
      </c>
      <c r="D7" t="s">
        <v>0</v>
      </c>
      <c r="E7" s="3">
        <f>1500/10000</f>
        <v>0.15</v>
      </c>
      <c r="F7" s="2">
        <f>C7*E7</f>
        <v>0.44999999999999996</v>
      </c>
      <c r="G7" s="2">
        <v>48.72</v>
      </c>
      <c r="H7" s="2">
        <f>F7*G7</f>
        <v>21.923999999999996</v>
      </c>
    </row>
    <row r="8" spans="1:12">
      <c r="B8" s="1" t="s">
        <v>13</v>
      </c>
      <c r="F8" s="4">
        <f>SUM(F6:F7)</f>
        <v>1.1499999999999999</v>
      </c>
      <c r="H8" s="4">
        <f>SUM(H6:H7)</f>
        <v>56.027999999999992</v>
      </c>
      <c r="J8" s="4">
        <f>H8*1.17</f>
        <v>65.552759999999992</v>
      </c>
    </row>
    <row r="9" spans="1:12">
      <c r="A9" s="1" t="s">
        <v>14</v>
      </c>
      <c r="B9" t="s">
        <v>46</v>
      </c>
      <c r="C9" s="2">
        <f>A3/2*3</f>
        <v>3</v>
      </c>
      <c r="D9" t="s">
        <v>0</v>
      </c>
      <c r="E9" s="3" t="s">
        <v>15</v>
      </c>
      <c r="F9" s="2" t="s">
        <v>15</v>
      </c>
      <c r="G9" s="2">
        <f>(1593/100)</f>
        <v>15.93</v>
      </c>
      <c r="H9" s="2">
        <f>C9*G9</f>
        <v>47.79</v>
      </c>
    </row>
    <row r="10" spans="1:12">
      <c r="B10" t="s">
        <v>47</v>
      </c>
      <c r="C10" s="2">
        <f>A3/2*2</f>
        <v>2</v>
      </c>
      <c r="D10" t="s">
        <v>11</v>
      </c>
      <c r="E10" s="3" t="s">
        <v>15</v>
      </c>
      <c r="F10" s="2" t="s">
        <v>15</v>
      </c>
      <c r="G10" s="2">
        <f>(3276/100)</f>
        <v>32.76</v>
      </c>
      <c r="H10" s="2">
        <f>C10*G10</f>
        <v>65.52</v>
      </c>
    </row>
    <row r="11" spans="1:12">
      <c r="B11" t="s">
        <v>42</v>
      </c>
      <c r="C11" s="2">
        <f>A3/2*1</f>
        <v>1</v>
      </c>
      <c r="D11" t="s">
        <v>12</v>
      </c>
      <c r="E11" s="3" t="s">
        <v>15</v>
      </c>
      <c r="F11" s="2" t="s">
        <v>15</v>
      </c>
      <c r="G11" s="2">
        <f>5</f>
        <v>5</v>
      </c>
      <c r="H11" s="2">
        <f>C11*G11</f>
        <v>5</v>
      </c>
      <c r="J11" s="4"/>
    </row>
    <row r="12" spans="1:12">
      <c r="B12" s="1" t="s">
        <v>19</v>
      </c>
      <c r="H12" s="4">
        <f>SUM(H9:H11)</f>
        <v>118.31</v>
      </c>
      <c r="J12" s="4">
        <f t="shared" ref="J12:J13" si="0">H12*1.17</f>
        <v>138.42269999999999</v>
      </c>
    </row>
    <row r="13" spans="1:12">
      <c r="A13" s="1" t="s">
        <v>20</v>
      </c>
      <c r="B13" s="1" t="s">
        <v>21</v>
      </c>
      <c r="H13" s="4">
        <f>H8+H12</f>
        <v>174.33799999999999</v>
      </c>
      <c r="J13" s="4">
        <f t="shared" si="0"/>
        <v>203.97545999999997</v>
      </c>
      <c r="L13" s="4">
        <f>J13*1.21</f>
        <v>246.81030659999996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8070-0B88-4739-97DE-828E8C1A0941}">
  <dimension ref="A1:L24"/>
  <sheetViews>
    <sheetView topLeftCell="D1" workbookViewId="0">
      <selection activeCell="J14" sqref="J14"/>
    </sheetView>
  </sheetViews>
  <sheetFormatPr defaultRowHeight="15"/>
  <cols>
    <col min="1" max="1" width="17.85546875" customWidth="1"/>
    <col min="2" max="2" width="65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69</v>
      </c>
    </row>
    <row r="3" spans="1:10">
      <c r="A3">
        <v>1</v>
      </c>
      <c r="B3" t="s">
        <v>28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70</v>
      </c>
      <c r="C6" s="2">
        <f>A3/1*10000/1000</f>
        <v>10</v>
      </c>
      <c r="D6" t="s">
        <v>11</v>
      </c>
      <c r="E6" s="3">
        <f>3000/10000</f>
        <v>0.3</v>
      </c>
      <c r="F6" s="2">
        <f t="shared" ref="F6:F13" si="0">C6*E6</f>
        <v>3</v>
      </c>
      <c r="G6" s="2">
        <v>52.2</v>
      </c>
      <c r="H6" s="2">
        <f t="shared" ref="H6:H13" si="1">F6*G6</f>
        <v>156.60000000000002</v>
      </c>
    </row>
    <row r="7" spans="1:10">
      <c r="B7" t="s">
        <v>71</v>
      </c>
      <c r="C7" s="2">
        <f>A3/1*10000/1000</f>
        <v>10</v>
      </c>
      <c r="D7" t="s">
        <v>11</v>
      </c>
      <c r="E7" s="3">
        <f>2000/10000</f>
        <v>0.2</v>
      </c>
      <c r="F7" s="2">
        <f t="shared" si="0"/>
        <v>2</v>
      </c>
      <c r="G7" s="2">
        <v>52.2</v>
      </c>
      <c r="H7" s="2">
        <f t="shared" si="1"/>
        <v>104.4</v>
      </c>
    </row>
    <row r="8" spans="1:10">
      <c r="B8" t="s">
        <v>72</v>
      </c>
      <c r="C8" s="2">
        <f>A3/1*1000/1000</f>
        <v>1</v>
      </c>
      <c r="D8" t="s">
        <v>0</v>
      </c>
      <c r="E8" s="3">
        <f>2500/10000</f>
        <v>0.25</v>
      </c>
      <c r="F8" s="2">
        <f t="shared" si="0"/>
        <v>0.25</v>
      </c>
      <c r="G8" s="2">
        <v>52.2</v>
      </c>
      <c r="H8" s="2">
        <f t="shared" si="1"/>
        <v>13.05</v>
      </c>
    </row>
    <row r="9" spans="1:10">
      <c r="B9" t="s">
        <v>73</v>
      </c>
      <c r="C9" s="2">
        <f>A3/1*10000/1000</f>
        <v>10</v>
      </c>
      <c r="D9" t="s">
        <v>11</v>
      </c>
      <c r="E9" s="3">
        <f>1000/10000</f>
        <v>0.1</v>
      </c>
      <c r="F9" s="2">
        <f t="shared" si="0"/>
        <v>1</v>
      </c>
      <c r="G9" s="2">
        <v>52.2</v>
      </c>
      <c r="H9" s="2">
        <f t="shared" si="1"/>
        <v>52.2</v>
      </c>
    </row>
    <row r="10" spans="1:10">
      <c r="B10" t="s">
        <v>74</v>
      </c>
      <c r="C10" s="2">
        <f>A3/1*1000/1000</f>
        <v>1</v>
      </c>
      <c r="D10" t="s">
        <v>0</v>
      </c>
      <c r="E10" s="3">
        <f>5000/10000</f>
        <v>0.5</v>
      </c>
      <c r="F10" s="2">
        <f t="shared" si="0"/>
        <v>0.5</v>
      </c>
      <c r="G10" s="2">
        <v>52.2</v>
      </c>
      <c r="H10" s="2">
        <f t="shared" si="1"/>
        <v>26.1</v>
      </c>
    </row>
    <row r="11" spans="1:10">
      <c r="B11" t="s">
        <v>75</v>
      </c>
      <c r="C11" s="2">
        <f>A3/1*2000/1000</f>
        <v>2</v>
      </c>
      <c r="D11" t="s">
        <v>11</v>
      </c>
      <c r="E11" s="3">
        <f>1200/10000</f>
        <v>0.12</v>
      </c>
      <c r="F11" s="2">
        <f t="shared" si="0"/>
        <v>0.24</v>
      </c>
      <c r="G11" s="2">
        <v>52.2</v>
      </c>
      <c r="H11" s="2">
        <f t="shared" si="1"/>
        <v>12.528</v>
      </c>
    </row>
    <row r="12" spans="1:10">
      <c r="B12" t="s">
        <v>62</v>
      </c>
      <c r="C12" s="2">
        <f>A3/1*1000/1000</f>
        <v>1</v>
      </c>
      <c r="D12" t="s">
        <v>0</v>
      </c>
      <c r="E12" s="3">
        <f>1700/10000</f>
        <v>0.17</v>
      </c>
      <c r="F12" s="2">
        <f t="shared" si="0"/>
        <v>0.17</v>
      </c>
      <c r="G12" s="2">
        <v>52.2</v>
      </c>
      <c r="H12" s="2">
        <f t="shared" si="1"/>
        <v>8.8740000000000006</v>
      </c>
    </row>
    <row r="13" spans="1:10">
      <c r="B13" t="s">
        <v>76</v>
      </c>
      <c r="C13" s="2">
        <f>A3/1*6000/1000</f>
        <v>6</v>
      </c>
      <c r="D13" t="s">
        <v>11</v>
      </c>
      <c r="E13" s="3">
        <f>300/10000</f>
        <v>0.03</v>
      </c>
      <c r="F13" s="2">
        <f t="shared" si="0"/>
        <v>0.18</v>
      </c>
      <c r="G13" s="2">
        <v>52.2</v>
      </c>
      <c r="H13" s="2">
        <f t="shared" si="1"/>
        <v>9.3960000000000008</v>
      </c>
    </row>
    <row r="14" spans="1:10">
      <c r="B14" s="1" t="s">
        <v>13</v>
      </c>
      <c r="F14" s="4">
        <f>SUM(F6:F13)</f>
        <v>7.34</v>
      </c>
      <c r="H14" s="4">
        <f>SUM(H6:H13)</f>
        <v>383.14800000000008</v>
      </c>
      <c r="J14" s="4">
        <f>H14*1.17</f>
        <v>448.28316000000007</v>
      </c>
    </row>
    <row r="15" spans="1:10">
      <c r="A15" s="1" t="s">
        <v>14</v>
      </c>
      <c r="B15" t="s">
        <v>77</v>
      </c>
      <c r="C15" s="2">
        <f>A3/1*1</f>
        <v>1</v>
      </c>
      <c r="D15" t="s">
        <v>0</v>
      </c>
      <c r="E15" s="3" t="s">
        <v>15</v>
      </c>
      <c r="F15" s="2" t="s">
        <v>15</v>
      </c>
      <c r="G15" s="2">
        <f>(139/100)</f>
        <v>1.39</v>
      </c>
      <c r="H15" s="2">
        <f t="shared" ref="H15:H21" si="2">C15*G15</f>
        <v>1.39</v>
      </c>
    </row>
    <row r="16" spans="1:10">
      <c r="B16" t="s">
        <v>78</v>
      </c>
      <c r="C16" s="2">
        <f>A3/1*1</f>
        <v>1</v>
      </c>
      <c r="D16" t="s">
        <v>0</v>
      </c>
      <c r="E16" s="3" t="s">
        <v>15</v>
      </c>
      <c r="F16" s="2" t="s">
        <v>15</v>
      </c>
      <c r="G16" s="2">
        <f>(72/100)</f>
        <v>0.72</v>
      </c>
      <c r="H16" s="2">
        <f t="shared" si="2"/>
        <v>0.72</v>
      </c>
    </row>
    <row r="17" spans="1:12">
      <c r="B17" t="s">
        <v>79</v>
      </c>
      <c r="C17" s="2">
        <f>A3/1*2</f>
        <v>2</v>
      </c>
      <c r="D17" t="s">
        <v>11</v>
      </c>
      <c r="E17" s="3" t="s">
        <v>15</v>
      </c>
      <c r="F17" s="2" t="s">
        <v>15</v>
      </c>
      <c r="G17" s="2">
        <f>(256/100)</f>
        <v>2.56</v>
      </c>
      <c r="H17" s="2">
        <f t="shared" si="2"/>
        <v>5.12</v>
      </c>
    </row>
    <row r="18" spans="1:12">
      <c r="B18" t="s">
        <v>22</v>
      </c>
      <c r="C18" s="2">
        <f>A3/1*6</f>
        <v>6</v>
      </c>
      <c r="D18" t="s">
        <v>11</v>
      </c>
      <c r="E18" s="3" t="s">
        <v>15</v>
      </c>
      <c r="F18" s="2" t="s">
        <v>15</v>
      </c>
      <c r="G18" s="2">
        <f>(115/100)</f>
        <v>1.1499999999999999</v>
      </c>
      <c r="H18" s="2">
        <f t="shared" si="2"/>
        <v>6.8999999999999995</v>
      </c>
    </row>
    <row r="19" spans="1:12">
      <c r="B19" t="s">
        <v>17</v>
      </c>
      <c r="C19" s="2">
        <f>A3/1*1</f>
        <v>1</v>
      </c>
      <c r="D19" t="s">
        <v>0</v>
      </c>
      <c r="E19" s="3" t="s">
        <v>15</v>
      </c>
      <c r="F19" s="2" t="s">
        <v>15</v>
      </c>
      <c r="G19" s="2">
        <f>(618/100)</f>
        <v>6.18</v>
      </c>
      <c r="H19" s="2">
        <f t="shared" si="2"/>
        <v>6.18</v>
      </c>
    </row>
    <row r="20" spans="1:12">
      <c r="B20" t="s">
        <v>80</v>
      </c>
      <c r="C20" s="2">
        <f>A3/1*1</f>
        <v>1</v>
      </c>
      <c r="D20" t="s">
        <v>0</v>
      </c>
      <c r="E20" s="3" t="s">
        <v>15</v>
      </c>
      <c r="F20" s="2" t="s">
        <v>15</v>
      </c>
      <c r="G20" s="2">
        <f>(618/100)</f>
        <v>6.18</v>
      </c>
      <c r="H20" s="2">
        <f t="shared" si="2"/>
        <v>6.18</v>
      </c>
    </row>
    <row r="21" spans="1:12">
      <c r="B21" t="s">
        <v>81</v>
      </c>
      <c r="C21" s="2">
        <f>A3/1*13</f>
        <v>13</v>
      </c>
      <c r="D21" t="s">
        <v>11</v>
      </c>
      <c r="E21" s="3" t="s">
        <v>15</v>
      </c>
      <c r="F21" s="2" t="s">
        <v>15</v>
      </c>
      <c r="G21" s="2">
        <f>(628/100)</f>
        <v>6.28</v>
      </c>
      <c r="H21" s="2">
        <f t="shared" si="2"/>
        <v>81.64</v>
      </c>
      <c r="J21" s="4"/>
    </row>
    <row r="22" spans="1:12">
      <c r="B22" s="1" t="s">
        <v>19</v>
      </c>
      <c r="H22" s="4">
        <f>SUM(H15:H21)</f>
        <v>108.13</v>
      </c>
      <c r="J22" s="4">
        <f>H22*1.17</f>
        <v>126.51209999999999</v>
      </c>
    </row>
    <row r="23" spans="1:12">
      <c r="A23" s="1" t="s">
        <v>20</v>
      </c>
      <c r="B23" s="1" t="s">
        <v>21</v>
      </c>
      <c r="H23" s="4">
        <f>H14+H22</f>
        <v>491.27800000000008</v>
      </c>
      <c r="J23" s="4">
        <f>H23*1.17</f>
        <v>574.7952600000001</v>
      </c>
      <c r="L23" s="4">
        <f>J23*1.21</f>
        <v>695.5022646000001</v>
      </c>
    </row>
    <row r="24" spans="1:12">
      <c r="J24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BB85-712B-4D09-8A91-3C94B1D3BB6F}">
  <dimension ref="A1:I12"/>
  <sheetViews>
    <sheetView topLeftCell="F1" workbookViewId="0">
      <selection activeCell="G10" sqref="G10:H11"/>
    </sheetView>
  </sheetViews>
  <sheetFormatPr defaultRowHeight="15"/>
  <cols>
    <col min="3" max="3" width="112.140625" customWidth="1"/>
    <col min="4" max="4" width="18.85546875" customWidth="1"/>
    <col min="5" max="5" width="16.28515625" customWidth="1"/>
    <col min="6" max="6" width="16" customWidth="1"/>
    <col min="7" max="7" width="16.28515625" customWidth="1"/>
    <col min="8" max="8" width="16" customWidth="1"/>
    <col min="9" max="9" width="11.42578125" customWidth="1"/>
  </cols>
  <sheetData>
    <row r="1" spans="1:9">
      <c r="A1" s="1" t="s">
        <v>82</v>
      </c>
    </row>
    <row r="3" spans="1:9">
      <c r="A3" s="1" t="s">
        <v>32</v>
      </c>
    </row>
    <row r="5" spans="1:9">
      <c r="A5" s="1" t="s">
        <v>33</v>
      </c>
      <c r="B5" s="1" t="s">
        <v>34</v>
      </c>
      <c r="C5" s="1" t="s">
        <v>2</v>
      </c>
      <c r="D5" s="1" t="s">
        <v>35</v>
      </c>
      <c r="E5" s="1" t="s">
        <v>20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2">
        <v>1</v>
      </c>
      <c r="B6" t="s">
        <v>0</v>
      </c>
      <c r="C6" t="s">
        <v>83</v>
      </c>
      <c r="D6" s="2">
        <f>A6*(713400/100000)</f>
        <v>7.1340000000000003</v>
      </c>
      <c r="E6" s="2">
        <f>A6*(7020738/10000)</f>
        <v>702.07380000000001</v>
      </c>
      <c r="F6" s="2">
        <f>A6*0</f>
        <v>0</v>
      </c>
      <c r="G6" s="2">
        <f>E6+F6</f>
        <v>702.07380000000001</v>
      </c>
      <c r="H6" s="2">
        <f>G6*(121/100)</f>
        <v>849.50929799999994</v>
      </c>
      <c r="I6" t="s">
        <v>15</v>
      </c>
    </row>
    <row r="7" spans="1:9">
      <c r="A7" s="2">
        <v>1</v>
      </c>
      <c r="B7" t="s">
        <v>0</v>
      </c>
      <c r="C7" t="s">
        <v>84</v>
      </c>
      <c r="D7" s="2">
        <f>A7*(60000/100000)</f>
        <v>0.6</v>
      </c>
      <c r="E7" s="2">
        <f>A7*(13232/100)</f>
        <v>132.32</v>
      </c>
      <c r="F7" s="2">
        <f>A7*(224944/10000)</f>
        <v>22.494399999999999</v>
      </c>
      <c r="G7" s="2">
        <f>E7+F7</f>
        <v>154.81439999999998</v>
      </c>
      <c r="H7" s="2">
        <f>G7*(121/100)</f>
        <v>187.32542399999997</v>
      </c>
      <c r="I7" t="s">
        <v>15</v>
      </c>
    </row>
    <row r="8" spans="1:9">
      <c r="D8" s="4">
        <f>SUM(D6:D7)</f>
        <v>7.734</v>
      </c>
      <c r="E8" s="4">
        <f>SUM(E6:E7)</f>
        <v>834.39380000000006</v>
      </c>
      <c r="F8" s="4">
        <f>SUM(F6:F7)</f>
        <v>22.494399999999999</v>
      </c>
      <c r="G8" s="4">
        <f>SUM(G6:G7)</f>
        <v>856.88819999999998</v>
      </c>
      <c r="H8" s="4">
        <f>SUM(H6:H7)</f>
        <v>1036.8347219999998</v>
      </c>
    </row>
    <row r="10" spans="1:9">
      <c r="C10" s="7" t="s">
        <v>40</v>
      </c>
      <c r="D10" s="5">
        <f>D8*48.72</f>
        <v>376.80047999999999</v>
      </c>
      <c r="E10" s="5"/>
      <c r="F10" s="5"/>
      <c r="G10" s="5">
        <f>D10*1.17</f>
        <v>440.85656159999996</v>
      </c>
      <c r="H10" s="5">
        <f>G10*1.21</f>
        <v>533.43643953599997</v>
      </c>
      <c r="I10" s="5"/>
    </row>
    <row r="11" spans="1:9">
      <c r="C11" s="7" t="s">
        <v>41</v>
      </c>
      <c r="D11" s="5">
        <f>E8-D10</f>
        <v>457.59332000000006</v>
      </c>
      <c r="E11" s="5"/>
      <c r="F11" s="5"/>
      <c r="G11" s="5">
        <f>D11*1.17</f>
        <v>535.38418440000009</v>
      </c>
      <c r="H11" s="5">
        <f>G11*1.21</f>
        <v>647.81486312400011</v>
      </c>
      <c r="I11" s="5"/>
    </row>
    <row r="12" spans="1:9">
      <c r="A12" s="6"/>
      <c r="B12" s="6"/>
      <c r="C12" s="6"/>
      <c r="D12" s="6"/>
      <c r="E12" s="6"/>
      <c r="F12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AB4D-B358-4912-9F63-BB5ECABAE39F}">
  <dimension ref="A1:L10"/>
  <sheetViews>
    <sheetView topLeftCell="C1" workbookViewId="0">
      <selection activeCell="J7" sqref="J7:L13"/>
    </sheetView>
  </sheetViews>
  <sheetFormatPr defaultRowHeight="15"/>
  <cols>
    <col min="1" max="1" width="17.85546875" customWidth="1"/>
    <col min="2" max="2" width="2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85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86</v>
      </c>
      <c r="C6" s="2">
        <f>A3/1*1000/1000</f>
        <v>1</v>
      </c>
      <c r="D6" t="s">
        <v>0</v>
      </c>
      <c r="E6" s="3">
        <f>6000/10000</f>
        <v>0.6</v>
      </c>
      <c r="F6" s="2">
        <f>C6*E6</f>
        <v>0.6</v>
      </c>
      <c r="G6" s="2">
        <v>48.72</v>
      </c>
      <c r="H6" s="2">
        <f>F6*G6</f>
        <v>29.231999999999999</v>
      </c>
    </row>
    <row r="7" spans="1:12">
      <c r="B7" s="1" t="s">
        <v>13</v>
      </c>
      <c r="F7" s="4">
        <f>SUM(F6:F6)</f>
        <v>0.6</v>
      </c>
      <c r="H7" s="4">
        <f>SUM(H6:H6)</f>
        <v>29.231999999999999</v>
      </c>
      <c r="J7" s="4">
        <f>H7*1.17</f>
        <v>34.201439999999998</v>
      </c>
    </row>
    <row r="8" spans="1:12">
      <c r="A8" s="1" t="s">
        <v>14</v>
      </c>
      <c r="B8" t="s">
        <v>87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(565/10)</f>
        <v>56.5</v>
      </c>
      <c r="H8" s="2">
        <f>C8*G8</f>
        <v>56.5</v>
      </c>
    </row>
    <row r="9" spans="1:12">
      <c r="B9" s="1" t="s">
        <v>19</v>
      </c>
      <c r="H9" s="4">
        <f>SUM(H8:H8)</f>
        <v>56.5</v>
      </c>
      <c r="J9" s="4">
        <f>H9*1.17</f>
        <v>66.10499999999999</v>
      </c>
    </row>
    <row r="10" spans="1:12">
      <c r="A10" s="1" t="s">
        <v>20</v>
      </c>
      <c r="B10" s="1" t="s">
        <v>21</v>
      </c>
      <c r="H10" s="4">
        <f>H7+H9</f>
        <v>85.731999999999999</v>
      </c>
      <c r="J10" s="4">
        <f>H10*1.17</f>
        <v>100.30643999999999</v>
      </c>
      <c r="L10" s="4">
        <f>J10*1.21</f>
        <v>121.37079239999998</v>
      </c>
    </row>
  </sheetData>
  <pageMargins left="0.7" right="0.7" top="0.75" bottom="0.75" header="0.3" footer="0.3"/>
  <ignoredErrors>
    <ignoredError sqref="H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0A9A-08C6-413F-BBB3-1357BE49867F}">
  <dimension ref="A1:L10"/>
  <sheetViews>
    <sheetView topLeftCell="C1" workbookViewId="0">
      <selection activeCell="J7" sqref="J7:L13"/>
    </sheetView>
  </sheetViews>
  <sheetFormatPr defaultRowHeight="15"/>
  <cols>
    <col min="1" max="1" width="17.85546875" customWidth="1"/>
    <col min="2" max="2" width="38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88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89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48.72</v>
      </c>
      <c r="H6" s="2">
        <f>F6*G6</f>
        <v>48.72</v>
      </c>
    </row>
    <row r="7" spans="1:12">
      <c r="B7" s="1" t="s">
        <v>13</v>
      </c>
      <c r="F7" s="4">
        <f>SUM(F6:F6)</f>
        <v>1</v>
      </c>
      <c r="H7" s="4">
        <f>SUM(H6:H6)</f>
        <v>48.72</v>
      </c>
      <c r="J7" s="4">
        <f>H7*1.17</f>
        <v>57.002399999999994</v>
      </c>
    </row>
    <row r="8" spans="1:12">
      <c r="A8" s="1" t="s">
        <v>14</v>
      </c>
      <c r="B8" t="s">
        <v>90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170</f>
        <v>170</v>
      </c>
      <c r="H8" s="2">
        <f>C8*G8</f>
        <v>170</v>
      </c>
    </row>
    <row r="9" spans="1:12">
      <c r="B9" s="1" t="s">
        <v>19</v>
      </c>
      <c r="H9" s="4">
        <f>SUM(H8:H8)</f>
        <v>170</v>
      </c>
      <c r="J9" s="4">
        <f>H9*1.17</f>
        <v>198.89999999999998</v>
      </c>
    </row>
    <row r="10" spans="1:12">
      <c r="A10" s="1" t="s">
        <v>20</v>
      </c>
      <c r="B10" s="1" t="s">
        <v>21</v>
      </c>
      <c r="H10" s="4">
        <f>H7+H9</f>
        <v>218.72</v>
      </c>
      <c r="J10" s="4">
        <f>H10*1.17</f>
        <v>255.90239999999997</v>
      </c>
      <c r="L10" s="4">
        <f>J10*1.21</f>
        <v>309.64190399999995</v>
      </c>
    </row>
  </sheetData>
  <pageMargins left="0.7" right="0.7" top="0.75" bottom="0.75" header="0.3" footer="0.3"/>
  <ignoredErrors>
    <ignoredError sqref="H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4FF3-7288-4B8C-BF25-E6696A50EEDB}">
  <dimension ref="A1:I12"/>
  <sheetViews>
    <sheetView topLeftCell="C1" workbookViewId="0">
      <selection activeCell="C11" sqref="A11:XFD12"/>
    </sheetView>
  </sheetViews>
  <sheetFormatPr defaultRowHeight="15"/>
  <cols>
    <col min="3" max="3" width="121.5703125" customWidth="1"/>
    <col min="4" max="4" width="18.85546875" customWidth="1"/>
    <col min="5" max="5" width="16.28515625" customWidth="1"/>
    <col min="6" max="6" width="16" customWidth="1"/>
    <col min="7" max="7" width="16.28515625" customWidth="1"/>
    <col min="8" max="8" width="16" customWidth="1"/>
    <col min="9" max="9" width="11.42578125" customWidth="1"/>
  </cols>
  <sheetData>
    <row r="1" spans="1:9">
      <c r="A1" s="1" t="s">
        <v>91</v>
      </c>
    </row>
    <row r="3" spans="1:9">
      <c r="A3" s="1" t="s">
        <v>32</v>
      </c>
    </row>
    <row r="5" spans="1:9">
      <c r="A5" s="1" t="s">
        <v>33</v>
      </c>
      <c r="B5" s="1" t="s">
        <v>34</v>
      </c>
      <c r="C5" s="1" t="s">
        <v>2</v>
      </c>
      <c r="D5" s="1" t="s">
        <v>35</v>
      </c>
      <c r="E5" s="1" t="s">
        <v>20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2">
        <v>2.7</v>
      </c>
      <c r="B6" t="s">
        <v>29</v>
      </c>
      <c r="C6" t="s">
        <v>92</v>
      </c>
      <c r="D6" s="2">
        <f>A6*(63909/100000)</f>
        <v>1.7255430000000003</v>
      </c>
      <c r="E6" s="2">
        <f>A6*(7815267/100000)</f>
        <v>211.01220900000001</v>
      </c>
      <c r="F6" s="2">
        <f>A6*(2539962/100000)</f>
        <v>68.578974000000002</v>
      </c>
      <c r="G6" s="2">
        <f>E6+F6</f>
        <v>279.591183</v>
      </c>
      <c r="H6" s="2">
        <f>G6*(121/100)</f>
        <v>338.30533142999997</v>
      </c>
      <c r="I6" t="s">
        <v>15</v>
      </c>
    </row>
    <row r="7" spans="1:9">
      <c r="A7" s="2">
        <v>1</v>
      </c>
      <c r="B7" t="s">
        <v>0</v>
      </c>
      <c r="C7" t="s">
        <v>93</v>
      </c>
      <c r="D7" s="2">
        <f>A7*5</f>
        <v>5</v>
      </c>
      <c r="E7" s="2">
        <f>A7*3181</f>
        <v>3181</v>
      </c>
      <c r="F7" s="2">
        <f>A7*0</f>
        <v>0</v>
      </c>
      <c r="G7" s="2">
        <f>E7+F7</f>
        <v>3181</v>
      </c>
      <c r="H7" s="2">
        <f>G7*(121/100)</f>
        <v>3849.0099999999998</v>
      </c>
      <c r="I7" t="s">
        <v>15</v>
      </c>
    </row>
    <row r="8" spans="1:9">
      <c r="A8" s="2">
        <v>5</v>
      </c>
      <c r="B8" t="s">
        <v>11</v>
      </c>
      <c r="C8" t="s">
        <v>94</v>
      </c>
      <c r="D8" s="2">
        <f>A8*(60000/100000)</f>
        <v>3</v>
      </c>
      <c r="E8" s="2">
        <f>A8*(4282/100)</f>
        <v>214.1</v>
      </c>
      <c r="F8" s="2">
        <f>A8*(72794/10000)</f>
        <v>36.396999999999998</v>
      </c>
      <c r="G8" s="2">
        <f>E8+F8</f>
        <v>250.49699999999999</v>
      </c>
      <c r="H8" s="2">
        <f>G8*(121/100)</f>
        <v>303.10136999999997</v>
      </c>
      <c r="I8" t="s">
        <v>15</v>
      </c>
    </row>
    <row r="9" spans="1:9">
      <c r="D9" s="4">
        <f>SUM(D6:D8)</f>
        <v>9.725543</v>
      </c>
      <c r="E9" s="4">
        <f>SUM(E6:E8)</f>
        <v>3606.1122089999999</v>
      </c>
      <c r="F9" s="4">
        <f>SUM(F6:F8)</f>
        <v>104.97597400000001</v>
      </c>
      <c r="G9" s="4">
        <f>SUM(G6:G8)</f>
        <v>3711.0881829999998</v>
      </c>
      <c r="H9" s="4">
        <f>SUM(H6:H8)</f>
        <v>4490.4167014300001</v>
      </c>
    </row>
    <row r="11" spans="1:9">
      <c r="C11" s="7" t="s">
        <v>40</v>
      </c>
      <c r="D11" s="5">
        <f>D9*48.72</f>
        <v>473.82845495999999</v>
      </c>
      <c r="E11" s="5"/>
      <c r="F11" s="5"/>
      <c r="G11" s="5">
        <f>D11*1.17</f>
        <v>554.37929230319992</v>
      </c>
      <c r="H11" s="5">
        <f>G11*1.21</f>
        <v>670.79894368687189</v>
      </c>
      <c r="I11" s="5"/>
    </row>
    <row r="12" spans="1:9">
      <c r="C12" s="7" t="s">
        <v>41</v>
      </c>
      <c r="D12" s="5">
        <f>E9-D11</f>
        <v>3132.2837540400001</v>
      </c>
      <c r="E12" s="5"/>
      <c r="F12" s="5"/>
      <c r="G12" s="5">
        <f>D12*1.17</f>
        <v>3664.7719922267997</v>
      </c>
      <c r="H12" s="5">
        <f>G12*1.21</f>
        <v>4434.3741105944273</v>
      </c>
      <c r="I12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78C4-5A08-4D07-83C0-68A5BD32C279}">
  <dimension ref="A1:L11"/>
  <sheetViews>
    <sheetView tabSelected="1" workbookViewId="0">
      <selection activeCell="F15" sqref="F15"/>
    </sheetView>
  </sheetViews>
  <sheetFormatPr defaultRowHeight="15"/>
  <cols>
    <col min="1" max="1" width="17.85546875" customWidth="1"/>
    <col min="2" max="2" width="51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95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134</v>
      </c>
      <c r="C6" s="2">
        <v>4.5</v>
      </c>
      <c r="D6" t="s">
        <v>24</v>
      </c>
      <c r="E6" s="3">
        <f>10000/10000</f>
        <v>1</v>
      </c>
      <c r="F6" s="2">
        <f>C6*E6</f>
        <v>4.5</v>
      </c>
      <c r="G6" s="2">
        <f>52200/1000</f>
        <v>52.2</v>
      </c>
      <c r="H6" s="2">
        <f>F6*G6</f>
        <v>234.9</v>
      </c>
    </row>
    <row r="7" spans="1:12">
      <c r="B7" t="s">
        <v>25</v>
      </c>
      <c r="C7" s="2">
        <f>A3/1*1250/1000</f>
        <v>1.25</v>
      </c>
      <c r="D7" t="s">
        <v>24</v>
      </c>
      <c r="E7" s="3">
        <f>10000/10000</f>
        <v>1</v>
      </c>
      <c r="F7" s="2">
        <f>C7*E7</f>
        <v>1.25</v>
      </c>
      <c r="G7" s="2">
        <f>52200/1000</f>
        <v>52.2</v>
      </c>
      <c r="H7" s="2">
        <f>F7*G7</f>
        <v>65.25</v>
      </c>
    </row>
    <row r="8" spans="1:12">
      <c r="B8" s="1" t="s">
        <v>13</v>
      </c>
      <c r="F8" s="4">
        <f>SUM(F6:F7)</f>
        <v>5.75</v>
      </c>
      <c r="H8" s="4">
        <f>SUM(H6:H7)</f>
        <v>300.14999999999998</v>
      </c>
      <c r="J8" s="4">
        <f>H8*1.17</f>
        <v>351.17549999999994</v>
      </c>
    </row>
    <row r="9" spans="1:12">
      <c r="A9" s="1" t="s">
        <v>14</v>
      </c>
      <c r="B9" t="s">
        <v>18</v>
      </c>
      <c r="C9" s="2">
        <f>A3/1*1</f>
        <v>1</v>
      </c>
      <c r="D9" t="s">
        <v>12</v>
      </c>
      <c r="E9" s="3" t="s">
        <v>15</v>
      </c>
      <c r="F9" s="2" t="s">
        <v>15</v>
      </c>
      <c r="G9" s="2">
        <f>60</f>
        <v>60</v>
      </c>
      <c r="H9" s="2">
        <f>C9*G9</f>
        <v>60</v>
      </c>
    </row>
    <row r="10" spans="1:12">
      <c r="B10" s="1" t="s">
        <v>19</v>
      </c>
      <c r="H10" s="4">
        <f>SUM(H9:H9)</f>
        <v>60</v>
      </c>
      <c r="J10" s="4">
        <f>H10*1.17</f>
        <v>70.199999999999989</v>
      </c>
    </row>
    <row r="11" spans="1:12">
      <c r="A11" s="1" t="s">
        <v>20</v>
      </c>
      <c r="B11" s="1" t="s">
        <v>21</v>
      </c>
      <c r="H11" s="4">
        <f>H8+H10</f>
        <v>360.15</v>
      </c>
      <c r="J11" s="4">
        <f>H11*1.17</f>
        <v>421.37549999999993</v>
      </c>
      <c r="L11" s="4">
        <f>J11*1.21</f>
        <v>509.86435499999988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19AB-6999-4851-B6CE-D61D4736F6C3}">
  <dimension ref="A1:I13"/>
  <sheetViews>
    <sheetView topLeftCell="D1" workbookViewId="0">
      <selection activeCell="E17" sqref="E17"/>
    </sheetView>
  </sheetViews>
  <sheetFormatPr defaultRowHeight="15"/>
  <cols>
    <col min="3" max="3" width="144.42578125" customWidth="1"/>
    <col min="4" max="4" width="18.85546875" customWidth="1"/>
    <col min="5" max="5" width="16.28515625" customWidth="1"/>
    <col min="6" max="6" width="16" customWidth="1"/>
    <col min="7" max="7" width="16.28515625" customWidth="1"/>
    <col min="8" max="8" width="16" customWidth="1"/>
    <col min="9" max="9" width="11.42578125" customWidth="1"/>
  </cols>
  <sheetData>
    <row r="1" spans="1:9">
      <c r="A1" s="8" t="s">
        <v>96</v>
      </c>
    </row>
    <row r="3" spans="1:9">
      <c r="A3" s="8" t="s">
        <v>32</v>
      </c>
    </row>
    <row r="5" spans="1:9">
      <c r="A5" s="8" t="s">
        <v>33</v>
      </c>
      <c r="B5" s="8" t="s">
        <v>34</v>
      </c>
      <c r="C5" s="8" t="s">
        <v>2</v>
      </c>
      <c r="D5" s="8" t="s">
        <v>35</v>
      </c>
      <c r="E5" s="8" t="s">
        <v>20</v>
      </c>
      <c r="F5" s="8" t="s">
        <v>36</v>
      </c>
      <c r="G5" s="8" t="s">
        <v>37</v>
      </c>
      <c r="H5" s="8" t="s">
        <v>38</v>
      </c>
      <c r="I5" s="8" t="s">
        <v>39</v>
      </c>
    </row>
    <row r="6" spans="1:9">
      <c r="A6" s="2">
        <v>8</v>
      </c>
      <c r="B6" t="s">
        <v>11</v>
      </c>
      <c r="C6" t="s">
        <v>97</v>
      </c>
      <c r="D6" s="2">
        <f>A6*(58000/100000)</f>
        <v>4.6399999999999997</v>
      </c>
      <c r="E6" s="2">
        <f>A6*(380856/10000)</f>
        <v>304.6848</v>
      </c>
      <c r="F6" s="2">
        <f>A6*0</f>
        <v>0</v>
      </c>
      <c r="G6" s="2">
        <f>E6+F6</f>
        <v>304.6848</v>
      </c>
      <c r="H6" s="2">
        <f>G6*(121/100)</f>
        <v>368.66860800000001</v>
      </c>
      <c r="I6" t="s">
        <v>15</v>
      </c>
    </row>
    <row r="7" spans="1:9">
      <c r="A7" s="2">
        <v>4</v>
      </c>
      <c r="B7" t="s">
        <v>29</v>
      </c>
      <c r="C7" t="s">
        <v>92</v>
      </c>
      <c r="D7" s="2">
        <f>A7*(63909/100000)</f>
        <v>2.5563600000000002</v>
      </c>
      <c r="E7" s="2">
        <f>A7*(7815267/100000)</f>
        <v>312.61068</v>
      </c>
      <c r="F7" s="2">
        <f>A7*(2539962/100000)</f>
        <v>101.59848</v>
      </c>
      <c r="G7" s="2">
        <f>E7+F7</f>
        <v>414.20916</v>
      </c>
      <c r="H7" s="2">
        <f>G7*(121/100)</f>
        <v>501.19308359999997</v>
      </c>
      <c r="I7" t="s">
        <v>15</v>
      </c>
    </row>
    <row r="8" spans="1:9">
      <c r="A8" s="2">
        <v>1</v>
      </c>
      <c r="B8" t="s">
        <v>0</v>
      </c>
      <c r="C8" t="s">
        <v>98</v>
      </c>
      <c r="D8" s="2">
        <f>A8*6</f>
        <v>6</v>
      </c>
      <c r="E8" s="2">
        <f>A8*(133184/100)</f>
        <v>1331.84</v>
      </c>
      <c r="F8" s="2">
        <f>A8*(2264128/10000)</f>
        <v>226.4128</v>
      </c>
      <c r="G8" s="2">
        <f>E8+F8</f>
        <v>1558.2528</v>
      </c>
      <c r="H8" s="2">
        <f>G8*(121/100)</f>
        <v>1885.4858879999999</v>
      </c>
      <c r="I8" t="s">
        <v>15</v>
      </c>
    </row>
    <row r="9" spans="1:9">
      <c r="A9" s="2">
        <v>1</v>
      </c>
      <c r="B9" t="s">
        <v>28</v>
      </c>
      <c r="C9" t="s">
        <v>69</v>
      </c>
      <c r="D9" s="2">
        <f>A9*(734000/100000)</f>
        <v>7.34</v>
      </c>
      <c r="E9" s="2">
        <f>A9*(555136/1000)</f>
        <v>555.13599999999997</v>
      </c>
      <c r="F9" s="2">
        <f>A9*(9437312/100000)</f>
        <v>94.37312</v>
      </c>
      <c r="G9" s="2">
        <f>E9+F9</f>
        <v>649.50911999999994</v>
      </c>
      <c r="H9" s="2">
        <f>G9*(121/100)</f>
        <v>785.90603519999991</v>
      </c>
      <c r="I9" t="s">
        <v>15</v>
      </c>
    </row>
    <row r="10" spans="1:9">
      <c r="D10" s="9">
        <f>SUM(D6:D9)</f>
        <v>20.536360000000002</v>
      </c>
      <c r="E10" s="9">
        <f>SUM(E6:E9)</f>
        <v>2504.2714799999999</v>
      </c>
      <c r="F10" s="9">
        <f>SUM(F6:F9)</f>
        <v>422.38440000000003</v>
      </c>
      <c r="G10" s="9">
        <f>SUM(G6:G9)</f>
        <v>2926.6558800000003</v>
      </c>
      <c r="H10" s="9">
        <f>SUM(H6:H9)</f>
        <v>3541.2536147999999</v>
      </c>
    </row>
    <row r="12" spans="1:9">
      <c r="C12" s="7" t="s">
        <v>40</v>
      </c>
      <c r="D12" s="5">
        <f>D10*46.72</f>
        <v>959.45873920000008</v>
      </c>
      <c r="E12" s="5"/>
      <c r="F12" s="5"/>
      <c r="G12" s="5">
        <f>D12*1.17</f>
        <v>1122.566724864</v>
      </c>
      <c r="H12" s="5">
        <f>G12*1.21</f>
        <v>1358.3057370854399</v>
      </c>
      <c r="I12" s="5"/>
    </row>
    <row r="13" spans="1:9">
      <c r="C13" s="7" t="s">
        <v>41</v>
      </c>
      <c r="D13" s="5">
        <f>E10-D12</f>
        <v>1544.8127407999998</v>
      </c>
      <c r="E13" s="5"/>
      <c r="F13" s="5"/>
      <c r="G13" s="5">
        <f>D13*1.17</f>
        <v>1807.4309067359998</v>
      </c>
      <c r="H13" s="5">
        <f>G13*1.21</f>
        <v>2186.9913971505598</v>
      </c>
      <c r="I13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8700-9F15-4F34-8BF5-976160D8CF22}">
  <dimension ref="A1:L15"/>
  <sheetViews>
    <sheetView topLeftCell="B3" workbookViewId="0">
      <selection activeCell="J20" sqref="J20"/>
    </sheetView>
  </sheetViews>
  <sheetFormatPr defaultRowHeight="15"/>
  <cols>
    <col min="1" max="1" width="17.85546875" customWidth="1"/>
    <col min="2" max="2" width="48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8" t="s">
        <v>99</v>
      </c>
    </row>
    <row r="3" spans="1:12">
      <c r="A3">
        <v>1</v>
      </c>
      <c r="B3" t="s">
        <v>0</v>
      </c>
    </row>
    <row r="5" spans="1:1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2">
      <c r="A6" s="8" t="s">
        <v>9</v>
      </c>
      <c r="B6" t="s">
        <v>100</v>
      </c>
      <c r="C6" s="2">
        <f>A3/1*1000/1000</f>
        <v>1</v>
      </c>
      <c r="D6" t="s">
        <v>0</v>
      </c>
      <c r="E6" s="3">
        <f>4500/10000</f>
        <v>0.45</v>
      </c>
      <c r="F6" s="2">
        <f>C6*E6</f>
        <v>0.45</v>
      </c>
      <c r="G6" s="2">
        <v>52.2</v>
      </c>
      <c r="H6" s="2">
        <f>F6*G6</f>
        <v>23.490000000000002</v>
      </c>
    </row>
    <row r="7" spans="1:12">
      <c r="B7" t="s">
        <v>75</v>
      </c>
      <c r="C7" s="2">
        <f>A3/1*1000/1000</f>
        <v>1</v>
      </c>
      <c r="D7" t="s">
        <v>11</v>
      </c>
      <c r="E7" s="3">
        <f>1500/10000</f>
        <v>0.15</v>
      </c>
      <c r="F7" s="2">
        <f>C7*E7</f>
        <v>0.15</v>
      </c>
      <c r="G7" s="2">
        <v>52.2</v>
      </c>
      <c r="H7" s="2">
        <f>F7*G7</f>
        <v>7.83</v>
      </c>
    </row>
    <row r="8" spans="1:12">
      <c r="B8" t="s">
        <v>76</v>
      </c>
      <c r="C8" s="2">
        <f>A3/1*3600/1000</f>
        <v>3.6</v>
      </c>
      <c r="D8" t="s">
        <v>11</v>
      </c>
      <c r="E8" s="3">
        <f>300/10000</f>
        <v>0.03</v>
      </c>
      <c r="F8" s="2">
        <f>C8*E8</f>
        <v>0.108</v>
      </c>
      <c r="G8" s="2">
        <v>52.2</v>
      </c>
      <c r="H8" s="2">
        <f>F8*G8</f>
        <v>5.6375999999999999</v>
      </c>
    </row>
    <row r="9" spans="1:12">
      <c r="B9" s="8" t="s">
        <v>13</v>
      </c>
      <c r="F9" s="9">
        <f>SUM(F6:F8)</f>
        <v>0.70799999999999996</v>
      </c>
      <c r="H9" s="9">
        <f>SUM(H6:H8)</f>
        <v>36.957599999999999</v>
      </c>
      <c r="J9" s="4">
        <f>H9*1.17</f>
        <v>43.240392</v>
      </c>
    </row>
    <row r="10" spans="1:12">
      <c r="A10" s="8" t="s">
        <v>14</v>
      </c>
      <c r="B10" t="s">
        <v>101</v>
      </c>
      <c r="C10" s="2">
        <f>A3/1*1</f>
        <v>1</v>
      </c>
      <c r="D10" t="s">
        <v>0</v>
      </c>
      <c r="E10" s="3" t="s">
        <v>15</v>
      </c>
      <c r="F10" s="2" t="s">
        <v>15</v>
      </c>
      <c r="G10" s="2">
        <v>219.1</v>
      </c>
      <c r="H10" s="2">
        <f>C10*G10</f>
        <v>219.1</v>
      </c>
    </row>
    <row r="11" spans="1:12">
      <c r="B11" t="s">
        <v>79</v>
      </c>
      <c r="C11" s="2">
        <f>A3/1*1</f>
        <v>1</v>
      </c>
      <c r="D11" t="s">
        <v>11</v>
      </c>
      <c r="E11" s="3" t="s">
        <v>15</v>
      </c>
      <c r="F11" s="2" t="s">
        <v>15</v>
      </c>
      <c r="G11" s="2">
        <f>(256/100)</f>
        <v>2.56</v>
      </c>
      <c r="H11" s="2">
        <f>C11*G11</f>
        <v>2.56</v>
      </c>
      <c r="J11" s="4"/>
    </row>
    <row r="12" spans="1:12">
      <c r="B12" t="s">
        <v>102</v>
      </c>
      <c r="C12" s="2">
        <f>A3/1*(36/10)</f>
        <v>3.6</v>
      </c>
      <c r="D12" t="s">
        <v>11</v>
      </c>
      <c r="E12" s="3" t="s">
        <v>15</v>
      </c>
      <c r="F12" s="2" t="s">
        <v>15</v>
      </c>
      <c r="G12" s="2">
        <f>(199/100)</f>
        <v>1.99</v>
      </c>
      <c r="H12" s="2">
        <f>C12*G12</f>
        <v>7.1639999999999997</v>
      </c>
      <c r="J12" s="4"/>
      <c r="L12" s="4"/>
    </row>
    <row r="13" spans="1:12">
      <c r="B13" t="s">
        <v>65</v>
      </c>
      <c r="C13" s="2">
        <f>A3/1*1</f>
        <v>1</v>
      </c>
      <c r="D13" t="s">
        <v>12</v>
      </c>
      <c r="E13" s="3" t="s">
        <v>15</v>
      </c>
      <c r="F13" s="2" t="s">
        <v>15</v>
      </c>
      <c r="G13" s="2">
        <f>(35/10)</f>
        <v>3.5</v>
      </c>
      <c r="H13" s="2">
        <f>C13*G13</f>
        <v>3.5</v>
      </c>
    </row>
    <row r="14" spans="1:12">
      <c r="B14" s="8" t="s">
        <v>19</v>
      </c>
      <c r="H14" s="9">
        <f>SUM(H10:H13)</f>
        <v>232.32399999999998</v>
      </c>
      <c r="J14" s="4">
        <f>H14*1.17</f>
        <v>271.81907999999999</v>
      </c>
    </row>
    <row r="15" spans="1:12">
      <c r="A15" s="8" t="s">
        <v>20</v>
      </c>
      <c r="B15" s="8" t="s">
        <v>21</v>
      </c>
      <c r="H15" s="9">
        <f>H9+H14</f>
        <v>269.28159999999997</v>
      </c>
      <c r="J15" s="4">
        <f>H15*1.17</f>
        <v>315.05947199999997</v>
      </c>
      <c r="L15" s="4">
        <f>J15*1.21</f>
        <v>381.22196111999995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817E-9321-4E24-9164-226D54C07C0A}">
  <dimension ref="A1:L15"/>
  <sheetViews>
    <sheetView topLeftCell="B1" workbookViewId="0">
      <selection activeCell="J9" sqref="J9:L15"/>
    </sheetView>
  </sheetViews>
  <sheetFormatPr defaultRowHeight="15"/>
  <cols>
    <col min="1" max="1" width="17.85546875" customWidth="1"/>
    <col min="2" max="2" width="42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8" t="s">
        <v>94</v>
      </c>
    </row>
    <row r="3" spans="1:12">
      <c r="A3">
        <v>1</v>
      </c>
      <c r="B3" t="s">
        <v>11</v>
      </c>
    </row>
    <row r="5" spans="1:1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2">
      <c r="A6" s="8" t="s">
        <v>9</v>
      </c>
      <c r="B6" t="s">
        <v>70</v>
      </c>
      <c r="C6" s="2">
        <f>A3/1*1000/1000</f>
        <v>1</v>
      </c>
      <c r="D6" t="s">
        <v>11</v>
      </c>
      <c r="E6" s="3">
        <f>3000/10000</f>
        <v>0.3</v>
      </c>
      <c r="F6" s="2">
        <f>C6*E6</f>
        <v>0.3</v>
      </c>
      <c r="G6" s="2">
        <v>52.2</v>
      </c>
      <c r="H6" s="2">
        <f>F6*G6</f>
        <v>15.66</v>
      </c>
    </row>
    <row r="7" spans="1:12">
      <c r="B7" t="s">
        <v>71</v>
      </c>
      <c r="C7" s="2">
        <f>A3/1*1000/1000</f>
        <v>1</v>
      </c>
      <c r="D7" t="s">
        <v>11</v>
      </c>
      <c r="E7" s="3">
        <f>2000/10000</f>
        <v>0.2</v>
      </c>
      <c r="F7" s="2">
        <f>C7*E7</f>
        <v>0.2</v>
      </c>
      <c r="G7" s="2">
        <v>52.2</v>
      </c>
      <c r="H7" s="2">
        <f>F7*G7</f>
        <v>10.440000000000001</v>
      </c>
    </row>
    <row r="8" spans="1:12">
      <c r="B8" t="s">
        <v>73</v>
      </c>
      <c r="C8" s="2">
        <f>A3/1*1000/1000</f>
        <v>1</v>
      </c>
      <c r="D8" t="s">
        <v>11</v>
      </c>
      <c r="E8" s="3">
        <f>1000/10000</f>
        <v>0.1</v>
      </c>
      <c r="F8" s="2">
        <f>C8*E8</f>
        <v>0.1</v>
      </c>
      <c r="G8" s="2">
        <v>52.2</v>
      </c>
      <c r="H8" s="2">
        <f>F8*G8</f>
        <v>5.2200000000000006</v>
      </c>
    </row>
    <row r="9" spans="1:12">
      <c r="B9" s="8" t="s">
        <v>13</v>
      </c>
      <c r="F9" s="9">
        <f>SUM(F6:F8)</f>
        <v>0.6</v>
      </c>
      <c r="H9" s="9">
        <f>SUM(H6:H8)</f>
        <v>31.32</v>
      </c>
      <c r="J9" s="4">
        <f>H9*1.17</f>
        <v>36.644399999999997</v>
      </c>
    </row>
    <row r="10" spans="1:12">
      <c r="A10" s="8" t="s">
        <v>14</v>
      </c>
      <c r="B10" t="s">
        <v>81</v>
      </c>
      <c r="C10" s="2">
        <f>A3/1*1</f>
        <v>1</v>
      </c>
      <c r="D10" t="s">
        <v>11</v>
      </c>
      <c r="E10" s="3" t="s">
        <v>15</v>
      </c>
      <c r="F10" s="2" t="s">
        <v>15</v>
      </c>
      <c r="G10" s="2">
        <f>(628/100)</f>
        <v>6.28</v>
      </c>
      <c r="H10" s="2">
        <f>C10*G10</f>
        <v>6.28</v>
      </c>
    </row>
    <row r="11" spans="1:12">
      <c r="B11" s="8" t="s">
        <v>19</v>
      </c>
      <c r="H11" s="9">
        <f>SUM(H10:H10)</f>
        <v>6.28</v>
      </c>
      <c r="J11" s="4">
        <f>H11*1.17</f>
        <v>7.3475999999999999</v>
      </c>
    </row>
    <row r="12" spans="1:12">
      <c r="A12" s="8" t="s">
        <v>20</v>
      </c>
      <c r="B12" s="8" t="s">
        <v>21</v>
      </c>
      <c r="H12" s="9">
        <f>H9+H11</f>
        <v>37.6</v>
      </c>
      <c r="J12" s="4">
        <f>H12*1.17</f>
        <v>43.991999999999997</v>
      </c>
      <c r="L12" s="4">
        <f>J12*1.21</f>
        <v>53.230319999999992</v>
      </c>
    </row>
    <row r="14" spans="1:12">
      <c r="J14" s="4"/>
    </row>
    <row r="15" spans="1:12">
      <c r="J15" s="4"/>
      <c r="L15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133-EEF6-4C51-B269-5DF1B9806D7B}">
  <dimension ref="A1:L15"/>
  <sheetViews>
    <sheetView topLeftCell="C1" workbookViewId="0">
      <selection activeCell="J10" sqref="J10:L17"/>
    </sheetView>
  </sheetViews>
  <sheetFormatPr defaultRowHeight="15"/>
  <cols>
    <col min="1" max="1" width="17.85546875" customWidth="1"/>
    <col min="2" max="2" width="63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8" t="s">
        <v>103</v>
      </c>
    </row>
    <row r="3" spans="1:12">
      <c r="A3">
        <v>1</v>
      </c>
      <c r="B3" t="s">
        <v>0</v>
      </c>
    </row>
    <row r="5" spans="1:1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2">
      <c r="A6" s="8" t="s">
        <v>9</v>
      </c>
      <c r="B6" t="s">
        <v>104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52.2</v>
      </c>
      <c r="H6" s="2">
        <f>F6*G6</f>
        <v>26.1</v>
      </c>
    </row>
    <row r="7" spans="1:12">
      <c r="B7" t="s">
        <v>105</v>
      </c>
      <c r="C7" s="2">
        <f>A3/1*1000/1000</f>
        <v>1</v>
      </c>
      <c r="D7" t="s">
        <v>0</v>
      </c>
      <c r="E7" s="3">
        <f>4500/10000</f>
        <v>0.45</v>
      </c>
      <c r="F7" s="2">
        <f>C7*E7</f>
        <v>0.45</v>
      </c>
      <c r="G7" s="2">
        <v>52.2</v>
      </c>
      <c r="H7" s="2">
        <f>F7*G7</f>
        <v>23.490000000000002</v>
      </c>
    </row>
    <row r="8" spans="1:12">
      <c r="B8" t="s">
        <v>106</v>
      </c>
      <c r="C8" s="2">
        <f>A3/1*1000/1000</f>
        <v>1</v>
      </c>
      <c r="D8" t="s">
        <v>0</v>
      </c>
      <c r="E8" s="3">
        <f>19000/10000</f>
        <v>1.9</v>
      </c>
      <c r="F8" s="2">
        <f>C8*E8</f>
        <v>1.9</v>
      </c>
      <c r="G8" s="2">
        <v>52.2</v>
      </c>
      <c r="H8" s="2">
        <f>F8*G8</f>
        <v>99.18</v>
      </c>
    </row>
    <row r="9" spans="1:12">
      <c r="B9" t="s">
        <v>107</v>
      </c>
      <c r="C9" s="2">
        <f>A3/1*1000/1000</f>
        <v>1</v>
      </c>
      <c r="D9" t="s">
        <v>0</v>
      </c>
      <c r="E9" s="3">
        <f>3500/10000</f>
        <v>0.35</v>
      </c>
      <c r="F9" s="2">
        <f>C9*E9</f>
        <v>0.35</v>
      </c>
      <c r="G9" s="2">
        <v>52.2</v>
      </c>
      <c r="H9" s="2">
        <f>F9*G9</f>
        <v>18.27</v>
      </c>
    </row>
    <row r="10" spans="1:12">
      <c r="B10" s="8" t="s">
        <v>13</v>
      </c>
      <c r="F10" s="9">
        <f>SUM(F6:F9)</f>
        <v>3.1999999999999997</v>
      </c>
      <c r="H10" s="9">
        <f>SUM(H6:H9)</f>
        <v>167.04000000000002</v>
      </c>
      <c r="J10" s="4">
        <f>H10*1.17</f>
        <v>195.43680000000001</v>
      </c>
    </row>
    <row r="11" spans="1:12">
      <c r="A11" s="8" t="s">
        <v>14</v>
      </c>
      <c r="B11" t="s">
        <v>108</v>
      </c>
      <c r="C11" s="2">
        <f>A3/1*1</f>
        <v>1</v>
      </c>
      <c r="D11" t="s">
        <v>27</v>
      </c>
      <c r="E11" s="3" t="s">
        <v>15</v>
      </c>
      <c r="F11" s="2" t="s">
        <v>15</v>
      </c>
      <c r="G11" s="2">
        <f>(1318/100)</f>
        <v>13.18</v>
      </c>
      <c r="H11" s="2">
        <f>C11*G11</f>
        <v>13.18</v>
      </c>
    </row>
    <row r="12" spans="1:12">
      <c r="B12" t="s">
        <v>109</v>
      </c>
      <c r="C12" s="2">
        <f>A3/1*6</f>
        <v>6</v>
      </c>
      <c r="D12" t="s">
        <v>11</v>
      </c>
      <c r="E12" s="3" t="s">
        <v>15</v>
      </c>
      <c r="F12" s="2" t="s">
        <v>15</v>
      </c>
      <c r="G12" s="2">
        <f>(398/100)</f>
        <v>3.98</v>
      </c>
      <c r="H12" s="2">
        <f>C12*G12</f>
        <v>23.88</v>
      </c>
      <c r="J12" s="4"/>
    </row>
    <row r="13" spans="1:12">
      <c r="B13" t="s">
        <v>18</v>
      </c>
      <c r="C13" s="2">
        <f>A3/1*1</f>
        <v>1</v>
      </c>
      <c r="D13" t="s">
        <v>12</v>
      </c>
      <c r="E13" s="3" t="s">
        <v>15</v>
      </c>
      <c r="F13" s="2" t="s">
        <v>15</v>
      </c>
      <c r="G13" s="2">
        <f>50</f>
        <v>50</v>
      </c>
      <c r="H13" s="2">
        <f>C13*G13</f>
        <v>50</v>
      </c>
    </row>
    <row r="14" spans="1:12">
      <c r="B14" s="8" t="s">
        <v>19</v>
      </c>
      <c r="H14" s="9">
        <f>SUM(H11:H13)</f>
        <v>87.06</v>
      </c>
      <c r="J14" s="4">
        <f>H14*1.17</f>
        <v>101.86019999999999</v>
      </c>
    </row>
    <row r="15" spans="1:12">
      <c r="A15" s="8" t="s">
        <v>20</v>
      </c>
      <c r="B15" s="8" t="s">
        <v>21</v>
      </c>
      <c r="H15" s="9">
        <f>H10+H14</f>
        <v>254.10000000000002</v>
      </c>
      <c r="J15" s="4">
        <f>H15*1.17</f>
        <v>297.29700000000003</v>
      </c>
      <c r="L15" s="4">
        <f>J15*1.21</f>
        <v>359.72937000000002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D835-468E-4930-918B-7EE9D969DC82}">
  <dimension ref="A1:L13"/>
  <sheetViews>
    <sheetView topLeftCell="B1" workbookViewId="0">
      <selection activeCell="J8" sqref="J8:L14"/>
    </sheetView>
  </sheetViews>
  <sheetFormatPr defaultRowHeight="15"/>
  <cols>
    <col min="1" max="1" width="17.85546875" customWidth="1"/>
    <col min="2" max="2" width="38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43</v>
      </c>
    </row>
    <row r="3" spans="1:12">
      <c r="A3">
        <v>4</v>
      </c>
      <c r="B3" t="s">
        <v>11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44</v>
      </c>
      <c r="C6" s="2">
        <f>A3/4*4000/1000</f>
        <v>4</v>
      </c>
      <c r="D6" t="s">
        <v>11</v>
      </c>
      <c r="E6" s="3">
        <f>3500/10000</f>
        <v>0.35</v>
      </c>
      <c r="F6" s="2">
        <f>C6*E6</f>
        <v>1.4</v>
      </c>
      <c r="G6" s="2">
        <v>48.72</v>
      </c>
      <c r="H6" s="2">
        <f>F6*G6</f>
        <v>68.207999999999998</v>
      </c>
    </row>
    <row r="7" spans="1:12">
      <c r="B7" t="s">
        <v>45</v>
      </c>
      <c r="C7" s="2">
        <f>A3/4*4000/1000</f>
        <v>4</v>
      </c>
      <c r="D7" t="s">
        <v>0</v>
      </c>
      <c r="E7" s="3">
        <f>1500/10000</f>
        <v>0.15</v>
      </c>
      <c r="F7" s="2">
        <f>C7*E7</f>
        <v>0.6</v>
      </c>
      <c r="G7" s="2">
        <v>48.72</v>
      </c>
      <c r="H7" s="2">
        <f>F7*G7</f>
        <v>29.231999999999999</v>
      </c>
    </row>
    <row r="8" spans="1:12">
      <c r="B8" s="1" t="s">
        <v>13</v>
      </c>
      <c r="F8" s="4">
        <f>SUM(F6:F7)</f>
        <v>2</v>
      </c>
      <c r="H8" s="4">
        <f>SUM(H6:H7)</f>
        <v>97.44</v>
      </c>
      <c r="J8" s="4">
        <f>H8*1.17</f>
        <v>114.00479999999999</v>
      </c>
    </row>
    <row r="9" spans="1:12">
      <c r="A9" s="1" t="s">
        <v>14</v>
      </c>
      <c r="B9" t="s">
        <v>46</v>
      </c>
      <c r="C9" s="2">
        <f>A3/4*4</f>
        <v>4</v>
      </c>
      <c r="D9" t="s">
        <v>0</v>
      </c>
      <c r="E9" s="3" t="s">
        <v>15</v>
      </c>
      <c r="F9" s="2" t="s">
        <v>15</v>
      </c>
      <c r="G9" s="2">
        <f>(1593/100)</f>
        <v>15.93</v>
      </c>
      <c r="H9" s="2">
        <f>C9*G9</f>
        <v>63.72</v>
      </c>
    </row>
    <row r="10" spans="1:12">
      <c r="B10" t="s">
        <v>47</v>
      </c>
      <c r="C10" s="2">
        <f>A3/4*4</f>
        <v>4</v>
      </c>
      <c r="D10" t="s">
        <v>11</v>
      </c>
      <c r="E10" s="3" t="s">
        <v>15</v>
      </c>
      <c r="F10" s="2" t="s">
        <v>15</v>
      </c>
      <c r="G10" s="2">
        <f>(3276/100)</f>
        <v>32.76</v>
      </c>
      <c r="H10" s="2">
        <f>C10*G10</f>
        <v>131.04</v>
      </c>
    </row>
    <row r="11" spans="1:12">
      <c r="B11" t="s">
        <v>42</v>
      </c>
      <c r="C11" s="2">
        <f>A3/4*1</f>
        <v>1</v>
      </c>
      <c r="D11" t="s">
        <v>12</v>
      </c>
      <c r="E11" s="3" t="s">
        <v>15</v>
      </c>
      <c r="F11" s="2" t="s">
        <v>15</v>
      </c>
      <c r="G11" s="2">
        <f>10</f>
        <v>10</v>
      </c>
      <c r="H11" s="2">
        <f>C11*G11</f>
        <v>10</v>
      </c>
      <c r="J11" s="4"/>
    </row>
    <row r="12" spans="1:12">
      <c r="B12" s="1" t="s">
        <v>19</v>
      </c>
      <c r="H12" s="4">
        <f>SUM(H9:H11)</f>
        <v>204.76</v>
      </c>
      <c r="J12" s="4">
        <f t="shared" ref="J12:J13" si="0">H12*1.17</f>
        <v>239.56919999999997</v>
      </c>
    </row>
    <row r="13" spans="1:12">
      <c r="A13" s="1" t="s">
        <v>20</v>
      </c>
      <c r="B13" s="1" t="s">
        <v>21</v>
      </c>
      <c r="H13" s="4">
        <f>H8+H12</f>
        <v>302.2</v>
      </c>
      <c r="J13" s="4">
        <f t="shared" si="0"/>
        <v>353.57399999999996</v>
      </c>
      <c r="L13" s="4">
        <f>J13*1.21</f>
        <v>427.82453999999996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AE4A-21F0-40B4-BA87-B762C22806E2}">
  <dimension ref="A1:L16"/>
  <sheetViews>
    <sheetView topLeftCell="D1" workbookViewId="0">
      <selection activeCell="L15" sqref="L15"/>
    </sheetView>
  </sheetViews>
  <sheetFormatPr defaultRowHeight="15"/>
  <cols>
    <col min="1" max="1" width="17.85546875" customWidth="1"/>
    <col min="2" max="2" width="60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8" t="s">
        <v>110</v>
      </c>
    </row>
    <row r="3" spans="1:12">
      <c r="A3">
        <v>1</v>
      </c>
      <c r="B3" t="s">
        <v>0</v>
      </c>
    </row>
    <row r="5" spans="1:1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2">
      <c r="A6" s="8" t="s">
        <v>9</v>
      </c>
      <c r="B6" t="s">
        <v>104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52.2</v>
      </c>
      <c r="H6" s="2">
        <f>F6*G6</f>
        <v>26.1</v>
      </c>
    </row>
    <row r="7" spans="1:12">
      <c r="B7" t="s">
        <v>105</v>
      </c>
      <c r="C7" s="2">
        <f>A3/1*1000/1000</f>
        <v>1</v>
      </c>
      <c r="D7" t="s">
        <v>0</v>
      </c>
      <c r="E7" s="3">
        <f>4500/10000</f>
        <v>0.45</v>
      </c>
      <c r="F7" s="2">
        <f>C7*E7</f>
        <v>0.45</v>
      </c>
      <c r="G7" s="2">
        <v>52.2</v>
      </c>
      <c r="H7" s="2">
        <f>F7*G7</f>
        <v>23.490000000000002</v>
      </c>
    </row>
    <row r="8" spans="1:12">
      <c r="B8" t="s">
        <v>111</v>
      </c>
      <c r="C8" s="2">
        <f>A3/1*1000/1000</f>
        <v>1</v>
      </c>
      <c r="D8" t="s">
        <v>12</v>
      </c>
      <c r="E8" s="3">
        <f>2500/10000</f>
        <v>0.25</v>
      </c>
      <c r="F8" s="2">
        <f>C8*E8</f>
        <v>0.25</v>
      </c>
      <c r="G8" s="2">
        <v>52.2</v>
      </c>
      <c r="H8" s="2">
        <f>F8*G8</f>
        <v>13.05</v>
      </c>
    </row>
    <row r="9" spans="1:12">
      <c r="B9" t="s">
        <v>107</v>
      </c>
      <c r="C9" s="2">
        <f>A3/1*1000/1000</f>
        <v>1</v>
      </c>
      <c r="D9" t="s">
        <v>0</v>
      </c>
      <c r="E9" s="3">
        <f>3500/10000</f>
        <v>0.35</v>
      </c>
      <c r="F9" s="2">
        <f>C9*E9</f>
        <v>0.35</v>
      </c>
      <c r="G9" s="2">
        <v>52.2</v>
      </c>
      <c r="H9" s="2">
        <f>F9*G9</f>
        <v>18.27</v>
      </c>
    </row>
    <row r="10" spans="1:12">
      <c r="B10" t="s">
        <v>112</v>
      </c>
      <c r="C10" s="2">
        <f>A3/1*1000/1000</f>
        <v>1</v>
      </c>
      <c r="D10" t="s">
        <v>0</v>
      </c>
      <c r="E10" s="3">
        <f>2000/10000</f>
        <v>0.2</v>
      </c>
      <c r="F10" s="2">
        <f>C10*E10</f>
        <v>0.2</v>
      </c>
      <c r="G10" s="2">
        <v>52.2</v>
      </c>
      <c r="H10" s="2">
        <f>F10*G10</f>
        <v>10.440000000000001</v>
      </c>
    </row>
    <row r="11" spans="1:12">
      <c r="B11" s="8" t="s">
        <v>13</v>
      </c>
      <c r="F11" s="9">
        <f>SUM(F6:F10)</f>
        <v>1.7499999999999998</v>
      </c>
      <c r="H11" s="9">
        <f>SUM(H6:H10)</f>
        <v>91.35</v>
      </c>
      <c r="J11" s="4">
        <f>H11*1.17</f>
        <v>106.87949999999999</v>
      </c>
    </row>
    <row r="12" spans="1:12">
      <c r="A12" s="8" t="s">
        <v>14</v>
      </c>
      <c r="B12" t="s">
        <v>18</v>
      </c>
      <c r="C12" s="2">
        <f>A3/1*1</f>
        <v>1</v>
      </c>
      <c r="D12" t="s">
        <v>12</v>
      </c>
      <c r="E12" s="3" t="s">
        <v>15</v>
      </c>
      <c r="F12" s="2" t="s">
        <v>15</v>
      </c>
      <c r="G12" s="2">
        <f>10</f>
        <v>10</v>
      </c>
      <c r="H12" s="2">
        <f>C12*G12</f>
        <v>10</v>
      </c>
    </row>
    <row r="13" spans="1:12">
      <c r="B13" t="s">
        <v>31</v>
      </c>
      <c r="C13" s="2">
        <f>A3/1*(35/100)</f>
        <v>0.35</v>
      </c>
      <c r="D13" t="s">
        <v>30</v>
      </c>
      <c r="E13" s="3" t="s">
        <v>15</v>
      </c>
      <c r="F13" s="2" t="s">
        <v>15</v>
      </c>
      <c r="G13" s="2">
        <f>(5372/100)</f>
        <v>53.72</v>
      </c>
      <c r="H13" s="2">
        <f>C13*G13</f>
        <v>18.802</v>
      </c>
      <c r="J13" s="4"/>
    </row>
    <row r="14" spans="1:12">
      <c r="B14" s="8" t="s">
        <v>19</v>
      </c>
      <c r="H14" s="9">
        <f>SUM(H12:H13)</f>
        <v>28.802</v>
      </c>
      <c r="J14" s="4">
        <f>H14*1.17</f>
        <v>33.698339999999995</v>
      </c>
    </row>
    <row r="15" spans="1:12">
      <c r="A15" s="8" t="s">
        <v>20</v>
      </c>
      <c r="B15" s="8" t="s">
        <v>21</v>
      </c>
      <c r="H15" s="9">
        <f>H11+H14</f>
        <v>120.15199999999999</v>
      </c>
      <c r="J15" s="4">
        <f>H15*1.17</f>
        <v>140.57783999999998</v>
      </c>
      <c r="L15" s="4">
        <f>J15*1.21</f>
        <v>170.09918639999998</v>
      </c>
    </row>
    <row r="16" spans="1:12">
      <c r="J16" s="4"/>
      <c r="L16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060C-45C8-4837-89D2-43EC78DC6850}">
  <dimension ref="A1:J11"/>
  <sheetViews>
    <sheetView topLeftCell="D1" workbookViewId="0">
      <selection activeCell="J10" sqref="J10"/>
    </sheetView>
  </sheetViews>
  <sheetFormatPr defaultRowHeight="15"/>
  <cols>
    <col min="1" max="1" width="17.85546875" customWidth="1"/>
    <col min="2" max="2" width="96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113</v>
      </c>
    </row>
    <row r="3" spans="1:10">
      <c r="A3">
        <v>1</v>
      </c>
      <c r="B3" t="s">
        <v>0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114</v>
      </c>
      <c r="C7" s="2">
        <f>A3/1*1</f>
        <v>1</v>
      </c>
      <c r="D7" t="s">
        <v>0</v>
      </c>
      <c r="E7" s="3" t="s">
        <v>15</v>
      </c>
      <c r="F7" s="2" t="s">
        <v>15</v>
      </c>
      <c r="G7" s="2">
        <f>332</f>
        <v>332</v>
      </c>
      <c r="H7" s="2">
        <f>C7*G7</f>
        <v>332</v>
      </c>
    </row>
    <row r="8" spans="1:10">
      <c r="B8" t="s">
        <v>115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123</f>
        <v>123</v>
      </c>
      <c r="H8" s="2">
        <f>C8*G8</f>
        <v>123</v>
      </c>
    </row>
    <row r="9" spans="1:10">
      <c r="B9" t="s">
        <v>116</v>
      </c>
      <c r="C9" s="2">
        <f>A3/1*1</f>
        <v>1</v>
      </c>
      <c r="D9" t="s">
        <v>0</v>
      </c>
      <c r="E9" s="3" t="s">
        <v>15</v>
      </c>
      <c r="F9" s="2" t="s">
        <v>15</v>
      </c>
      <c r="G9" s="2">
        <f>4348</f>
        <v>4348</v>
      </c>
      <c r="H9" s="2">
        <f>C9*G9</f>
        <v>4348</v>
      </c>
    </row>
    <row r="10" spans="1:10">
      <c r="B10" s="8" t="s">
        <v>19</v>
      </c>
      <c r="H10" s="9">
        <f>SUM(H7:H9)</f>
        <v>4803</v>
      </c>
      <c r="J10" s="4">
        <f>H10*1.21</f>
        <v>5811.63</v>
      </c>
    </row>
    <row r="11" spans="1:10">
      <c r="A11" s="8" t="s">
        <v>20</v>
      </c>
      <c r="B11" s="8" t="s">
        <v>21</v>
      </c>
      <c r="H11" s="9" t="str">
        <f ca="1">H6+H10</f>
        <v/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7192-C317-4B96-BA31-7E48AAC1B8D0}">
  <dimension ref="A1:J11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90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117</v>
      </c>
    </row>
    <row r="3" spans="1:10">
      <c r="A3">
        <v>1</v>
      </c>
      <c r="B3" t="s">
        <v>0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114</v>
      </c>
      <c r="C7" s="2">
        <f>A3/1*1</f>
        <v>1</v>
      </c>
      <c r="D7" t="s">
        <v>0</v>
      </c>
      <c r="E7" s="3" t="s">
        <v>15</v>
      </c>
      <c r="F7" s="2" t="s">
        <v>15</v>
      </c>
      <c r="G7" s="2">
        <f>332</f>
        <v>332</v>
      </c>
      <c r="H7" s="2">
        <f>C7*G7</f>
        <v>332</v>
      </c>
    </row>
    <row r="8" spans="1:10">
      <c r="B8" t="s">
        <v>115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123</f>
        <v>123</v>
      </c>
      <c r="H8" s="2">
        <f>C8*G8</f>
        <v>123</v>
      </c>
    </row>
    <row r="9" spans="1:10">
      <c r="B9" t="s">
        <v>118</v>
      </c>
      <c r="C9" s="2">
        <f>A3/1*1</f>
        <v>1</v>
      </c>
      <c r="D9" t="s">
        <v>0</v>
      </c>
      <c r="E9" s="3" t="s">
        <v>15</v>
      </c>
      <c r="F9" s="2" t="s">
        <v>15</v>
      </c>
      <c r="G9" s="2">
        <f>9274</f>
        <v>9274</v>
      </c>
      <c r="H9" s="2">
        <f>C9*G9</f>
        <v>9274</v>
      </c>
    </row>
    <row r="10" spans="1:10">
      <c r="B10" s="8" t="s">
        <v>19</v>
      </c>
      <c r="H10" s="9">
        <f>SUM(H7:H9)</f>
        <v>9729</v>
      </c>
      <c r="J10" s="4">
        <f>H10*1.21</f>
        <v>11772.09</v>
      </c>
    </row>
    <row r="11" spans="1:10">
      <c r="A11" s="8" t="s">
        <v>20</v>
      </c>
      <c r="B11" s="8" t="s">
        <v>21</v>
      </c>
      <c r="H11" s="9" t="str">
        <f ca="1">H6+H10</f>
        <v/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9AC5-1E0C-4A5B-A95B-D6A136560151}">
  <dimension ref="A1:J11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94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119</v>
      </c>
    </row>
    <row r="3" spans="1:10">
      <c r="A3">
        <v>1</v>
      </c>
      <c r="B3" t="s">
        <v>0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120</v>
      </c>
      <c r="C7" s="2">
        <f>A3/1*1</f>
        <v>1</v>
      </c>
      <c r="D7" t="s">
        <v>0</v>
      </c>
      <c r="E7" s="3" t="s">
        <v>15</v>
      </c>
      <c r="F7" s="2" t="s">
        <v>15</v>
      </c>
      <c r="G7" s="2">
        <f>394</f>
        <v>394</v>
      </c>
      <c r="H7" s="2">
        <f>C7*G7</f>
        <v>394</v>
      </c>
    </row>
    <row r="8" spans="1:10">
      <c r="B8" t="s">
        <v>115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123</f>
        <v>123</v>
      </c>
      <c r="H8" s="2">
        <f>C8*G8</f>
        <v>123</v>
      </c>
    </row>
    <row r="9" spans="1:10">
      <c r="B9" t="s">
        <v>121</v>
      </c>
      <c r="C9" s="2">
        <f>A3/1*1</f>
        <v>1</v>
      </c>
      <c r="D9" t="s">
        <v>0</v>
      </c>
      <c r="E9" s="3" t="s">
        <v>15</v>
      </c>
      <c r="F9" s="2" t="s">
        <v>15</v>
      </c>
      <c r="G9" s="2">
        <f>5015</f>
        <v>5015</v>
      </c>
      <c r="H9" s="2">
        <f>C9*G9</f>
        <v>5015</v>
      </c>
    </row>
    <row r="10" spans="1:10">
      <c r="B10" s="8" t="s">
        <v>19</v>
      </c>
      <c r="H10" s="9">
        <f>SUM(H7:H9)</f>
        <v>5532</v>
      </c>
      <c r="J10" s="4">
        <f>H10*1.21</f>
        <v>6693.72</v>
      </c>
    </row>
    <row r="11" spans="1:10">
      <c r="A11" s="8" t="s">
        <v>20</v>
      </c>
      <c r="B11" s="8" t="s">
        <v>21</v>
      </c>
      <c r="H11" s="9" t="str">
        <f ca="1">H6+H10</f>
        <v/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03AF-489E-4BAC-8A0C-D11B1060A278}">
  <dimension ref="A1:J11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94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119</v>
      </c>
    </row>
    <row r="3" spans="1:10">
      <c r="A3">
        <v>1</v>
      </c>
      <c r="B3" t="s">
        <v>0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120</v>
      </c>
      <c r="C7" s="2">
        <f>A3/1*1</f>
        <v>1</v>
      </c>
      <c r="D7" t="s">
        <v>0</v>
      </c>
      <c r="E7" s="3" t="s">
        <v>15</v>
      </c>
      <c r="F7" s="2" t="s">
        <v>15</v>
      </c>
      <c r="G7" s="2">
        <f>394</f>
        <v>394</v>
      </c>
      <c r="H7" s="2">
        <f>C7*G7</f>
        <v>394</v>
      </c>
    </row>
    <row r="8" spans="1:10">
      <c r="B8" t="s">
        <v>115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123</f>
        <v>123</v>
      </c>
      <c r="H8" s="2">
        <f>C8*G8</f>
        <v>123</v>
      </c>
    </row>
    <row r="9" spans="1:10">
      <c r="B9" t="s">
        <v>121</v>
      </c>
      <c r="C9" s="2">
        <f>A3/1*1</f>
        <v>1</v>
      </c>
      <c r="D9" t="s">
        <v>0</v>
      </c>
      <c r="E9" s="3" t="s">
        <v>15</v>
      </c>
      <c r="F9" s="2" t="s">
        <v>15</v>
      </c>
      <c r="G9" s="2">
        <f>5015</f>
        <v>5015</v>
      </c>
      <c r="H9" s="2">
        <f>C9*G9</f>
        <v>5015</v>
      </c>
    </row>
    <row r="10" spans="1:10">
      <c r="B10" s="8" t="s">
        <v>19</v>
      </c>
      <c r="H10" s="9">
        <f>SUM(H7:H9)</f>
        <v>5532</v>
      </c>
      <c r="J10" s="4">
        <f>H10*1.21</f>
        <v>6693.72</v>
      </c>
    </row>
    <row r="11" spans="1:10">
      <c r="A11" s="8" t="s">
        <v>20</v>
      </c>
      <c r="B11" s="8" t="s">
        <v>21</v>
      </c>
      <c r="H11" s="9" t="str">
        <f ca="1">H6+H10</f>
        <v/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63FC-EC51-4FE6-91F8-BB31B79AD71B}">
  <dimension ref="A1:J11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86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122</v>
      </c>
    </row>
    <row r="3" spans="1:10">
      <c r="A3">
        <v>1</v>
      </c>
      <c r="B3" t="s">
        <v>0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120</v>
      </c>
      <c r="C7" s="2">
        <f>A3/1*1</f>
        <v>1</v>
      </c>
      <c r="D7" t="s">
        <v>0</v>
      </c>
      <c r="E7" s="3" t="s">
        <v>15</v>
      </c>
      <c r="F7" s="2" t="s">
        <v>15</v>
      </c>
      <c r="G7" s="2">
        <f>394</f>
        <v>394</v>
      </c>
      <c r="H7" s="2">
        <f>C7*G7</f>
        <v>394</v>
      </c>
    </row>
    <row r="8" spans="1:10">
      <c r="B8" t="s">
        <v>115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123</f>
        <v>123</v>
      </c>
      <c r="H8" s="2">
        <f>C8*G8</f>
        <v>123</v>
      </c>
    </row>
    <row r="9" spans="1:10">
      <c r="B9" t="s">
        <v>123</v>
      </c>
      <c r="C9" s="2">
        <f>A3/1*1</f>
        <v>1</v>
      </c>
      <c r="D9" t="s">
        <v>0</v>
      </c>
      <c r="E9" s="3" t="s">
        <v>15</v>
      </c>
      <c r="F9" s="2" t="s">
        <v>15</v>
      </c>
      <c r="G9" s="2">
        <f>(135876/10)</f>
        <v>13587.6</v>
      </c>
      <c r="H9" s="2">
        <f>C9*G9</f>
        <v>13587.6</v>
      </c>
    </row>
    <row r="10" spans="1:10">
      <c r="B10" s="8" t="s">
        <v>19</v>
      </c>
      <c r="H10" s="9">
        <f>SUM(H7:H9)</f>
        <v>14104.6</v>
      </c>
      <c r="J10" s="4">
        <f>H10*1.21</f>
        <v>17066.565999999999</v>
      </c>
    </row>
    <row r="11" spans="1:10">
      <c r="A11" s="8" t="s">
        <v>20</v>
      </c>
      <c r="B11" s="8" t="s">
        <v>21</v>
      </c>
      <c r="H11" s="9" t="str">
        <f ca="1">H6+H10</f>
        <v/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6034-7E74-4159-B242-41F688050607}">
  <dimension ref="A1:J9"/>
  <sheetViews>
    <sheetView topLeftCell="E1" workbookViewId="0">
      <selection activeCell="L25" sqref="L25"/>
    </sheetView>
  </sheetViews>
  <sheetFormatPr defaultRowHeight="15"/>
  <cols>
    <col min="1" max="1" width="17.85546875" customWidth="1"/>
    <col min="2" max="2" width="47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124</v>
      </c>
    </row>
    <row r="3" spans="1:10">
      <c r="A3">
        <v>1</v>
      </c>
      <c r="B3" t="s">
        <v>0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125</v>
      </c>
      <c r="C7" s="2">
        <f>A3/1*1</f>
        <v>1</v>
      </c>
      <c r="D7" t="s">
        <v>0</v>
      </c>
      <c r="E7" s="3" t="s">
        <v>15</v>
      </c>
      <c r="F7" s="2" t="s">
        <v>15</v>
      </c>
      <c r="G7" s="2">
        <f>255</f>
        <v>255</v>
      </c>
      <c r="H7" s="2">
        <f>C7*G7</f>
        <v>255</v>
      </c>
    </row>
    <row r="8" spans="1:10">
      <c r="B8" s="8" t="s">
        <v>19</v>
      </c>
      <c r="H8" s="9">
        <f>SUM(H7:H7)</f>
        <v>255</v>
      </c>
      <c r="J8" s="4">
        <f>H8*1.21</f>
        <v>308.55</v>
      </c>
    </row>
    <row r="9" spans="1:10">
      <c r="A9" s="8" t="s">
        <v>20</v>
      </c>
      <c r="B9" s="8" t="s">
        <v>21</v>
      </c>
      <c r="H9" s="9" t="str">
        <f ca="1">H6+H8</f>
        <v/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DF8C-398E-494A-B374-A0CCA98DC3B4}">
  <dimension ref="A1:L14"/>
  <sheetViews>
    <sheetView topLeftCell="B1" workbookViewId="0">
      <selection activeCell="J8" sqref="J8:L12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8" t="s">
        <v>126</v>
      </c>
    </row>
    <row r="3" spans="1:12">
      <c r="A3">
        <v>1</v>
      </c>
      <c r="B3" t="s">
        <v>0</v>
      </c>
    </row>
    <row r="5" spans="1:1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2">
      <c r="A6" s="8" t="s">
        <v>9</v>
      </c>
      <c r="B6" t="s">
        <v>23</v>
      </c>
      <c r="C6" s="2">
        <f>A3/1*3000/1000</f>
        <v>3</v>
      </c>
      <c r="D6" t="s">
        <v>24</v>
      </c>
      <c r="E6" s="3">
        <f>10000/10000</f>
        <v>1</v>
      </c>
      <c r="F6" s="2">
        <f>C6*E6</f>
        <v>3</v>
      </c>
      <c r="G6" s="2">
        <f>52200/1000</f>
        <v>52.2</v>
      </c>
      <c r="H6" s="2">
        <f>F6*G6</f>
        <v>156.60000000000002</v>
      </c>
    </row>
    <row r="7" spans="1:12">
      <c r="B7" t="s">
        <v>25</v>
      </c>
      <c r="C7" s="2">
        <f>A3/1*2000/1000</f>
        <v>2</v>
      </c>
      <c r="D7" t="s">
        <v>24</v>
      </c>
      <c r="E7" s="3">
        <f>10000/10000</f>
        <v>1</v>
      </c>
      <c r="F7" s="2">
        <f>C7*E7</f>
        <v>2</v>
      </c>
      <c r="G7" s="2">
        <f>52200/1000</f>
        <v>52.2</v>
      </c>
      <c r="H7" s="2">
        <f>F7*G7</f>
        <v>104.4</v>
      </c>
    </row>
    <row r="8" spans="1:12">
      <c r="B8" s="8" t="s">
        <v>13</v>
      </c>
      <c r="F8" s="9">
        <f>SUM(F6:F7)</f>
        <v>5</v>
      </c>
      <c r="H8" s="9">
        <f>SUM(H6:H7)</f>
        <v>261</v>
      </c>
      <c r="J8" s="4">
        <f>H8*1.17</f>
        <v>305.37</v>
      </c>
    </row>
    <row r="9" spans="1:12">
      <c r="A9" s="8" t="s">
        <v>14</v>
      </c>
      <c r="B9" t="s">
        <v>18</v>
      </c>
      <c r="C9" s="2">
        <f>A3/1*1</f>
        <v>1</v>
      </c>
      <c r="D9" t="s">
        <v>12</v>
      </c>
      <c r="E9" s="3" t="s">
        <v>15</v>
      </c>
      <c r="F9" s="2" t="s">
        <v>15</v>
      </c>
      <c r="G9" s="2">
        <f>50</f>
        <v>50</v>
      </c>
      <c r="H9" s="2">
        <f>C9*G9</f>
        <v>50</v>
      </c>
    </row>
    <row r="10" spans="1:12">
      <c r="B10" s="8" t="s">
        <v>19</v>
      </c>
      <c r="H10" s="9">
        <f>SUM(H9:H9)</f>
        <v>50</v>
      </c>
      <c r="J10" s="4">
        <f>H10*1.17</f>
        <v>58.5</v>
      </c>
    </row>
    <row r="11" spans="1:12">
      <c r="A11" s="8" t="s">
        <v>20</v>
      </c>
      <c r="B11" s="8" t="s">
        <v>21</v>
      </c>
      <c r="H11" s="9">
        <f>H8+H10</f>
        <v>311</v>
      </c>
      <c r="J11" s="4">
        <f>H11*1.17</f>
        <v>363.87</v>
      </c>
      <c r="L11" s="4">
        <f>J11*1.21</f>
        <v>440.28269999999998</v>
      </c>
    </row>
    <row r="13" spans="1:12">
      <c r="J13" s="4"/>
    </row>
    <row r="14" spans="1:12">
      <c r="J14" s="4"/>
      <c r="L14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BEF8-6A54-4B75-B60C-C791DEE38746}">
  <dimension ref="A1:L11"/>
  <sheetViews>
    <sheetView topLeftCell="C1" workbookViewId="0">
      <selection activeCell="L11" sqref="L11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8" t="s">
        <v>127</v>
      </c>
    </row>
    <row r="3" spans="1:12">
      <c r="A3">
        <v>1</v>
      </c>
      <c r="B3" t="s">
        <v>0</v>
      </c>
    </row>
    <row r="5" spans="1:1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2">
      <c r="A6" s="8" t="s">
        <v>9</v>
      </c>
      <c r="B6" t="s">
        <v>23</v>
      </c>
      <c r="C6" s="2">
        <f>A3/1*4000/1000</f>
        <v>4</v>
      </c>
      <c r="D6" t="s">
        <v>24</v>
      </c>
      <c r="E6" s="3">
        <f>10000/10000</f>
        <v>1</v>
      </c>
      <c r="F6" s="2">
        <f>C6*E6</f>
        <v>4</v>
      </c>
      <c r="G6" s="2">
        <f>52200/1000</f>
        <v>52.2</v>
      </c>
      <c r="H6" s="2">
        <f>F6*G6</f>
        <v>208.8</v>
      </c>
    </row>
    <row r="7" spans="1:12">
      <c r="B7" t="s">
        <v>25</v>
      </c>
      <c r="C7" s="2">
        <f>A3/1*3000/1000</f>
        <v>3</v>
      </c>
      <c r="D7" t="s">
        <v>24</v>
      </c>
      <c r="E7" s="3">
        <f>10000/10000</f>
        <v>1</v>
      </c>
      <c r="F7" s="2">
        <f>C7*E7</f>
        <v>3</v>
      </c>
      <c r="G7" s="2">
        <f>52200/1000</f>
        <v>52.2</v>
      </c>
      <c r="H7" s="2">
        <f>F7*G7</f>
        <v>156.60000000000002</v>
      </c>
    </row>
    <row r="8" spans="1:12">
      <c r="B8" s="8" t="s">
        <v>13</v>
      </c>
      <c r="F8" s="9">
        <f>SUM(F6:F7)</f>
        <v>7</v>
      </c>
      <c r="H8" s="9">
        <f>SUM(H6:H7)</f>
        <v>365.40000000000003</v>
      </c>
      <c r="J8" s="4">
        <f>H8*1.17</f>
        <v>427.51800000000003</v>
      </c>
    </row>
    <row r="9" spans="1:12">
      <c r="A9" s="8" t="s">
        <v>14</v>
      </c>
      <c r="B9" t="s">
        <v>18</v>
      </c>
      <c r="C9" s="2">
        <f>A3/1*1</f>
        <v>1</v>
      </c>
      <c r="D9" t="s">
        <v>12</v>
      </c>
      <c r="E9" s="3" t="s">
        <v>15</v>
      </c>
      <c r="F9" s="2" t="s">
        <v>15</v>
      </c>
      <c r="G9" s="2">
        <f>50</f>
        <v>50</v>
      </c>
      <c r="H9" s="2">
        <f>C9*G9</f>
        <v>50</v>
      </c>
    </row>
    <row r="10" spans="1:12">
      <c r="B10" s="8" t="s">
        <v>19</v>
      </c>
      <c r="H10" s="9">
        <f>SUM(H9:H9)</f>
        <v>50</v>
      </c>
      <c r="J10" s="4">
        <f>H10*1.17</f>
        <v>58.5</v>
      </c>
    </row>
    <row r="11" spans="1:12">
      <c r="A11" s="8" t="s">
        <v>20</v>
      </c>
      <c r="B11" s="8" t="s">
        <v>21</v>
      </c>
      <c r="H11" s="9">
        <f>H8+H10</f>
        <v>415.40000000000003</v>
      </c>
      <c r="J11" s="4">
        <f>H11*1.17</f>
        <v>486.01800000000003</v>
      </c>
      <c r="L11" s="4">
        <f>J11*1.21</f>
        <v>588.08177999999998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FB97-115A-41AE-8E97-1B6DB41EFD9B}">
  <dimension ref="A1:J9"/>
  <sheetViews>
    <sheetView topLeftCell="D1" workbookViewId="0">
      <selection activeCell="J8" sqref="J8"/>
    </sheetView>
  </sheetViews>
  <sheetFormatPr defaultRowHeight="15"/>
  <cols>
    <col min="1" max="1" width="17.85546875" customWidth="1"/>
    <col min="2" max="2" width="49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128</v>
      </c>
    </row>
    <row r="3" spans="1:10">
      <c r="A3">
        <v>1</v>
      </c>
      <c r="B3" t="s">
        <v>24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129</v>
      </c>
      <c r="C7" s="2">
        <f>A3/1*1</f>
        <v>1</v>
      </c>
      <c r="D7" t="s">
        <v>24</v>
      </c>
      <c r="E7" s="3" t="s">
        <v>15</v>
      </c>
      <c r="F7" s="2" t="s">
        <v>15</v>
      </c>
      <c r="G7" s="2">
        <f>55</f>
        <v>55</v>
      </c>
      <c r="H7" s="2">
        <f>C7*G7</f>
        <v>55</v>
      </c>
    </row>
    <row r="8" spans="1:10">
      <c r="B8" s="8" t="s">
        <v>19</v>
      </c>
      <c r="H8" s="9">
        <f>SUM(H7:H7)</f>
        <v>55</v>
      </c>
      <c r="J8" s="4">
        <f>H8*1.21</f>
        <v>66.55</v>
      </c>
    </row>
    <row r="9" spans="1:10">
      <c r="A9" s="8" t="s">
        <v>20</v>
      </c>
      <c r="B9" s="8" t="s">
        <v>21</v>
      </c>
      <c r="H9" s="9" t="str">
        <f ca="1">H6+H8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2E61-C9AF-46B9-BB84-3CA3A85666BF}">
  <dimension ref="A1:L11"/>
  <sheetViews>
    <sheetView topLeftCell="C1" workbookViewId="0">
      <selection activeCell="J7" sqref="J7:L13"/>
    </sheetView>
  </sheetViews>
  <sheetFormatPr defaultRowHeight="15"/>
  <cols>
    <col min="1" max="1" width="17.85546875" customWidth="1"/>
    <col min="2" max="2" width="45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48</v>
      </c>
    </row>
    <row r="3" spans="1:12">
      <c r="A3">
        <v>2</v>
      </c>
      <c r="B3" t="s">
        <v>11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49</v>
      </c>
      <c r="C6" s="2">
        <f>A3/2*2000/1000</f>
        <v>2</v>
      </c>
      <c r="D6" t="s">
        <v>11</v>
      </c>
      <c r="E6" s="3">
        <f>3000/10000</f>
        <v>0.3</v>
      </c>
      <c r="F6" s="2">
        <f>C6*E6</f>
        <v>0.6</v>
      </c>
      <c r="G6" s="2">
        <v>48.72</v>
      </c>
      <c r="H6" s="2">
        <f>F6*G6</f>
        <v>29.231999999999999</v>
      </c>
    </row>
    <row r="7" spans="1:12">
      <c r="B7" s="1" t="s">
        <v>13</v>
      </c>
      <c r="F7" s="4">
        <f>SUM(F6:F6)</f>
        <v>0.6</v>
      </c>
      <c r="H7" s="4">
        <f>SUM(H6:H6)</f>
        <v>29.231999999999999</v>
      </c>
      <c r="J7" s="4">
        <f>H7*1.17</f>
        <v>34.201439999999998</v>
      </c>
    </row>
    <row r="8" spans="1:12">
      <c r="A8" s="1" t="s">
        <v>14</v>
      </c>
      <c r="B8" t="s">
        <v>50</v>
      </c>
      <c r="C8" s="2">
        <f>A3/2*2</f>
        <v>2</v>
      </c>
      <c r="D8" t="s">
        <v>11</v>
      </c>
      <c r="E8" s="3" t="s">
        <v>15</v>
      </c>
      <c r="F8" s="2" t="s">
        <v>15</v>
      </c>
      <c r="G8" s="2">
        <f>(256/10)</f>
        <v>25.6</v>
      </c>
      <c r="H8" s="2">
        <f>C8*G8</f>
        <v>51.2</v>
      </c>
    </row>
    <row r="9" spans="1:12">
      <c r="B9" t="s">
        <v>42</v>
      </c>
      <c r="C9" s="2">
        <f>A3/2*1</f>
        <v>1</v>
      </c>
      <c r="D9" t="s">
        <v>12</v>
      </c>
      <c r="E9" s="3" t="s">
        <v>15</v>
      </c>
      <c r="F9" s="2" t="s">
        <v>15</v>
      </c>
      <c r="G9" s="2">
        <f>10</f>
        <v>10</v>
      </c>
      <c r="H9" s="2">
        <f>C9*G9</f>
        <v>10</v>
      </c>
    </row>
    <row r="10" spans="1:12">
      <c r="B10" s="1" t="s">
        <v>19</v>
      </c>
      <c r="H10" s="4">
        <f>SUM(H8:H9)</f>
        <v>61.2</v>
      </c>
      <c r="J10" s="4">
        <f t="shared" ref="J10:J11" si="0">H10*1.17</f>
        <v>71.603999999999999</v>
      </c>
    </row>
    <row r="11" spans="1:12">
      <c r="A11" s="1" t="s">
        <v>20</v>
      </c>
      <c r="B11" s="1" t="s">
        <v>21</v>
      </c>
      <c r="H11" s="4">
        <f>H7+H10</f>
        <v>90.432000000000002</v>
      </c>
      <c r="J11" s="4">
        <f t="shared" si="0"/>
        <v>105.80543999999999</v>
      </c>
      <c r="L11" s="4">
        <f>J11*1.21</f>
        <v>128.02458239999999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C026-CA07-4774-A456-60FDDA0176BF}">
  <dimension ref="A1:J9"/>
  <sheetViews>
    <sheetView topLeftCell="F1" workbookViewId="0">
      <selection activeCell="J8" sqref="J8"/>
    </sheetView>
  </sheetViews>
  <sheetFormatPr defaultRowHeight="15"/>
  <cols>
    <col min="1" max="1" width="17.85546875" customWidth="1"/>
    <col min="2" max="2" width="49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130</v>
      </c>
    </row>
    <row r="3" spans="1:10">
      <c r="A3">
        <v>1</v>
      </c>
      <c r="B3" t="s">
        <v>24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129</v>
      </c>
      <c r="C7" s="2">
        <f>A3/1*(14/10)</f>
        <v>1.4</v>
      </c>
      <c r="D7" t="s">
        <v>24</v>
      </c>
      <c r="E7" s="3" t="s">
        <v>15</v>
      </c>
      <c r="F7" s="2" t="s">
        <v>15</v>
      </c>
      <c r="G7" s="2">
        <f>55</f>
        <v>55</v>
      </c>
      <c r="H7" s="2">
        <f>C7*G7</f>
        <v>77</v>
      </c>
    </row>
    <row r="8" spans="1:10">
      <c r="B8" s="8" t="s">
        <v>19</v>
      </c>
      <c r="H8" s="9">
        <f>SUM(H7:H7)</f>
        <v>77</v>
      </c>
      <c r="J8" s="4">
        <f>H8*1.21</f>
        <v>93.17</v>
      </c>
    </row>
    <row r="9" spans="1:10">
      <c r="A9" s="8" t="s">
        <v>20</v>
      </c>
      <c r="B9" s="8" t="s">
        <v>21</v>
      </c>
      <c r="H9" s="9" t="str">
        <f ca="1">H6+H8</f>
        <v/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4099-AFC5-4AFC-B78B-6FA5B07310B4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49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131</v>
      </c>
    </row>
    <row r="3" spans="1:10">
      <c r="A3">
        <v>1</v>
      </c>
      <c r="B3" t="s">
        <v>24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129</v>
      </c>
      <c r="C7" s="2">
        <f>A3/1*(185/100)</f>
        <v>1.85</v>
      </c>
      <c r="D7" t="s">
        <v>24</v>
      </c>
      <c r="E7" s="3" t="s">
        <v>15</v>
      </c>
      <c r="F7" s="2" t="s">
        <v>15</v>
      </c>
      <c r="G7" s="2">
        <f>55</f>
        <v>55</v>
      </c>
      <c r="H7" s="2">
        <f>C7*G7</f>
        <v>101.75</v>
      </c>
    </row>
    <row r="8" spans="1:10">
      <c r="B8" s="8" t="s">
        <v>19</v>
      </c>
      <c r="H8" s="9">
        <f>SUM(H7:H7)</f>
        <v>101.75</v>
      </c>
      <c r="J8" s="4">
        <f>H8*1.21</f>
        <v>123.11749999999999</v>
      </c>
    </row>
    <row r="9" spans="1:10">
      <c r="A9" s="8" t="s">
        <v>20</v>
      </c>
      <c r="B9" s="8" t="s">
        <v>21</v>
      </c>
      <c r="H9" s="9" t="str">
        <f ca="1">H6+H8</f>
        <v/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3389-96B1-4E28-A0C7-522FA0B27157}">
  <dimension ref="A1:J9"/>
  <sheetViews>
    <sheetView workbookViewId="0">
      <selection activeCell="F25" sqref="F25"/>
    </sheetView>
  </sheetViews>
  <sheetFormatPr defaultRowHeight="15"/>
  <cols>
    <col min="1" max="1" width="17.85546875" customWidth="1"/>
    <col min="2" max="2" width="29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8" t="s">
        <v>132</v>
      </c>
    </row>
    <row r="3" spans="1:10">
      <c r="A3">
        <v>1</v>
      </c>
      <c r="B3" t="s">
        <v>12</v>
      </c>
    </row>
    <row r="5" spans="1:10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10">
      <c r="A6" s="8" t="s">
        <v>9</v>
      </c>
      <c r="B6" s="8" t="s">
        <v>13</v>
      </c>
      <c r="F6" s="9" t="str">
        <f ca="1">SUM(F5:F6)</f>
        <v/>
      </c>
      <c r="H6" s="9" t="str">
        <f ca="1">SUM(H5:H6)</f>
        <v/>
      </c>
    </row>
    <row r="7" spans="1:10">
      <c r="A7" s="8" t="s">
        <v>14</v>
      </c>
      <c r="B7" t="s">
        <v>133</v>
      </c>
      <c r="C7" s="2">
        <f>A3/1*1</f>
        <v>1</v>
      </c>
      <c r="D7" t="s">
        <v>24</v>
      </c>
      <c r="E7" s="3" t="s">
        <v>15</v>
      </c>
      <c r="F7" s="2" t="s">
        <v>15</v>
      </c>
      <c r="G7" s="2">
        <f>45</f>
        <v>45</v>
      </c>
      <c r="H7" s="2">
        <f>C7*G7</f>
        <v>45</v>
      </c>
    </row>
    <row r="8" spans="1:10">
      <c r="B8" s="8" t="s">
        <v>19</v>
      </c>
      <c r="H8" s="9">
        <f>SUM(H7:H7)</f>
        <v>45</v>
      </c>
      <c r="J8" s="4">
        <f>H8*1.21</f>
        <v>54.449999999999996</v>
      </c>
    </row>
    <row r="9" spans="1:10">
      <c r="A9" s="8" t="s">
        <v>20</v>
      </c>
      <c r="B9" s="8" t="s">
        <v>21</v>
      </c>
      <c r="H9" s="9" t="str">
        <f ca="1">H6+H8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8C1B-DA97-4838-8E47-90EF647700DF}">
  <dimension ref="A1:L11"/>
  <sheetViews>
    <sheetView workbookViewId="0">
      <selection activeCell="J7" sqref="J7:L13"/>
    </sheetView>
  </sheetViews>
  <sheetFormatPr defaultRowHeight="15"/>
  <cols>
    <col min="1" max="1" width="17.85546875" customWidth="1"/>
    <col min="2" max="2" width="45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51</v>
      </c>
    </row>
    <row r="3" spans="1:12">
      <c r="A3">
        <v>4</v>
      </c>
      <c r="B3" t="s">
        <v>11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49</v>
      </c>
      <c r="C6" s="2">
        <f>A3/4*4000/1000</f>
        <v>4</v>
      </c>
      <c r="D6" t="s">
        <v>11</v>
      </c>
      <c r="E6" s="3">
        <f>3000/10000</f>
        <v>0.3</v>
      </c>
      <c r="F6" s="2">
        <f>C6*E6</f>
        <v>1.2</v>
      </c>
      <c r="G6" s="2">
        <v>48.72</v>
      </c>
      <c r="H6" s="2">
        <f>F6*G6</f>
        <v>58.463999999999999</v>
      </c>
    </row>
    <row r="7" spans="1:12">
      <c r="B7" s="1" t="s">
        <v>13</v>
      </c>
      <c r="F7" s="4">
        <f>SUM(F6:F6)</f>
        <v>1.2</v>
      </c>
      <c r="H7" s="4">
        <f>SUM(H6:H6)</f>
        <v>58.463999999999999</v>
      </c>
      <c r="J7" s="4">
        <f>H7*1.17</f>
        <v>68.402879999999996</v>
      </c>
    </row>
    <row r="8" spans="1:12">
      <c r="A8" s="1" t="s">
        <v>14</v>
      </c>
      <c r="B8" t="s">
        <v>50</v>
      </c>
      <c r="C8" s="2">
        <f>A3/4*4</f>
        <v>4</v>
      </c>
      <c r="D8" t="s">
        <v>11</v>
      </c>
      <c r="E8" s="3" t="s">
        <v>15</v>
      </c>
      <c r="F8" s="2" t="s">
        <v>15</v>
      </c>
      <c r="G8" s="2">
        <f>(256/10)</f>
        <v>25.6</v>
      </c>
      <c r="H8" s="2">
        <f>C8*G8</f>
        <v>102.4</v>
      </c>
    </row>
    <row r="9" spans="1:12">
      <c r="B9" t="s">
        <v>42</v>
      </c>
      <c r="C9" s="2">
        <f>A3/4*1</f>
        <v>1</v>
      </c>
      <c r="D9" t="s">
        <v>12</v>
      </c>
      <c r="E9" s="3" t="s">
        <v>15</v>
      </c>
      <c r="F9" s="2" t="s">
        <v>15</v>
      </c>
      <c r="G9" s="2">
        <f>20</f>
        <v>20</v>
      </c>
      <c r="H9" s="2">
        <f>C9*G9</f>
        <v>20</v>
      </c>
    </row>
    <row r="10" spans="1:12">
      <c r="B10" s="1" t="s">
        <v>19</v>
      </c>
      <c r="H10" s="4">
        <f>SUM(H8:H9)</f>
        <v>122.4</v>
      </c>
      <c r="J10" s="4">
        <f t="shared" ref="J10:J11" si="0">H10*1.17</f>
        <v>143.208</v>
      </c>
    </row>
    <row r="11" spans="1:12">
      <c r="A11" s="1" t="s">
        <v>20</v>
      </c>
      <c r="B11" s="1" t="s">
        <v>21</v>
      </c>
      <c r="H11" s="4">
        <f>H7+H10</f>
        <v>180.864</v>
      </c>
      <c r="J11" s="4">
        <f t="shared" si="0"/>
        <v>211.61087999999998</v>
      </c>
      <c r="L11" s="4">
        <f>J11*1.21</f>
        <v>256.04916479999997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7A36-FD50-40BA-B12E-EFA5854C975A}">
  <dimension ref="A1:L14"/>
  <sheetViews>
    <sheetView topLeftCell="C1" workbookViewId="0">
      <selection activeCell="J9" sqref="J9:L16"/>
    </sheetView>
  </sheetViews>
  <sheetFormatPr defaultRowHeight="15"/>
  <cols>
    <col min="1" max="1" width="17.85546875" customWidth="1"/>
    <col min="2" max="2" width="38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52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53</v>
      </c>
      <c r="C6" s="2">
        <f>A3/1*2000/1000</f>
        <v>2</v>
      </c>
      <c r="D6" t="s">
        <v>0</v>
      </c>
      <c r="E6" s="3">
        <f>10000/10000</f>
        <v>1</v>
      </c>
      <c r="F6" s="2">
        <f>C6*E6</f>
        <v>2</v>
      </c>
      <c r="G6" s="2">
        <v>48.72</v>
      </c>
      <c r="H6" s="2">
        <f>F6*G6</f>
        <v>97.44</v>
      </c>
    </row>
    <row r="7" spans="1:12">
      <c r="B7" t="s">
        <v>45</v>
      </c>
      <c r="C7" s="2">
        <f>A3/1*3000/1000</f>
        <v>3</v>
      </c>
      <c r="D7" t="s">
        <v>0</v>
      </c>
      <c r="E7" s="3">
        <f>1500/10000</f>
        <v>0.15</v>
      </c>
      <c r="F7" s="2">
        <f>C7*E7</f>
        <v>0.44999999999999996</v>
      </c>
      <c r="G7" s="2">
        <v>48.72</v>
      </c>
      <c r="H7" s="2">
        <f>F7*G7</f>
        <v>21.923999999999996</v>
      </c>
    </row>
    <row r="8" spans="1:12">
      <c r="B8" t="s">
        <v>44</v>
      </c>
      <c r="C8" s="2">
        <f>A3/1*4000/1000</f>
        <v>4</v>
      </c>
      <c r="D8" t="s">
        <v>11</v>
      </c>
      <c r="E8" s="3">
        <f>3500/10000</f>
        <v>0.35</v>
      </c>
      <c r="F8" s="2">
        <f>C8*E8</f>
        <v>1.4</v>
      </c>
      <c r="G8" s="2">
        <v>48.72</v>
      </c>
      <c r="H8" s="2">
        <f>F8*G8</f>
        <v>68.207999999999998</v>
      </c>
    </row>
    <row r="9" spans="1:12">
      <c r="B9" s="1" t="s">
        <v>13</v>
      </c>
      <c r="F9" s="4">
        <f>SUM(F6:F8)</f>
        <v>3.85</v>
      </c>
      <c r="H9" s="4">
        <f>SUM(H6:H8)</f>
        <v>187.572</v>
      </c>
      <c r="J9" s="4">
        <f>H9*1.17</f>
        <v>219.45923999999999</v>
      </c>
    </row>
    <row r="10" spans="1:12">
      <c r="A10" s="1" t="s">
        <v>14</v>
      </c>
      <c r="B10" t="s">
        <v>46</v>
      </c>
      <c r="C10" s="2">
        <f>A3/1*3</f>
        <v>3</v>
      </c>
      <c r="D10" t="s">
        <v>0</v>
      </c>
      <c r="E10" s="3" t="s">
        <v>15</v>
      </c>
      <c r="F10" s="2" t="s">
        <v>15</v>
      </c>
      <c r="G10" s="2">
        <f>(1593/100)</f>
        <v>15.93</v>
      </c>
      <c r="H10" s="2">
        <f>C10*G10</f>
        <v>47.79</v>
      </c>
    </row>
    <row r="11" spans="1:12">
      <c r="B11" t="s">
        <v>47</v>
      </c>
      <c r="C11" s="2">
        <f>A3/1*4</f>
        <v>4</v>
      </c>
      <c r="D11" t="s">
        <v>11</v>
      </c>
      <c r="E11" s="3" t="s">
        <v>15</v>
      </c>
      <c r="F11" s="2" t="s">
        <v>15</v>
      </c>
      <c r="G11" s="2">
        <f>(3276/100)</f>
        <v>32.76</v>
      </c>
      <c r="H11" s="2">
        <f>C11*G11</f>
        <v>131.04</v>
      </c>
    </row>
    <row r="12" spans="1:12">
      <c r="B12" t="s">
        <v>42</v>
      </c>
      <c r="C12" s="2">
        <f>A3/1*1</f>
        <v>1</v>
      </c>
      <c r="D12" t="s">
        <v>12</v>
      </c>
      <c r="E12" s="3" t="s">
        <v>15</v>
      </c>
      <c r="F12" s="2" t="s">
        <v>15</v>
      </c>
      <c r="G12" s="2">
        <f>10</f>
        <v>10</v>
      </c>
      <c r="H12" s="2">
        <f>C12*G12</f>
        <v>10</v>
      </c>
      <c r="J12" s="4"/>
    </row>
    <row r="13" spans="1:12">
      <c r="B13" s="1" t="s">
        <v>19</v>
      </c>
      <c r="H13" s="4">
        <f>SUM(H10:H12)</f>
        <v>188.82999999999998</v>
      </c>
      <c r="J13" s="4">
        <f t="shared" ref="J13:J14" si="0">H13*1.17</f>
        <v>220.93109999999996</v>
      </c>
    </row>
    <row r="14" spans="1:12">
      <c r="A14" s="1" t="s">
        <v>20</v>
      </c>
      <c r="B14" s="1" t="s">
        <v>21</v>
      </c>
      <c r="H14" s="4">
        <f>H9+H13</f>
        <v>376.40199999999999</v>
      </c>
      <c r="J14" s="4">
        <f t="shared" si="0"/>
        <v>440.39033999999998</v>
      </c>
      <c r="L14" s="4">
        <f>J14*1.21</f>
        <v>532.87231139999994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1386-4DFB-4D8D-8998-79FFFE9FC739}">
  <dimension ref="A1:L11"/>
  <sheetViews>
    <sheetView topLeftCell="F1" workbookViewId="0">
      <selection activeCell="J7" sqref="J7:L12"/>
    </sheetView>
  </sheetViews>
  <sheetFormatPr defaultRowHeight="15"/>
  <cols>
    <col min="1" max="1" width="17.85546875" customWidth="1"/>
    <col min="2" max="2" width="65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54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55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48.72</v>
      </c>
      <c r="H6" s="2">
        <f>F6*G6</f>
        <v>24.36</v>
      </c>
    </row>
    <row r="7" spans="1:12">
      <c r="B7" s="1" t="s">
        <v>13</v>
      </c>
      <c r="F7" s="4">
        <f>SUM(F6:F6)</f>
        <v>0.5</v>
      </c>
      <c r="H7" s="4">
        <f>SUM(H6:H6)</f>
        <v>24.36</v>
      </c>
      <c r="J7" s="4">
        <f>H7*1.17</f>
        <v>28.501199999999997</v>
      </c>
    </row>
    <row r="8" spans="1:12">
      <c r="A8" s="1" t="s">
        <v>14</v>
      </c>
      <c r="B8" t="s">
        <v>56</v>
      </c>
      <c r="C8" s="2">
        <f>A3/1*1</f>
        <v>1</v>
      </c>
      <c r="D8" t="s">
        <v>0</v>
      </c>
      <c r="E8" s="3" t="s">
        <v>15</v>
      </c>
      <c r="F8" s="2" t="s">
        <v>15</v>
      </c>
      <c r="G8" s="2">
        <f>(10686/100)</f>
        <v>106.86</v>
      </c>
      <c r="H8" s="2">
        <f>C8*G8</f>
        <v>106.86</v>
      </c>
    </row>
    <row r="9" spans="1:12">
      <c r="B9" t="s">
        <v>26</v>
      </c>
      <c r="C9" s="2">
        <f>A3/1*1</f>
        <v>1</v>
      </c>
      <c r="D9" t="s">
        <v>27</v>
      </c>
      <c r="E9" s="3" t="s">
        <v>15</v>
      </c>
      <c r="F9" s="2" t="s">
        <v>15</v>
      </c>
      <c r="G9" s="2">
        <f>(624/100)</f>
        <v>6.24</v>
      </c>
      <c r="H9" s="2">
        <f>C9*G9</f>
        <v>6.24</v>
      </c>
    </row>
    <row r="10" spans="1:12">
      <c r="B10" s="1" t="s">
        <v>19</v>
      </c>
      <c r="H10" s="4">
        <f>SUM(H8:H9)</f>
        <v>113.1</v>
      </c>
      <c r="J10" s="4">
        <f t="shared" ref="J10:J11" si="0">H10*1.17</f>
        <v>132.327</v>
      </c>
    </row>
    <row r="11" spans="1:12">
      <c r="A11" s="1" t="s">
        <v>20</v>
      </c>
      <c r="B11" s="1" t="s">
        <v>21</v>
      </c>
      <c r="H11" s="4">
        <f>H7+H10</f>
        <v>137.45999999999998</v>
      </c>
      <c r="J11" s="4">
        <f t="shared" si="0"/>
        <v>160.82819999999995</v>
      </c>
      <c r="L11" s="4">
        <f>J11*1.21</f>
        <v>194.60212199999992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E9CA-D6F8-4A31-AA09-12BF156B78E8}">
  <dimension ref="A1:L10"/>
  <sheetViews>
    <sheetView topLeftCell="C1" workbookViewId="0">
      <selection activeCell="J7" sqref="J7:L10"/>
    </sheetView>
  </sheetViews>
  <sheetFormatPr defaultRowHeight="15"/>
  <cols>
    <col min="1" max="1" width="17.85546875" customWidth="1"/>
    <col min="2" max="2" width="43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57</v>
      </c>
    </row>
    <row r="3" spans="1:12">
      <c r="A3">
        <v>1</v>
      </c>
      <c r="B3" t="s">
        <v>58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59</v>
      </c>
      <c r="C6" s="2">
        <f>A3/1*1000/1000</f>
        <v>1</v>
      </c>
      <c r="D6" t="s">
        <v>0</v>
      </c>
      <c r="E6" s="3">
        <f>80000/10000</f>
        <v>8</v>
      </c>
      <c r="F6" s="2">
        <f>C6*E6</f>
        <v>8</v>
      </c>
      <c r="G6" s="2">
        <v>52.2</v>
      </c>
      <c r="H6" s="2">
        <f>F6*G6</f>
        <v>417.6</v>
      </c>
    </row>
    <row r="7" spans="1:12">
      <c r="B7" s="1" t="s">
        <v>13</v>
      </c>
      <c r="F7" s="4">
        <f>SUM(F6:F6)</f>
        <v>8</v>
      </c>
      <c r="H7" s="4">
        <f>SUM(H6:H6)</f>
        <v>417.6</v>
      </c>
      <c r="J7" s="4">
        <f>H7*1.17</f>
        <v>488.59199999999998</v>
      </c>
    </row>
    <row r="8" spans="1:12">
      <c r="A8" s="1" t="s">
        <v>14</v>
      </c>
      <c r="B8" t="s">
        <v>18</v>
      </c>
      <c r="C8" s="2">
        <f>A3/1*1</f>
        <v>1</v>
      </c>
      <c r="D8" t="s">
        <v>12</v>
      </c>
      <c r="E8" s="3" t="s">
        <v>15</v>
      </c>
      <c r="F8" s="2" t="s">
        <v>15</v>
      </c>
      <c r="G8" s="2">
        <f>50</f>
        <v>50</v>
      </c>
      <c r="H8" s="2">
        <f>C8*G8</f>
        <v>50</v>
      </c>
    </row>
    <row r="9" spans="1:12">
      <c r="B9" s="1" t="s">
        <v>19</v>
      </c>
      <c r="H9" s="4">
        <f>SUM(H8:H8)</f>
        <v>50</v>
      </c>
      <c r="J9" s="4">
        <f t="shared" ref="J9:J10" si="0">H9*1.17</f>
        <v>58.5</v>
      </c>
    </row>
    <row r="10" spans="1:12">
      <c r="A10" s="1" t="s">
        <v>20</v>
      </c>
      <c r="B10" s="1" t="s">
        <v>21</v>
      </c>
      <c r="H10" s="4">
        <f>H7+H9</f>
        <v>467.6</v>
      </c>
      <c r="J10" s="4">
        <f t="shared" si="0"/>
        <v>547.09199999999998</v>
      </c>
      <c r="L10" s="4">
        <f>J10*1.21</f>
        <v>661.98131999999998</v>
      </c>
    </row>
  </sheetData>
  <pageMargins left="0.7" right="0.7" top="0.75" bottom="0.75" header="0.3" footer="0.3"/>
  <ignoredErrors>
    <ignoredError sqref="H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4514-F246-4037-8192-840A2BEED4BB}">
  <dimension ref="A1:L17"/>
  <sheetViews>
    <sheetView workbookViewId="0">
      <selection activeCell="L17" sqref="L17"/>
    </sheetView>
  </sheetViews>
  <sheetFormatPr defaultRowHeight="15"/>
  <cols>
    <col min="1" max="1" width="17.85546875" customWidth="1"/>
    <col min="2" max="2" width="82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60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10</v>
      </c>
      <c r="C6" s="2">
        <f>A3/1*5000/1000</f>
        <v>5</v>
      </c>
      <c r="D6" t="s">
        <v>11</v>
      </c>
      <c r="E6" s="3">
        <f>3000/10000</f>
        <v>0.3</v>
      </c>
      <c r="F6" s="2">
        <f>C6*E6</f>
        <v>1.5</v>
      </c>
      <c r="G6" s="2">
        <v>52.2</v>
      </c>
      <c r="H6" s="2">
        <f>F6*G6</f>
        <v>78.300000000000011</v>
      </c>
    </row>
    <row r="7" spans="1:12">
      <c r="B7" t="s">
        <v>61</v>
      </c>
      <c r="C7" s="2">
        <f>A3/1*1000/1000</f>
        <v>1</v>
      </c>
      <c r="D7" t="s">
        <v>0</v>
      </c>
      <c r="E7" s="3">
        <f>1500/10000</f>
        <v>0.15</v>
      </c>
      <c r="F7" s="2">
        <f>C7*E7</f>
        <v>0.15</v>
      </c>
      <c r="G7" s="2">
        <v>52.2</v>
      </c>
      <c r="H7" s="2">
        <f>F7*G7</f>
        <v>7.83</v>
      </c>
    </row>
    <row r="8" spans="1:12">
      <c r="B8" t="s">
        <v>62</v>
      </c>
      <c r="C8" s="2">
        <f>A3/1*1000/1000</f>
        <v>1</v>
      </c>
      <c r="D8" t="s">
        <v>0</v>
      </c>
      <c r="E8" s="3">
        <f>1700/10000</f>
        <v>0.17</v>
      </c>
      <c r="F8" s="2">
        <f>C8*E8</f>
        <v>0.17</v>
      </c>
      <c r="G8" s="2">
        <v>52.2</v>
      </c>
      <c r="H8" s="2">
        <f>F8*G8</f>
        <v>8.8740000000000006</v>
      </c>
    </row>
    <row r="9" spans="1:12">
      <c r="B9" t="s">
        <v>63</v>
      </c>
      <c r="C9" s="2">
        <f>A3/1*1000/1000</f>
        <v>1</v>
      </c>
      <c r="D9" t="s">
        <v>0</v>
      </c>
      <c r="E9" s="3">
        <f>5500/10000</f>
        <v>0.55000000000000004</v>
      </c>
      <c r="F9" s="2">
        <f>C9*E9</f>
        <v>0.55000000000000004</v>
      </c>
      <c r="G9" s="2">
        <v>52.2</v>
      </c>
      <c r="H9" s="2">
        <f>F9*G9</f>
        <v>28.710000000000004</v>
      </c>
    </row>
    <row r="10" spans="1:12">
      <c r="B10" s="1" t="s">
        <v>13</v>
      </c>
      <c r="F10" s="4">
        <f>SUM(F6:F9)</f>
        <v>2.37</v>
      </c>
      <c r="H10" s="4">
        <f>SUM(H6:H9)</f>
        <v>123.71400000000001</v>
      </c>
      <c r="J10" s="4">
        <f>H10*1.17</f>
        <v>144.74538000000001</v>
      </c>
    </row>
    <row r="11" spans="1:12">
      <c r="A11" s="1" t="s">
        <v>14</v>
      </c>
      <c r="B11" t="s">
        <v>16</v>
      </c>
      <c r="C11" s="2">
        <f>A3/1*5</f>
        <v>5</v>
      </c>
      <c r="D11" t="s">
        <v>11</v>
      </c>
      <c r="E11" s="3" t="s">
        <v>15</v>
      </c>
      <c r="F11" s="2" t="s">
        <v>15</v>
      </c>
      <c r="G11" s="2">
        <f>(293/100)</f>
        <v>2.93</v>
      </c>
      <c r="H11" s="2">
        <f>C11*G11</f>
        <v>14.65</v>
      </c>
    </row>
    <row r="12" spans="1:12">
      <c r="B12" t="s">
        <v>22</v>
      </c>
      <c r="C12" s="2">
        <f>A3/1*(195/10)</f>
        <v>19.5</v>
      </c>
      <c r="D12" t="s">
        <v>11</v>
      </c>
      <c r="E12" s="3" t="s">
        <v>15</v>
      </c>
      <c r="F12" s="2" t="s">
        <v>15</v>
      </c>
      <c r="G12" s="2">
        <f>(115/100)</f>
        <v>1.1499999999999999</v>
      </c>
      <c r="H12" s="2">
        <f>C12*G12</f>
        <v>22.424999999999997</v>
      </c>
      <c r="J12" s="4"/>
    </row>
    <row r="13" spans="1:12">
      <c r="B13" t="s">
        <v>64</v>
      </c>
      <c r="C13" s="2">
        <f>A3/1*1</f>
        <v>1</v>
      </c>
      <c r="D13" t="s">
        <v>0</v>
      </c>
      <c r="E13" s="3" t="s">
        <v>15</v>
      </c>
      <c r="F13" s="2" t="s">
        <v>15</v>
      </c>
      <c r="G13" s="2">
        <f>(282/100)</f>
        <v>2.82</v>
      </c>
      <c r="H13" s="2">
        <f>C13*G13</f>
        <v>2.82</v>
      </c>
      <c r="J13" s="4"/>
      <c r="L13" s="4"/>
    </row>
    <row r="14" spans="1:12">
      <c r="B14" t="s">
        <v>17</v>
      </c>
      <c r="C14" s="2">
        <f>A3/1*1</f>
        <v>1</v>
      </c>
      <c r="D14" t="s">
        <v>0</v>
      </c>
      <c r="E14" s="3" t="s">
        <v>15</v>
      </c>
      <c r="F14" s="2" t="s">
        <v>15</v>
      </c>
      <c r="G14" s="2">
        <f>(618/100)</f>
        <v>6.18</v>
      </c>
      <c r="H14" s="2">
        <f>C14*G14</f>
        <v>6.18</v>
      </c>
    </row>
    <row r="15" spans="1:12">
      <c r="B15" t="s">
        <v>65</v>
      </c>
      <c r="C15" s="2">
        <f>A3/1*1</f>
        <v>1</v>
      </c>
      <c r="D15" t="s">
        <v>12</v>
      </c>
      <c r="E15" s="3" t="s">
        <v>15</v>
      </c>
      <c r="F15" s="2" t="s">
        <v>15</v>
      </c>
      <c r="G15" s="2">
        <f>(35/10)</f>
        <v>3.5</v>
      </c>
      <c r="H15" s="2">
        <f>C15*G15</f>
        <v>3.5</v>
      </c>
    </row>
    <row r="16" spans="1:12">
      <c r="B16" s="1" t="s">
        <v>19</v>
      </c>
      <c r="H16" s="4">
        <f>SUM(H11:H15)</f>
        <v>49.574999999999996</v>
      </c>
      <c r="J16" s="4">
        <f t="shared" ref="J16:J17" si="0">H16*1.17</f>
        <v>58.002749999999992</v>
      </c>
    </row>
    <row r="17" spans="1:12">
      <c r="A17" s="1" t="s">
        <v>20</v>
      </c>
      <c r="B17" s="1" t="s">
        <v>21</v>
      </c>
      <c r="H17" s="4">
        <f>H10+H16</f>
        <v>173.28900000000002</v>
      </c>
      <c r="J17" s="4">
        <f t="shared" si="0"/>
        <v>202.74813</v>
      </c>
      <c r="L17" s="4">
        <f>J17*1.21</f>
        <v>245.3252373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9494-9FA1-4646-8732-A9EB21AF0B86}">
  <dimension ref="A1:L20"/>
  <sheetViews>
    <sheetView topLeftCell="G1" workbookViewId="0">
      <selection activeCell="J11" sqref="J11:L22"/>
    </sheetView>
  </sheetViews>
  <sheetFormatPr defaultRowHeight="15"/>
  <cols>
    <col min="1" max="1" width="17.85546875" customWidth="1"/>
    <col min="2" max="2" width="82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66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10</v>
      </c>
      <c r="C6" s="2">
        <f>A3/1*5000/1000</f>
        <v>5</v>
      </c>
      <c r="D6" t="s">
        <v>11</v>
      </c>
      <c r="E6" s="3">
        <f>3000/10000</f>
        <v>0.3</v>
      </c>
      <c r="F6" s="2">
        <f>C6*E6</f>
        <v>1.5</v>
      </c>
      <c r="G6" s="2">
        <v>52.2</v>
      </c>
      <c r="H6" s="2">
        <f>F6*G6</f>
        <v>78.300000000000011</v>
      </c>
    </row>
    <row r="7" spans="1:10">
      <c r="B7" t="s">
        <v>61</v>
      </c>
      <c r="C7" s="2">
        <f>A3/1*1000/1000</f>
        <v>1</v>
      </c>
      <c r="D7" t="s">
        <v>0</v>
      </c>
      <c r="E7" s="3">
        <f>1500/10000</f>
        <v>0.15</v>
      </c>
      <c r="F7" s="2">
        <f>C7*E7</f>
        <v>0.15</v>
      </c>
      <c r="G7" s="2">
        <v>52.2</v>
      </c>
      <c r="H7" s="2">
        <f>F7*G7</f>
        <v>7.83</v>
      </c>
    </row>
    <row r="8" spans="1:10">
      <c r="B8" t="s">
        <v>67</v>
      </c>
      <c r="C8" s="2">
        <f>A3/1*1000/1000</f>
        <v>1</v>
      </c>
      <c r="D8" t="s">
        <v>0</v>
      </c>
      <c r="E8" s="3">
        <f>20000/10000</f>
        <v>2</v>
      </c>
      <c r="F8" s="2">
        <f>C8*E8</f>
        <v>2</v>
      </c>
      <c r="G8" s="2">
        <v>52.2</v>
      </c>
      <c r="H8" s="2">
        <f>F8*G8</f>
        <v>104.4</v>
      </c>
    </row>
    <row r="9" spans="1:10">
      <c r="B9" t="s">
        <v>62</v>
      </c>
      <c r="C9" s="2">
        <f>A3/1*1000/1000</f>
        <v>1</v>
      </c>
      <c r="D9" t="s">
        <v>0</v>
      </c>
      <c r="E9" s="3">
        <f>1700/10000</f>
        <v>0.17</v>
      </c>
      <c r="F9" s="2">
        <f>C9*E9</f>
        <v>0.17</v>
      </c>
      <c r="G9" s="2">
        <v>52.2</v>
      </c>
      <c r="H9" s="2">
        <f>F9*G9</f>
        <v>8.8740000000000006</v>
      </c>
    </row>
    <row r="10" spans="1:10">
      <c r="B10" t="s">
        <v>63</v>
      </c>
      <c r="C10" s="2">
        <f>A3/1*1000/1000</f>
        <v>1</v>
      </c>
      <c r="D10" t="s">
        <v>0</v>
      </c>
      <c r="E10" s="3">
        <f>5500/10000</f>
        <v>0.55000000000000004</v>
      </c>
      <c r="F10" s="2">
        <f>C10*E10</f>
        <v>0.55000000000000004</v>
      </c>
      <c r="G10" s="2">
        <v>52.2</v>
      </c>
      <c r="H10" s="2">
        <f>F10*G10</f>
        <v>28.710000000000004</v>
      </c>
    </row>
    <row r="11" spans="1:10">
      <c r="B11" s="1" t="s">
        <v>13</v>
      </c>
      <c r="F11" s="4">
        <f>SUM(F6:F10)</f>
        <v>4.37</v>
      </c>
      <c r="H11" s="4">
        <f>SUM(H6:H10)</f>
        <v>228.11400000000003</v>
      </c>
      <c r="J11" s="4">
        <f>H11*1.17</f>
        <v>266.89338000000004</v>
      </c>
    </row>
    <row r="12" spans="1:10">
      <c r="A12" s="1" t="s">
        <v>14</v>
      </c>
      <c r="B12" t="s">
        <v>16</v>
      </c>
      <c r="C12" s="2">
        <f>A3/1*5</f>
        <v>5</v>
      </c>
      <c r="D12" t="s">
        <v>11</v>
      </c>
      <c r="E12" s="3" t="s">
        <v>15</v>
      </c>
      <c r="F12" s="2" t="s">
        <v>15</v>
      </c>
      <c r="G12" s="2">
        <f>(293/100)</f>
        <v>2.93</v>
      </c>
      <c r="H12" s="2">
        <f t="shared" ref="H12:H17" si="0">C12*G12</f>
        <v>14.65</v>
      </c>
    </row>
    <row r="13" spans="1:10">
      <c r="B13" t="s">
        <v>22</v>
      </c>
      <c r="C13" s="2">
        <f>A3/1*(195/10)</f>
        <v>19.5</v>
      </c>
      <c r="D13" t="s">
        <v>11</v>
      </c>
      <c r="E13" s="3" t="s">
        <v>15</v>
      </c>
      <c r="F13" s="2" t="s">
        <v>15</v>
      </c>
      <c r="G13" s="2">
        <f>(115/100)</f>
        <v>1.1499999999999999</v>
      </c>
      <c r="H13" s="2">
        <f t="shared" si="0"/>
        <v>22.424999999999997</v>
      </c>
    </row>
    <row r="14" spans="1:10">
      <c r="B14" t="s">
        <v>64</v>
      </c>
      <c r="C14" s="2">
        <f>A3/1*1</f>
        <v>1</v>
      </c>
      <c r="D14" t="s">
        <v>0</v>
      </c>
      <c r="E14" s="3" t="s">
        <v>15</v>
      </c>
      <c r="F14" s="2" t="s">
        <v>15</v>
      </c>
      <c r="G14" s="2">
        <f>(282/100)</f>
        <v>2.82</v>
      </c>
      <c r="H14" s="2">
        <f t="shared" si="0"/>
        <v>2.82</v>
      </c>
    </row>
    <row r="15" spans="1:10">
      <c r="B15" t="s">
        <v>17</v>
      </c>
      <c r="C15" s="2">
        <f>A3/1*1</f>
        <v>1</v>
      </c>
      <c r="D15" t="s">
        <v>0</v>
      </c>
      <c r="E15" s="3" t="s">
        <v>15</v>
      </c>
      <c r="F15" s="2" t="s">
        <v>15</v>
      </c>
      <c r="G15" s="2">
        <f>(618/100)</f>
        <v>6.18</v>
      </c>
      <c r="H15" s="2">
        <f t="shared" si="0"/>
        <v>6.18</v>
      </c>
    </row>
    <row r="16" spans="1:10">
      <c r="B16" t="s">
        <v>68</v>
      </c>
      <c r="C16" s="2">
        <f>A3/1*1</f>
        <v>1</v>
      </c>
      <c r="D16" t="s">
        <v>11</v>
      </c>
      <c r="E16" s="3" t="s">
        <v>15</v>
      </c>
      <c r="F16" s="2" t="s">
        <v>15</v>
      </c>
      <c r="G16" s="2">
        <f>(15552/100)</f>
        <v>155.52000000000001</v>
      </c>
      <c r="H16" s="2">
        <f t="shared" si="0"/>
        <v>155.52000000000001</v>
      </c>
    </row>
    <row r="17" spans="1:12">
      <c r="B17" t="s">
        <v>65</v>
      </c>
      <c r="C17" s="2">
        <f>A3/1*1</f>
        <v>1</v>
      </c>
      <c r="D17" t="s">
        <v>12</v>
      </c>
      <c r="E17" s="3" t="s">
        <v>15</v>
      </c>
      <c r="F17" s="2" t="s">
        <v>15</v>
      </c>
      <c r="G17" s="2">
        <f>(35/10)</f>
        <v>3.5</v>
      </c>
      <c r="H17" s="2">
        <f t="shared" si="0"/>
        <v>3.5</v>
      </c>
    </row>
    <row r="18" spans="1:12">
      <c r="B18" s="1" t="s">
        <v>19</v>
      </c>
      <c r="H18" s="4">
        <f>SUM(H12:H17)</f>
        <v>205.095</v>
      </c>
      <c r="J18" s="4">
        <f>H18*1.17</f>
        <v>239.96114999999998</v>
      </c>
    </row>
    <row r="19" spans="1:12">
      <c r="A19" s="1" t="s">
        <v>20</v>
      </c>
      <c r="B19" s="1" t="s">
        <v>21</v>
      </c>
      <c r="H19" s="4">
        <f>H11+H18</f>
        <v>433.20900000000006</v>
      </c>
      <c r="J19" s="4">
        <f>H19*1.17</f>
        <v>506.85453000000001</v>
      </c>
      <c r="L19" s="4">
        <f>J19*1.21</f>
        <v>613.29398130000004</v>
      </c>
    </row>
    <row r="20" spans="1:12">
      <c r="J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32</vt:i4>
      </vt:variant>
    </vt:vector>
  </HeadingPairs>
  <TitlesOfParts>
    <vt:vector size="32" baseType="lpstr">
      <vt:lpstr>H1</vt:lpstr>
      <vt:lpstr>H2</vt:lpstr>
      <vt:lpstr>H3</vt:lpstr>
      <vt:lpstr>H4</vt:lpstr>
      <vt:lpstr>H5</vt:lpstr>
      <vt:lpstr>H6</vt:lpstr>
      <vt:lpstr>H7</vt:lpstr>
      <vt:lpstr>H8</vt:lpstr>
      <vt:lpstr>H9</vt:lpstr>
      <vt:lpstr>H10</vt:lpstr>
      <vt:lpstr>H11</vt:lpstr>
      <vt:lpstr>H12</vt:lpstr>
      <vt:lpstr>H13</vt:lpstr>
      <vt:lpstr>H14</vt:lpstr>
      <vt:lpstr>H14a</vt:lpstr>
      <vt:lpstr>H15</vt:lpstr>
      <vt:lpstr>H16</vt:lpstr>
      <vt:lpstr>H17</vt:lpstr>
      <vt:lpstr>H18</vt:lpstr>
      <vt:lpstr>H19</vt:lpstr>
      <vt:lpstr>H20</vt:lpstr>
      <vt:lpstr>H21</vt:lpstr>
      <vt:lpstr>H22</vt:lpstr>
      <vt:lpstr>H23</vt:lpstr>
      <vt:lpstr>H24</vt:lpstr>
      <vt:lpstr>H25</vt:lpstr>
      <vt:lpstr>H26</vt:lpstr>
      <vt:lpstr>H27</vt:lpstr>
      <vt:lpstr>J1</vt:lpstr>
      <vt:lpstr>J2</vt:lpstr>
      <vt:lpstr>J3</vt:lpstr>
      <vt:lpstr>J4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2023-04-26T13:30:24Z</dcterms:modified>
</cp:coreProperties>
</file>