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ebinkovl.sharepoint.com/sites/Hoebink-OVL/Shared Documents/Zeist/152107 Aanbesteding verledding/Product/NVI/"/>
    </mc:Choice>
  </mc:AlternateContent>
  <xr:revisionPtr revIDLastSave="328" documentId="8_{F9915534-34FB-45BB-BF63-631C11BF5D38}" xr6:coauthVersionLast="47" xr6:coauthVersionMax="47" xr10:uidLastSave="{10406C15-8C06-43BF-9E71-2A4F3509D2DC}"/>
  <bookViews>
    <workbookView xWindow="-120" yWindow="-120" windowWidth="29040" windowHeight="15720" xr2:uid="{3202B32F-328C-7245-8EDC-B2A3DBFBEC8E}"/>
  </bookViews>
  <sheets>
    <sheet name="Toelichting" sheetId="20" r:id="rId1"/>
    <sheet name="Armatuurdata" sheetId="6" r:id="rId2"/>
    <sheet name="Techniek" sheetId="10" r:id="rId3"/>
    <sheet name="Maatschappelijk" sheetId="13" r:id="rId4"/>
    <sheet name="LCA-MKI" sheetId="11" r:id="rId5"/>
    <sheet name="Samenvatting" sheetId="18" r:id="rId6"/>
    <sheet name="bron van EPD" sheetId="16" r:id="rId7"/>
  </sheets>
  <definedNames>
    <definedName name="_Toc113271730" localSheetId="3">Maatschappelijk!$P$8</definedName>
    <definedName name="_xlnm.Print_Area" localSheetId="1">Armatuurdata!$A$1:$E$58</definedName>
    <definedName name="afstand">'LCA-MKI'!#REF!</definedName>
    <definedName name="CO_2">Maatschappelijk!$B$3:$C$6</definedName>
    <definedName name="GROENE_STROOM">Maatschappelijk!$B$21:$C$24</definedName>
    <definedName name="LCA_1">'bron van EPD'!$B$6:$J$16</definedName>
    <definedName name="LCA_2">'bron van EPD'!$L$5:$T$16</definedName>
    <definedName name="LCA_3">'bron van EPD'!$V$5:$AD$16</definedName>
    <definedName name="LCA_4">'bron van EPD'!$AF$5:$AN$16</definedName>
    <definedName name="LCA_5">'bron van EPD'!$AP$6:$AX$16</definedName>
    <definedName name="LCA_6">'bron van EPD'!$AZ$6:$BH$16</definedName>
    <definedName name="LCA_A">'LCA-MKI'!$M$16</definedName>
    <definedName name="LCA_B">'LCA-MKI'!$V$16</definedName>
    <definedName name="LCA_C">'LCA-MKI'!$AE$16</definedName>
    <definedName name="LCA_D">'LCA-MKI'!$AN$16</definedName>
    <definedName name="LCA_E">'LCA-MKI'!$AW$16</definedName>
    <definedName name="LCA_F">'LCA-MKI'!$BF$16</definedName>
    <definedName name="lca_score">#REF!</definedName>
    <definedName name="MKI">'LCA-MKI'!$C$19:$F$30</definedName>
    <definedName name="MVO">Maatschappelijk!$B$8:$C$12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Maatschappelijk!$B$13:$C$18</definedName>
    <definedName name="test">'bron van EPD'!$B$6:$K$24</definedName>
    <definedName name="tol">#REF!</definedName>
    <definedName name="trede_CO2">Maatschappelijk!$J$4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8" l="1"/>
  <c r="D21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S9" i="13"/>
  <c r="S4" i="13"/>
  <c r="E8" i="18"/>
  <c r="E7" i="18"/>
  <c r="I8" i="18" l="1"/>
  <c r="I7" i="18"/>
  <c r="R4" i="13"/>
  <c r="E15" i="10"/>
  <c r="R15" i="10" s="1"/>
  <c r="F5" i="11"/>
  <c r="G5" i="11"/>
  <c r="H5" i="11"/>
  <c r="I5" i="11"/>
  <c r="F6" i="11"/>
  <c r="G6" i="11"/>
  <c r="H6" i="11"/>
  <c r="I6" i="11"/>
  <c r="F7" i="11"/>
  <c r="G7" i="11"/>
  <c r="H7" i="11"/>
  <c r="I7" i="11"/>
  <c r="F8" i="11"/>
  <c r="G8" i="11"/>
  <c r="H8" i="11"/>
  <c r="I8" i="11"/>
  <c r="F9" i="11"/>
  <c r="G9" i="11"/>
  <c r="H9" i="11"/>
  <c r="I9" i="11"/>
  <c r="F10" i="11"/>
  <c r="G10" i="11"/>
  <c r="H10" i="11"/>
  <c r="I10" i="11"/>
  <c r="F11" i="11"/>
  <c r="G11" i="11"/>
  <c r="H11" i="11"/>
  <c r="I11" i="11"/>
  <c r="F12" i="11"/>
  <c r="G12" i="11"/>
  <c r="H12" i="11"/>
  <c r="I12" i="11"/>
  <c r="F13" i="11"/>
  <c r="G13" i="11"/>
  <c r="H13" i="11"/>
  <c r="I13" i="11"/>
  <c r="F14" i="11"/>
  <c r="G14" i="11"/>
  <c r="H14" i="11"/>
  <c r="I14" i="11"/>
  <c r="F15" i="11"/>
  <c r="G15" i="11"/>
  <c r="H15" i="11"/>
  <c r="I15" i="11"/>
  <c r="BB15" i="11"/>
  <c r="BA15" i="11"/>
  <c r="AZ15" i="11"/>
  <c r="AY15" i="11"/>
  <c r="BB14" i="11"/>
  <c r="BA14" i="11"/>
  <c r="AZ14" i="11"/>
  <c r="AY14" i="11"/>
  <c r="BB13" i="11"/>
  <c r="BA13" i="11"/>
  <c r="AZ13" i="11"/>
  <c r="AY13" i="11"/>
  <c r="BB12" i="11"/>
  <c r="BA12" i="11"/>
  <c r="AZ12" i="11"/>
  <c r="AY12" i="11"/>
  <c r="BB11" i="11"/>
  <c r="BA11" i="11"/>
  <c r="AZ11" i="11"/>
  <c r="AY11" i="11"/>
  <c r="BB10" i="11"/>
  <c r="BA10" i="11"/>
  <c r="AZ10" i="11"/>
  <c r="AY10" i="11"/>
  <c r="BB9" i="11"/>
  <c r="BA9" i="11"/>
  <c r="AZ9" i="11"/>
  <c r="AY9" i="11"/>
  <c r="BB8" i="11"/>
  <c r="BA8" i="11"/>
  <c r="AZ8" i="11"/>
  <c r="AY8" i="11"/>
  <c r="BB7" i="11"/>
  <c r="BA7" i="11"/>
  <c r="AZ7" i="11"/>
  <c r="AY7" i="11"/>
  <c r="BB6" i="11"/>
  <c r="BA6" i="11"/>
  <c r="AZ6" i="11"/>
  <c r="AY6" i="11"/>
  <c r="BB5" i="11"/>
  <c r="BA5" i="11"/>
  <c r="AZ5" i="11"/>
  <c r="AY5" i="11"/>
  <c r="AS15" i="11"/>
  <c r="AR15" i="11"/>
  <c r="AQ15" i="11"/>
  <c r="AP15" i="11"/>
  <c r="AS14" i="11"/>
  <c r="AR14" i="11"/>
  <c r="AQ14" i="11"/>
  <c r="AP14" i="11"/>
  <c r="AS13" i="11"/>
  <c r="AR13" i="11"/>
  <c r="AQ13" i="11"/>
  <c r="AP13" i="11"/>
  <c r="AS12" i="11"/>
  <c r="AR12" i="11"/>
  <c r="AQ12" i="11"/>
  <c r="AP12" i="11"/>
  <c r="AS11" i="11"/>
  <c r="AR11" i="11"/>
  <c r="AQ11" i="11"/>
  <c r="AP11" i="11"/>
  <c r="AS10" i="11"/>
  <c r="AR10" i="11"/>
  <c r="AQ10" i="11"/>
  <c r="AP10" i="11"/>
  <c r="AS9" i="11"/>
  <c r="AR9" i="11"/>
  <c r="AQ9" i="11"/>
  <c r="AP9" i="11"/>
  <c r="AS8" i="11"/>
  <c r="AR8" i="11"/>
  <c r="AQ8" i="11"/>
  <c r="AP8" i="11"/>
  <c r="AS7" i="11"/>
  <c r="AR7" i="11"/>
  <c r="AQ7" i="11"/>
  <c r="AP7" i="11"/>
  <c r="AS6" i="11"/>
  <c r="AR6" i="11"/>
  <c r="AQ6" i="11"/>
  <c r="AP6" i="11"/>
  <c r="AS5" i="11"/>
  <c r="AR5" i="11"/>
  <c r="AQ5" i="11"/>
  <c r="AP5" i="11"/>
  <c r="BA5" i="16"/>
  <c r="BB5" i="16" s="1"/>
  <c r="BC5" i="16" s="1"/>
  <c r="BD5" i="16" s="1"/>
  <c r="BE5" i="16" s="1"/>
  <c r="BF5" i="16" s="1"/>
  <c r="BG5" i="16" s="1"/>
  <c r="BH5" i="16" s="1"/>
  <c r="AQ5" i="16"/>
  <c r="AR5" i="16" s="1"/>
  <c r="AS5" i="16" s="1"/>
  <c r="AT5" i="16" s="1"/>
  <c r="AU5" i="16" s="1"/>
  <c r="AV5" i="16" s="1"/>
  <c r="AW5" i="16" s="1"/>
  <c r="AX5" i="16" s="1"/>
  <c r="AT5" i="11" l="1"/>
  <c r="AV5" i="11" l="1"/>
  <c r="Q20" i="10"/>
  <c r="Q19" i="10"/>
  <c r="Q18" i="10"/>
  <c r="Q17" i="10"/>
  <c r="Q16" i="10"/>
  <c r="Q15" i="10"/>
  <c r="Q14" i="10"/>
  <c r="Q13" i="10"/>
  <c r="Q12" i="10"/>
  <c r="Q11" i="10"/>
  <c r="Q10" i="10"/>
  <c r="Q9" i="10"/>
  <c r="Q8" i="10"/>
  <c r="Q7" i="10"/>
  <c r="J18" i="13" l="1"/>
  <c r="K18" i="13" s="1"/>
  <c r="D40" i="10"/>
  <c r="AA15" i="11"/>
  <c r="Z15" i="11"/>
  <c r="Y15" i="11"/>
  <c r="X15" i="11"/>
  <c r="AA14" i="11"/>
  <c r="Z14" i="11"/>
  <c r="Y14" i="11"/>
  <c r="X14" i="11"/>
  <c r="AA13" i="11"/>
  <c r="Z13" i="11"/>
  <c r="Y13" i="11"/>
  <c r="X13" i="11"/>
  <c r="AA12" i="11"/>
  <c r="Z12" i="11"/>
  <c r="Y12" i="11"/>
  <c r="X12" i="11"/>
  <c r="AA11" i="11"/>
  <c r="Z11" i="11"/>
  <c r="Y11" i="11"/>
  <c r="X11" i="11"/>
  <c r="AA10" i="11"/>
  <c r="Z10" i="11"/>
  <c r="Y10" i="11"/>
  <c r="X10" i="11"/>
  <c r="AA9" i="11"/>
  <c r="Z9" i="11"/>
  <c r="Y9" i="11"/>
  <c r="X9" i="11"/>
  <c r="AA8" i="11"/>
  <c r="Z8" i="11"/>
  <c r="Y8" i="11"/>
  <c r="X8" i="11"/>
  <c r="AA7" i="11"/>
  <c r="Z7" i="11"/>
  <c r="Y7" i="11"/>
  <c r="X7" i="11"/>
  <c r="AA6" i="11"/>
  <c r="Z6" i="11"/>
  <c r="Y6" i="11"/>
  <c r="X6" i="11"/>
  <c r="R15" i="11"/>
  <c r="Q15" i="11"/>
  <c r="P15" i="11"/>
  <c r="O15" i="11"/>
  <c r="R14" i="11"/>
  <c r="Q14" i="11"/>
  <c r="P14" i="11"/>
  <c r="O14" i="11"/>
  <c r="R13" i="11"/>
  <c r="Q13" i="11"/>
  <c r="P13" i="11"/>
  <c r="O13" i="11"/>
  <c r="R12" i="11"/>
  <c r="Q12" i="11"/>
  <c r="P12" i="11"/>
  <c r="O12" i="11"/>
  <c r="R11" i="11"/>
  <c r="Q11" i="11"/>
  <c r="P11" i="11"/>
  <c r="O11" i="11"/>
  <c r="R10" i="11"/>
  <c r="Q10" i="11"/>
  <c r="P10" i="11"/>
  <c r="O10" i="11"/>
  <c r="R9" i="11"/>
  <c r="Q9" i="11"/>
  <c r="P9" i="11"/>
  <c r="O9" i="11"/>
  <c r="R8" i="11"/>
  <c r="Q8" i="11"/>
  <c r="P8" i="11"/>
  <c r="O8" i="11"/>
  <c r="R7" i="11"/>
  <c r="Q7" i="11"/>
  <c r="P7" i="11"/>
  <c r="O7" i="11"/>
  <c r="R6" i="11"/>
  <c r="Q6" i="11"/>
  <c r="P6" i="11"/>
  <c r="O6" i="11"/>
  <c r="AJ15" i="11"/>
  <c r="AI15" i="11"/>
  <c r="AH15" i="11"/>
  <c r="AG15" i="11"/>
  <c r="AJ14" i="11"/>
  <c r="AI14" i="11"/>
  <c r="AH14" i="11"/>
  <c r="AG14" i="11"/>
  <c r="AJ13" i="11"/>
  <c r="AI13" i="11"/>
  <c r="AH13" i="11"/>
  <c r="AG13" i="11"/>
  <c r="AK13" i="11" s="1"/>
  <c r="AM13" i="11" s="1"/>
  <c r="AJ12" i="11"/>
  <c r="AI12" i="11"/>
  <c r="AH12" i="11"/>
  <c r="AG12" i="11"/>
  <c r="AJ11" i="11"/>
  <c r="AI11" i="11"/>
  <c r="AH11" i="11"/>
  <c r="AG11" i="11"/>
  <c r="AJ10" i="11"/>
  <c r="AI10" i="11"/>
  <c r="AH10" i="11"/>
  <c r="AG10" i="11"/>
  <c r="AK10" i="11" s="1"/>
  <c r="AM10" i="11" s="1"/>
  <c r="AJ9" i="11"/>
  <c r="AI9" i="11"/>
  <c r="AH9" i="11"/>
  <c r="AG9" i="11"/>
  <c r="AJ8" i="11"/>
  <c r="AI8" i="11"/>
  <c r="AH8" i="11"/>
  <c r="AG8" i="11"/>
  <c r="AJ7" i="11"/>
  <c r="AI7" i="11"/>
  <c r="AH7" i="11"/>
  <c r="AG7" i="11"/>
  <c r="AK7" i="11" s="1"/>
  <c r="AM7" i="11" s="1"/>
  <c r="AJ6" i="11"/>
  <c r="AI6" i="11"/>
  <c r="AH6" i="11"/>
  <c r="AG6" i="11"/>
  <c r="AJ5" i="11"/>
  <c r="AI5" i="11"/>
  <c r="AH5" i="11"/>
  <c r="AG5" i="11"/>
  <c r="AA5" i="11"/>
  <c r="Z5" i="11"/>
  <c r="Y5" i="11"/>
  <c r="X5" i="11"/>
  <c r="AK14" i="11"/>
  <c r="AM14" i="11" s="1"/>
  <c r="R5" i="11"/>
  <c r="Q5" i="11"/>
  <c r="P5" i="11"/>
  <c r="O5" i="11"/>
  <c r="R9" i="13"/>
  <c r="U20" i="10"/>
  <c r="U19" i="10"/>
  <c r="U18" i="10"/>
  <c r="U17" i="10"/>
  <c r="U16" i="10"/>
  <c r="U15" i="10"/>
  <c r="U14" i="10"/>
  <c r="U13" i="10"/>
  <c r="U12" i="10"/>
  <c r="U11" i="10"/>
  <c r="U10" i="10"/>
  <c r="U9" i="10"/>
  <c r="U8" i="10"/>
  <c r="U7" i="10"/>
  <c r="I8" i="10"/>
  <c r="C12" i="18"/>
  <c r="C14" i="18" s="1"/>
  <c r="AK11" i="11" l="1"/>
  <c r="AM11" i="11" s="1"/>
  <c r="AK6" i="11"/>
  <c r="AM6" i="11" s="1"/>
  <c r="AK9" i="11"/>
  <c r="AM9" i="11" s="1"/>
  <c r="AK12" i="11"/>
  <c r="AM12" i="11" s="1"/>
  <c r="AK15" i="11"/>
  <c r="AM15" i="11" s="1"/>
  <c r="AK8" i="11"/>
  <c r="AM8" i="11" s="1"/>
  <c r="H40" i="10"/>
  <c r="AK5" i="11"/>
  <c r="AM5" i="11" s="1"/>
  <c r="AN16" i="11" s="1"/>
  <c r="I20" i="10"/>
  <c r="I19" i="10"/>
  <c r="I18" i="10"/>
  <c r="I17" i="10"/>
  <c r="I16" i="10"/>
  <c r="I15" i="10"/>
  <c r="I14" i="10"/>
  <c r="I13" i="10"/>
  <c r="I12" i="10"/>
  <c r="I11" i="10"/>
  <c r="I10" i="10"/>
  <c r="I9" i="10"/>
  <c r="I7" i="10"/>
  <c r="E5" i="18" l="1"/>
  <c r="I5" i="18" s="1"/>
  <c r="F23" i="11"/>
  <c r="J21" i="10"/>
  <c r="E3" i="18" s="1"/>
  <c r="AK16" i="11"/>
  <c r="J14" i="13" l="1"/>
  <c r="K14" i="13" s="1"/>
  <c r="C18" i="13"/>
  <c r="C17" i="13"/>
  <c r="C16" i="13"/>
  <c r="C15" i="13"/>
  <c r="AB15" i="11"/>
  <c r="AD15" i="11" s="1"/>
  <c r="AB13" i="11"/>
  <c r="AD13" i="11" s="1"/>
  <c r="AB12" i="11"/>
  <c r="AD12" i="11" s="1"/>
  <c r="AB10" i="11"/>
  <c r="AD10" i="11" s="1"/>
  <c r="AB9" i="11"/>
  <c r="AD9" i="11" s="1"/>
  <c r="AB6" i="11"/>
  <c r="AD6" i="11" s="1"/>
  <c r="S8" i="11"/>
  <c r="U8" i="11" s="1"/>
  <c r="S7" i="11"/>
  <c r="U7" i="11" s="1"/>
  <c r="S12" i="11"/>
  <c r="U12" i="11" s="1"/>
  <c r="AG5" i="16"/>
  <c r="AH5" i="16" s="1"/>
  <c r="AI5" i="16" s="1"/>
  <c r="AJ5" i="16" s="1"/>
  <c r="AK5" i="16" s="1"/>
  <c r="AL5" i="16" s="1"/>
  <c r="AM5" i="16" s="1"/>
  <c r="AN5" i="16" s="1"/>
  <c r="W5" i="16"/>
  <c r="X5" i="16" s="1"/>
  <c r="Y5" i="16" s="1"/>
  <c r="Z5" i="16" s="1"/>
  <c r="AA5" i="16" s="1"/>
  <c r="AB5" i="16" s="1"/>
  <c r="AC5" i="16" s="1"/>
  <c r="AD5" i="16" s="1"/>
  <c r="M5" i="16"/>
  <c r="N5" i="16" s="1"/>
  <c r="O5" i="16" s="1"/>
  <c r="P5" i="16" s="1"/>
  <c r="Q5" i="16" s="1"/>
  <c r="R5" i="16" s="1"/>
  <c r="S5" i="16" s="1"/>
  <c r="T5" i="16" s="1"/>
  <c r="AB7" i="11"/>
  <c r="AD7" i="11" s="1"/>
  <c r="C5" i="16"/>
  <c r="D5" i="16" s="1"/>
  <c r="E5" i="16" s="1"/>
  <c r="F5" i="16" s="1"/>
  <c r="G5" i="16" s="1"/>
  <c r="H5" i="16" s="1"/>
  <c r="I5" i="16" s="1"/>
  <c r="J5" i="16" s="1"/>
  <c r="BC8" i="11" l="1"/>
  <c r="BE8" i="11" s="1"/>
  <c r="AT8" i="11"/>
  <c r="AV8" i="11" s="1"/>
  <c r="AT12" i="11"/>
  <c r="AV12" i="11" s="1"/>
  <c r="BC12" i="11"/>
  <c r="BE12" i="11" s="1"/>
  <c r="BC7" i="11"/>
  <c r="BE7" i="11" s="1"/>
  <c r="AT7" i="11"/>
  <c r="AV7" i="11" s="1"/>
  <c r="S5" i="11"/>
  <c r="U5" i="11" s="1"/>
  <c r="S6" i="11"/>
  <c r="U6" i="11" s="1"/>
  <c r="S9" i="11"/>
  <c r="U9" i="11" s="1"/>
  <c r="S11" i="11"/>
  <c r="U11" i="11" s="1"/>
  <c r="S13" i="11"/>
  <c r="U13" i="11" s="1"/>
  <c r="S14" i="11"/>
  <c r="U14" i="11" s="1"/>
  <c r="S15" i="11"/>
  <c r="U15" i="11" s="1"/>
  <c r="S10" i="11"/>
  <c r="U10" i="11" s="1"/>
  <c r="AB8" i="11"/>
  <c r="AD8" i="11" s="1"/>
  <c r="AB11" i="11"/>
  <c r="AD11" i="11" s="1"/>
  <c r="AB14" i="11"/>
  <c r="AD14" i="11" s="1"/>
  <c r="AB5" i="11"/>
  <c r="AD5" i="11" s="1"/>
  <c r="J19" i="13"/>
  <c r="K19" i="13" s="1"/>
  <c r="BC10" i="11" l="1"/>
  <c r="BE10" i="11" s="1"/>
  <c r="AT10" i="11"/>
  <c r="AV10" i="11" s="1"/>
  <c r="BC14" i="11"/>
  <c r="BE14" i="11" s="1"/>
  <c r="AT14" i="11"/>
  <c r="AV14" i="11" s="1"/>
  <c r="BC13" i="11"/>
  <c r="BE13" i="11" s="1"/>
  <c r="AT13" i="11"/>
  <c r="AV13" i="11" s="1"/>
  <c r="BC11" i="11"/>
  <c r="BE11" i="11" s="1"/>
  <c r="AT11" i="11"/>
  <c r="AV11" i="11" s="1"/>
  <c r="BC6" i="11"/>
  <c r="BE6" i="11" s="1"/>
  <c r="AT6" i="11"/>
  <c r="BC15" i="11"/>
  <c r="BE15" i="11" s="1"/>
  <c r="AT15" i="11"/>
  <c r="AV15" i="11" s="1"/>
  <c r="BC9" i="11"/>
  <c r="BE9" i="11" s="1"/>
  <c r="AT9" i="11"/>
  <c r="AV9" i="11" s="1"/>
  <c r="BC5" i="11"/>
  <c r="V16" i="11"/>
  <c r="AB16" i="11"/>
  <c r="S16" i="11"/>
  <c r="AE16" i="11"/>
  <c r="J15" i="11"/>
  <c r="L15" i="11" s="1"/>
  <c r="J14" i="11"/>
  <c r="L14" i="11" s="1"/>
  <c r="J13" i="11"/>
  <c r="L13" i="11" s="1"/>
  <c r="J12" i="11"/>
  <c r="L12" i="11" s="1"/>
  <c r="J11" i="11"/>
  <c r="L11" i="11" s="1"/>
  <c r="J10" i="11"/>
  <c r="L10" i="11" s="1"/>
  <c r="J9" i="11"/>
  <c r="L9" i="11" s="1"/>
  <c r="J8" i="11"/>
  <c r="L8" i="11" s="1"/>
  <c r="J7" i="11"/>
  <c r="L7" i="11" s="1"/>
  <c r="J6" i="11"/>
  <c r="L6" i="11" s="1"/>
  <c r="J5" i="11"/>
  <c r="L5" i="11" s="1"/>
  <c r="J9" i="13"/>
  <c r="J4" i="13"/>
  <c r="AV6" i="11" l="1"/>
  <c r="AW16" i="11" s="1"/>
  <c r="F24" i="11" s="1"/>
  <c r="AT16" i="11"/>
  <c r="F22" i="11"/>
  <c r="BC16" i="11"/>
  <c r="BE5" i="11"/>
  <c r="BF16" i="11" s="1"/>
  <c r="F25" i="11" s="1"/>
  <c r="F21" i="11" a="1"/>
  <c r="F21" i="11" s="1"/>
  <c r="K9" i="13"/>
  <c r="K4" i="13"/>
  <c r="K23" i="13" s="1"/>
  <c r="K24" i="13" s="1"/>
  <c r="J16" i="11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E16" i="10" l="1"/>
  <c r="R16" i="10" s="1"/>
  <c r="M16" i="11" l="1"/>
  <c r="F20" i="11" l="1"/>
  <c r="E20" i="10"/>
  <c r="R20" i="10" s="1"/>
  <c r="E19" i="10"/>
  <c r="R19" i="10" s="1"/>
  <c r="E18" i="10"/>
  <c r="R18" i="10" s="1"/>
  <c r="E17" i="10"/>
  <c r="R17" i="10" s="1"/>
  <c r="E14" i="10"/>
  <c r="R14" i="10" s="1"/>
  <c r="E13" i="10"/>
  <c r="R13" i="10" s="1"/>
  <c r="E12" i="10"/>
  <c r="R12" i="10" s="1"/>
  <c r="E11" i="10"/>
  <c r="R11" i="10" s="1"/>
  <c r="E10" i="10"/>
  <c r="R10" i="10" s="1"/>
  <c r="E9" i="10"/>
  <c r="R9" i="10" s="1"/>
  <c r="E8" i="10"/>
  <c r="R8" i="10" s="1"/>
  <c r="E7" i="10"/>
  <c r="R7" i="10" s="1"/>
  <c r="X7" i="10" l="1"/>
  <c r="X8" i="10"/>
  <c r="X19" i="10"/>
  <c r="X18" i="10"/>
  <c r="X17" i="10"/>
  <c r="X20" i="10"/>
  <c r="X15" i="10"/>
  <c r="X14" i="10"/>
  <c r="X9" i="10"/>
  <c r="X16" i="10"/>
  <c r="X12" i="10"/>
  <c r="X11" i="10"/>
  <c r="X10" i="10"/>
  <c r="X13" i="10"/>
  <c r="V7" i="10"/>
  <c r="V15" i="10"/>
  <c r="N15" i="10"/>
  <c r="N18" i="10"/>
  <c r="V18" i="10"/>
  <c r="N10" i="10"/>
  <c r="V10" i="10"/>
  <c r="N7" i="10"/>
  <c r="V19" i="10"/>
  <c r="N19" i="10"/>
  <c r="N13" i="10"/>
  <c r="V13" i="10"/>
  <c r="V16" i="10"/>
  <c r="N16" i="10"/>
  <c r="V8" i="10"/>
  <c r="N8" i="10"/>
  <c r="N20" i="10"/>
  <c r="V20" i="10"/>
  <c r="V14" i="10"/>
  <c r="N14" i="10"/>
  <c r="N17" i="10"/>
  <c r="V17" i="10"/>
  <c r="N9" i="10"/>
  <c r="V9" i="10"/>
  <c r="N11" i="10"/>
  <c r="V11" i="10"/>
  <c r="V12" i="10"/>
  <c r="N12" i="10"/>
  <c r="X21" i="10" l="1"/>
  <c r="E6" i="18" s="1"/>
  <c r="I6" i="18" s="1"/>
  <c r="N21" i="10"/>
  <c r="R21" i="10"/>
  <c r="V21" i="10"/>
  <c r="E4" i="18" l="1"/>
  <c r="I4" i="18"/>
  <c r="D29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<sst xmlns="http://schemas.openxmlformats.org/spreadsheetml/2006/main" count="540" uniqueCount="232">
  <si>
    <t>Kleurtemperatuur</t>
  </si>
  <si>
    <t>CIE 13.3</t>
  </si>
  <si>
    <t>EN 60598-1</t>
  </si>
  <si>
    <t>Rendement armatuur</t>
  </si>
  <si>
    <t>%</t>
  </si>
  <si>
    <t>K</t>
  </si>
  <si>
    <t>kg</t>
  </si>
  <si>
    <t>BIJLAGE - Aan te leveren DATASHEET</t>
  </si>
  <si>
    <t>Omschrijving</t>
  </si>
  <si>
    <t>Waarde(n)</t>
  </si>
  <si>
    <t>Invulkolom Leverancier</t>
  </si>
  <si>
    <t>Toelichting</t>
  </si>
  <si>
    <t>1. Algemene informatie</t>
  </si>
  <si>
    <t>Fabrikant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</si>
  <si>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</si>
  <si>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</si>
  <si>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</si>
  <si>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</si>
  <si>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</si>
  <si>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</si>
  <si>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</si>
  <si>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Levensduur driver</t>
  </si>
  <si>
    <t>h</t>
  </si>
  <si>
    <t>3. Fotometrische parameters</t>
  </si>
  <si>
    <t>lm</t>
  </si>
  <si>
    <t>lm/W</t>
  </si>
  <si>
    <t>CIE 15</t>
  </si>
  <si>
    <t>G / D Klasse</t>
  </si>
  <si>
    <t>Max inschakelstroom</t>
  </si>
  <si>
    <t>A</t>
  </si>
  <si>
    <t>Opgenomen vermogen</t>
  </si>
  <si>
    <t>W</t>
  </si>
  <si>
    <t>Power factor:        100% v.h. Vermogen</t>
  </si>
  <si>
    <t>Pf</t>
  </si>
  <si>
    <t>50%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</si>
  <si>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</si>
  <si>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</si>
  <si>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</si>
  <si>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</si>
  <si>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</si>
  <si>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Veiligheid van elektronische apparatuur</t>
  </si>
  <si>
    <t>Class I or II</t>
  </si>
  <si>
    <t>ENEC+ of Dekra keurmerk</t>
  </si>
  <si>
    <t>5. Omgevingscondities</t>
  </si>
  <si>
    <t>Dichtheid (IP)</t>
  </si>
  <si>
    <t xml:space="preserve">Slagvastheid (IK) </t>
  </si>
  <si>
    <t>EN 50102</t>
  </si>
  <si>
    <t>Gewicht (kg)  </t>
  </si>
  <si>
    <t>0,1 kg nauwkeurig</t>
  </si>
  <si>
    <t>Oppervlaktebehandeling  </t>
  </si>
  <si>
    <t>Poedercoating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</si>
  <si>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</si>
  <si>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</si>
  <si>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</si>
  <si>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</si>
  <si>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</si>
  <si>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</si>
  <si>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</si>
  <si>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Lichtstroom armatuur</t>
  </si>
  <si>
    <t>Kleurweergaveindex CRI</t>
  </si>
  <si>
    <t xml:space="preserve">Verblindingsindex classificatie </t>
  </si>
  <si>
    <t>SROI</t>
  </si>
  <si>
    <t>AP</t>
  </si>
  <si>
    <t>GWP</t>
  </si>
  <si>
    <t>EP</t>
  </si>
  <si>
    <t>ODP</t>
  </si>
  <si>
    <t>POCP</t>
  </si>
  <si>
    <t>Klimaatverandering</t>
  </si>
  <si>
    <t>A1</t>
  </si>
  <si>
    <t>A2</t>
  </si>
  <si>
    <t>A3</t>
  </si>
  <si>
    <t>Stroom bij een starthoek van de spanning van 90 graden.</t>
  </si>
  <si>
    <t>4. Elektrische parameters</t>
  </si>
  <si>
    <r>
      <t xml:space="preserve">Nominale waarde, netto bij Tq = 25 </t>
    </r>
    <r>
      <rPr>
        <vertAlign val="superscript"/>
        <sz val="12"/>
        <color theme="1"/>
        <rFont val="Segoe UI"/>
        <family val="2"/>
      </rPr>
      <t>o</t>
    </r>
    <r>
      <rPr>
        <sz val="12"/>
        <color theme="1"/>
        <rFont val="Segoe UI"/>
        <family val="2"/>
      </rPr>
      <t>C</t>
    </r>
  </si>
  <si>
    <t>Uw lichtstroom en wattage die het beste past bij het betreffende profiel,                                                                       dient u separaat op te geven in deze datasheet (regel 17 en 30)</t>
  </si>
  <si>
    <t>Verwachte levensduur complete armatuur</t>
  </si>
  <si>
    <t>Minimaal L90B10</t>
  </si>
  <si>
    <t>Zie EVO bestand</t>
  </si>
  <si>
    <t>Vermogen per km volgens EVO bestand</t>
  </si>
  <si>
    <t>Profiel</t>
  </si>
  <si>
    <t>aantal</t>
  </si>
  <si>
    <t>P/km</t>
  </si>
  <si>
    <t>score</t>
  </si>
  <si>
    <t>PROF. LORENTZLAAN</t>
  </si>
  <si>
    <t>OUDE POSTWEG</t>
  </si>
  <si>
    <t>KROOSTWEG</t>
  </si>
  <si>
    <t>ARISTOTELESLAAN</t>
  </si>
  <si>
    <t>DIJNSELBURGERLAAN</t>
  </si>
  <si>
    <t>JOHAN VAN OLDENBARNEVELTLAAN</t>
  </si>
  <si>
    <t>RUYSDAELLAAN</t>
  </si>
  <si>
    <t>OUDE ARNHEMSEWEG</t>
  </si>
  <si>
    <t>BURGEMEESTER PATIJNLAAN</t>
  </si>
  <si>
    <t>AUSTERLITZSEWEG</t>
  </si>
  <si>
    <t>REMBRANDTLAAN</t>
  </si>
  <si>
    <t>PLATOLAAN</t>
  </si>
  <si>
    <t>TAVEERNELAAN</t>
  </si>
  <si>
    <t>WARANDE</t>
  </si>
  <si>
    <t>Vermogen per km</t>
  </si>
  <si>
    <t>percentage</t>
  </si>
  <si>
    <t>G-klasse</t>
  </si>
  <si>
    <t>gewogen</t>
  </si>
  <si>
    <t>Uh</t>
  </si>
  <si>
    <t>INPUT VANUIT EPD</t>
  </si>
  <si>
    <t>ADPE</t>
  </si>
  <si>
    <t>Sb-eq</t>
  </si>
  <si>
    <t>ADPF</t>
  </si>
  <si>
    <t>CO2-eq</t>
  </si>
  <si>
    <t>CFC-11-eq</t>
  </si>
  <si>
    <t>ethene-eq</t>
  </si>
  <si>
    <t>SO2-eq</t>
  </si>
  <si>
    <t>PO43−-eq</t>
  </si>
  <si>
    <t>Giftige stoffen</t>
  </si>
  <si>
    <t>HTP</t>
  </si>
  <si>
    <t>1,4-DB-eq</t>
  </si>
  <si>
    <t>FAETP</t>
  </si>
  <si>
    <t>MAETP</t>
  </si>
  <si>
    <t>TETP</t>
  </si>
  <si>
    <t>Totaal</t>
  </si>
  <si>
    <t>Score maatschappelijk</t>
  </si>
  <si>
    <t>CO2 ladder</t>
  </si>
  <si>
    <t>MVO ladder</t>
  </si>
  <si>
    <t>Groene stroom %</t>
  </si>
  <si>
    <t>Imax70</t>
  </si>
  <si>
    <t>Grenswaarde Imax:</t>
  </si>
  <si>
    <t>Trede</t>
  </si>
  <si>
    <t>Dit dient per armatuurfamilie te worden ingevuld.</t>
  </si>
  <si>
    <t>A4</t>
  </si>
  <si>
    <t>A1-A4</t>
  </si>
  <si>
    <t>totaal fase A1 - A4</t>
  </si>
  <si>
    <t>Gebruik elektrische voertuigen</t>
  </si>
  <si>
    <t>PO4 3−-eq</t>
  </si>
  <si>
    <t>In het LCA blad wordt via vertikaal zoeken de inhoud op de juiste plek gezet en gescoord.</t>
  </si>
  <si>
    <t>MKI*</t>
  </si>
  <si>
    <t>EPD RAPPORT, omgezet naar EURO (MKI)</t>
  </si>
  <si>
    <t>rekenfactor obv SBK 2019</t>
  </si>
  <si>
    <t>Totaal bedrag</t>
  </si>
  <si>
    <t>In grijze vlak de EPD kopieren, omzetten naar kolommen (spatie als scheiding)</t>
  </si>
  <si>
    <t>Invultabel</t>
  </si>
  <si>
    <t>Armatuurtype A</t>
  </si>
  <si>
    <t>Typecodering leverancier</t>
  </si>
  <si>
    <t>Armatuurtype B</t>
  </si>
  <si>
    <t>Armatuurtype C</t>
  </si>
  <si>
    <t>*: type aangeven met A, B, C etc</t>
  </si>
  <si>
    <t>ARMATUURTYPE C</t>
  </si>
  <si>
    <t>ARMATUURTYPE B</t>
  </si>
  <si>
    <t>ARMATUURTYPE A</t>
  </si>
  <si>
    <t>LCA (gewogen obv aantal)</t>
  </si>
  <si>
    <t>Duurzaam internationaal ondernemen (zie par 2.2.1)</t>
  </si>
  <si>
    <t>ref vermogen</t>
  </si>
  <si>
    <t>max</t>
  </si>
  <si>
    <t>min</t>
  </si>
  <si>
    <t>max score</t>
  </si>
  <si>
    <t>Grenswaarde Uh:</t>
  </si>
  <si>
    <t>Beschrijving van scores</t>
  </si>
  <si>
    <t>Combi Uh, Imax en G-klasse</t>
  </si>
  <si>
    <t>Aantal armatuurtypes</t>
  </si>
  <si>
    <t>Levertijd nalevering</t>
  </si>
  <si>
    <t>LCA</t>
  </si>
  <si>
    <t>Prijs</t>
  </si>
  <si>
    <t>Niet voldoen aan duurzaam ondernemen</t>
  </si>
  <si>
    <t>Armatuurtype D</t>
  </si>
  <si>
    <t>Armatuurtype F</t>
  </si>
  <si>
    <t>Armatuurtype G</t>
  </si>
  <si>
    <t>Maatschappelijke aspecten</t>
  </si>
  <si>
    <t>Levertijd</t>
  </si>
  <si>
    <t>Code in dit document</t>
  </si>
  <si>
    <t>Toelichting / instructie bij deze bijlage C</t>
  </si>
  <si>
    <t>Doelstelling van de gemeente is te komen tot een verantwoorde keuze voor een armatuurtype als vervanging van de huidige conventionele verlichting</t>
  </si>
  <si>
    <t>Daartoe wordt gelet op producteigenschappen en aspecten van leveranciers</t>
  </si>
  <si>
    <t>Deze bijlage C vormt daarbij een belangrijk middel.</t>
  </si>
  <si>
    <t>In deze bijlage worden de voor de gemeente relevante aspecten benoemd en gescoord.</t>
  </si>
  <si>
    <t>Armatuurdata</t>
  </si>
  <si>
    <t>Schijnbaar vermogen</t>
  </si>
  <si>
    <t>Ps=U*I*sin(phi)</t>
  </si>
  <si>
    <t>Onder deze tab dienen in de rose kolom de relevante armatuureigenschappen opgegeven te worden</t>
  </si>
  <si>
    <t>Techniek</t>
  </si>
  <si>
    <t>Onderstaand een toelichting en uitleg voor deze bijlage, per tabblad</t>
  </si>
  <si>
    <t xml:space="preserve">In het aangeleverde Dialux-EVO bestand staan referentieprofielen opgenomen. </t>
  </si>
  <si>
    <t>Op basis van deze referentieprofielen bepaalt de inschrijver welk armatuur hij het beste acht voor dit profiel, waarbij voldaan wordt aan de aangegeven classificatie bij betreffende profiel</t>
  </si>
  <si>
    <t>Per profiel dienen de resultaten uit het EVO bestand ingevuld te worden in de witte cellen</t>
  </si>
  <si>
    <t>Conversietabel</t>
  </si>
  <si>
    <r>
      <t>Armatuurtype</t>
    </r>
    <r>
      <rPr>
        <b/>
        <sz val="11"/>
        <color rgb="FFFF0000"/>
        <rFont val="Calibri"/>
        <family val="2"/>
        <scheme val="minor"/>
      </rPr>
      <t>*</t>
    </r>
  </si>
  <si>
    <t>Het systeem werkt met armatuurcoderingen A, B, C etc. U dient in de conversietabel uw eigen typenummers daar aan te koppelen</t>
  </si>
  <si>
    <t>Maatschappelijk</t>
  </si>
  <si>
    <t>De score, gekoppeld aan uw resultaat wordt direct zichtbaar</t>
  </si>
  <si>
    <t>Ook hiervoor geldt dat de scores direct zichtbaar worden</t>
  </si>
  <si>
    <t>ARMATUURTYPE D</t>
  </si>
  <si>
    <t>De waarden worden dan overgenomen in de tab LCA en omgezet naar MKI</t>
  </si>
  <si>
    <t>Sub Totaal</t>
  </si>
  <si>
    <t>Armatuurtype E</t>
  </si>
  <si>
    <t>Aantal types</t>
  </si>
  <si>
    <t>punten op schaal van 10</t>
  </si>
  <si>
    <t>Totaal aantal punten</t>
  </si>
  <si>
    <t>actuele score</t>
  </si>
  <si>
    <t>voorbeeld</t>
  </si>
  <si>
    <t>Iris, optiek V, 2900 lumen</t>
  </si>
  <si>
    <t>Iris, optiek H, 2900 lumen</t>
  </si>
  <si>
    <t>Iris, optiek H, 1800 lumen</t>
  </si>
  <si>
    <t>enz</t>
  </si>
  <si>
    <t xml:space="preserve">Armatuurtype </t>
  </si>
  <si>
    <t>max abs score</t>
  </si>
  <si>
    <t>score obv 1-10</t>
  </si>
  <si>
    <t>Prijsbepaling:</t>
  </si>
  <si>
    <t>De laagste prijs krijgt de volledige score van 35 punten</t>
  </si>
  <si>
    <t>Vervolgens wordt per % prijstijging tov de laagste inschrijver, 1 punt van de maximum score afgetrokken</t>
  </si>
  <si>
    <t>CO2, MVO, SROI, Groene Stroom</t>
  </si>
  <si>
    <t>Onder deze tab dienen de min of meer maatschappelijk gerelateerde aspecten aan gegeven te worden</t>
  </si>
  <si>
    <t>De scores op de EMVI aspecten zijn absoluut, onafhankelijk van de andere inschrijvers</t>
  </si>
  <si>
    <t>De score op de prijs is relatief</t>
  </si>
  <si>
    <r>
      <t xml:space="preserve">De LCA dient als EDP aangeleverd te worden, en ingevoerd te worden in tab </t>
    </r>
    <r>
      <rPr>
        <i/>
        <sz val="11"/>
        <color theme="1"/>
        <rFont val="Segoe UI"/>
        <family val="2"/>
      </rPr>
      <t xml:space="preserve">bron van EPD </t>
    </r>
    <r>
      <rPr>
        <sz val="11"/>
        <color theme="1"/>
        <rFont val="Segoe UI"/>
        <family val="2"/>
      </rPr>
      <t>volgens de instructie op dit tabbad</t>
    </r>
  </si>
  <si>
    <t>NB</t>
  </si>
  <si>
    <t>Alle data die ingevuld is in deze bijlage wordt door de Aanbesteder verzameld in een ander document waarbij de scores automatisch doorgerekend worden.</t>
  </si>
  <si>
    <t>Begrippen</t>
  </si>
  <si>
    <t>Armatuurfamilie</t>
  </si>
  <si>
    <t>Armatuurtype</t>
  </si>
  <si>
    <t>Armatuursoort</t>
  </si>
  <si>
    <t>Door leverancier gedefinieerde set armaturen met vormgelijkenis en technische overeenkomsten</t>
  </si>
  <si>
    <t>= armatuurfamilie</t>
  </si>
  <si>
    <t>Typecodering van armatuur onderscheiden naar optiek en lichtstroom</t>
  </si>
  <si>
    <t>75%  v.h. Vermogen</t>
  </si>
  <si>
    <t>ARMATUURTYPE E</t>
  </si>
  <si>
    <t>ARMATUURTYPE F</t>
  </si>
  <si>
    <t>LCA ARMATUUR A</t>
  </si>
  <si>
    <t>LCA ARMATUUR B</t>
  </si>
  <si>
    <t>LCA ARMATUUR C</t>
  </si>
  <si>
    <t>LCA ARMATUUR D</t>
  </si>
  <si>
    <t>LCA ARMATUUR E</t>
  </si>
  <si>
    <t>LCA ARMATUUR F</t>
  </si>
  <si>
    <t>E</t>
  </si>
  <si>
    <t>F</t>
  </si>
  <si>
    <t>Samenvatting MKI-scores (TBV tb Tecniek)</t>
  </si>
  <si>
    <t>In geval een gegadigde af valt worden de berekeningen niet opnieuw uitgevoerd, de eerst volgende gekandideerde uit de bij de aanbesteding opgestelde scorelijst is dat de gegadigde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</si>
</sst>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_ * #,##0.00000000000_ ;_ * \-#,##0.00000000000_ ;_ * &quot;-&quot;??_ ;_ @_ "/>
    <numFmt numFmtId="167" formatCode="_ * #,##0.00000000000_ ;_ * \-#,##0.00000000000_ ;_ * &quot;-&quot;???????????_ ;_ @_ "/>
    <numFmt numFmtId="168" formatCode="_ * #,##0.0000_ ;_ * \-#,##0.0000_ ;_ * &quot;-&quot;???????????_ ;_ @_ "/>
    <numFmt numFmtId="169" formatCode="0.0"/>
    <numFmt numFmtId="170" formatCode="#,##0.0_ ;\-#,##0.0\ "/>
  </numFmts>
  <fonts count="2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Helvetica"/>
      <family val="2"/>
    </font>
    <font>
      <sz val="11"/>
      <color theme="1"/>
      <name val="Calibri"/>
      <family val="2"/>
      <scheme val="minor"/>
    </font>
    <font>
      <sz val="16"/>
      <color theme="1"/>
      <name val="Segoe UI"/>
      <family val="2"/>
    </font>
    <font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2"/>
      <color rgb="FFFF0000"/>
      <name val="Segoe UI"/>
      <family val="2"/>
    </font>
    <font>
      <i/>
      <sz val="12"/>
      <color theme="1"/>
      <name val="Segoe UI"/>
      <family val="2"/>
    </font>
    <font>
      <i/>
      <sz val="11"/>
      <color theme="1"/>
      <name val="Segoe UI"/>
      <family val="2"/>
    </font>
    <font>
      <vertAlign val="superscript"/>
      <sz val="12"/>
      <color theme="1"/>
      <name val="Segoe UI"/>
      <family val="2"/>
    </font>
    <font>
      <b/>
      <sz val="12"/>
      <color theme="1"/>
      <name val="Segoe UI"/>
      <family val="2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1"/>
      <name val="Segoe UI"/>
      <family val="2"/>
    </font>
    <font>
      <strike/>
      <sz val="1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9" tint="-0.24994659260841701"/>
      </left>
      <right style="thin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2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/>
    <xf numFmtId="0" fontId="6" fillId="11" borderId="8" xfId="0" applyFont="1" applyFill="1" applyBorder="1"/>
    <xf numFmtId="0" fontId="6" fillId="11" borderId="0" xfId="0" applyFont="1" applyFill="1"/>
    <xf numFmtId="0" fontId="6" fillId="0" borderId="9" xfId="0" applyFont="1" applyBorder="1"/>
    <xf numFmtId="0" fontId="6" fillId="0" borderId="8" xfId="0" applyFont="1" applyBorder="1" applyAlignment="1">
      <alignment vertical="top"/>
    </xf>
    <xf numFmtId="9" fontId="6" fillId="0" borderId="8" xfId="0" applyNumberFormat="1" applyFont="1" applyBorder="1" applyAlignment="1">
      <alignment horizontal="right"/>
    </xf>
    <xf numFmtId="9" fontId="6" fillId="0" borderId="8" xfId="0" applyNumberFormat="1" applyFont="1" applyBorder="1" applyAlignment="1">
      <alignment vertical="top"/>
    </xf>
    <xf numFmtId="0" fontId="10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10" borderId="0" xfId="0" applyFont="1" applyFill="1"/>
    <xf numFmtId="0" fontId="13" fillId="11" borderId="8" xfId="0" applyFont="1" applyFill="1" applyBorder="1"/>
    <xf numFmtId="0" fontId="13" fillId="11" borderId="10" xfId="0" applyFont="1" applyFill="1" applyBorder="1"/>
    <xf numFmtId="0" fontId="7" fillId="10" borderId="8" xfId="0" applyFont="1" applyFill="1" applyBorder="1" applyAlignment="1">
      <alignment wrapText="1"/>
    </xf>
    <xf numFmtId="0" fontId="17" fillId="0" borderId="0" xfId="0" applyFont="1"/>
    <xf numFmtId="0" fontId="17" fillId="8" borderId="0" xfId="0" applyFont="1" applyFill="1"/>
    <xf numFmtId="0" fontId="17" fillId="14" borderId="0" xfId="0" applyFont="1" applyFill="1"/>
    <xf numFmtId="0" fontId="17" fillId="4" borderId="0" xfId="0" applyFont="1" applyFill="1"/>
    <xf numFmtId="0" fontId="17" fillId="2" borderId="0" xfId="0" applyFont="1" applyFill="1"/>
    <xf numFmtId="0" fontId="0" fillId="0" borderId="0" xfId="0" applyAlignment="1">
      <alignment horizontal="center"/>
    </xf>
    <xf numFmtId="11" fontId="0" fillId="0" borderId="0" xfId="0" applyNumberFormat="1"/>
    <xf numFmtId="0" fontId="0" fillId="7" borderId="0" xfId="0" applyFill="1"/>
    <xf numFmtId="0" fontId="19" fillId="0" borderId="0" xfId="0" applyFont="1"/>
    <xf numFmtId="0" fontId="18" fillId="0" borderId="0" xfId="0" applyFont="1"/>
    <xf numFmtId="166" fontId="17" fillId="15" borderId="0" xfId="1" applyNumberFormat="1" applyFont="1" applyFill="1" applyAlignment="1" applyProtection="1">
      <alignment horizontal="center"/>
    </xf>
    <xf numFmtId="166" fontId="17" fillId="8" borderId="0" xfId="1" applyNumberFormat="1" applyFont="1" applyFill="1" applyProtection="1"/>
    <xf numFmtId="166" fontId="17" fillId="15" borderId="13" xfId="1" applyNumberFormat="1" applyFont="1" applyFill="1" applyBorder="1" applyProtection="1"/>
    <xf numFmtId="43" fontId="17" fillId="0" borderId="0" xfId="1" applyFont="1" applyProtection="1"/>
    <xf numFmtId="43" fontId="17" fillId="8" borderId="0" xfId="1" applyFont="1" applyFill="1" applyProtection="1"/>
    <xf numFmtId="0" fontId="1" fillId="0" borderId="0" xfId="0" applyFont="1"/>
    <xf numFmtId="0" fontId="16" fillId="7" borderId="0" xfId="0" applyFont="1" applyFill="1"/>
    <xf numFmtId="166" fontId="17" fillId="5" borderId="0" xfId="1" applyNumberFormat="1" applyFont="1" applyFill="1" applyProtection="1"/>
    <xf numFmtId="166" fontId="15" fillId="5" borderId="15" xfId="1" applyNumberFormat="1" applyFont="1" applyFill="1" applyBorder="1" applyAlignment="1" applyProtection="1">
      <alignment horizontal="right"/>
    </xf>
    <xf numFmtId="0" fontId="17" fillId="8" borderId="0" xfId="0" applyFont="1" applyFill="1" applyAlignment="1">
      <alignment horizontal="right"/>
    </xf>
    <xf numFmtId="0" fontId="17" fillId="0" borderId="0" xfId="0" applyFont="1" applyAlignment="1">
      <alignment horizontal="center"/>
    </xf>
    <xf numFmtId="0" fontId="0" fillId="3" borderId="0" xfId="0" applyFill="1"/>
    <xf numFmtId="0" fontId="17" fillId="3" borderId="0" xfId="0" applyFont="1" applyFill="1"/>
    <xf numFmtId="0" fontId="0" fillId="2" borderId="0" xfId="0" applyFill="1"/>
    <xf numFmtId="0" fontId="17" fillId="2" borderId="0" xfId="0" applyFont="1" applyFill="1" applyAlignment="1">
      <alignment horizontal="center"/>
    </xf>
    <xf numFmtId="0" fontId="0" fillId="9" borderId="0" xfId="0" applyFill="1"/>
    <xf numFmtId="0" fontId="17" fillId="4" borderId="14" xfId="0" applyFont="1" applyFill="1" applyBorder="1"/>
    <xf numFmtId="0" fontId="0" fillId="8" borderId="0" xfId="0" applyFill="1"/>
    <xf numFmtId="0" fontId="17" fillId="7" borderId="0" xfId="0" applyFont="1" applyFill="1"/>
    <xf numFmtId="0" fontId="17" fillId="7" borderId="0" xfId="0" applyFont="1" applyFill="1" applyAlignment="1">
      <alignment horizontal="center"/>
    </xf>
    <xf numFmtId="0" fontId="0" fillId="16" borderId="0" xfId="0" applyFill="1"/>
    <xf numFmtId="0" fontId="8" fillId="0" borderId="0" xfId="0" applyFont="1"/>
    <xf numFmtId="0" fontId="0" fillId="17" borderId="0" xfId="0" applyFill="1"/>
    <xf numFmtId="0" fontId="0" fillId="17" borderId="0" xfId="0" applyFill="1" applyAlignment="1">
      <alignment horizontal="center"/>
    </xf>
    <xf numFmtId="164" fontId="20" fillId="10" borderId="18" xfId="1" applyNumberFormat="1" applyFont="1" applyFill="1" applyBorder="1"/>
    <xf numFmtId="165" fontId="20" fillId="8" borderId="19" xfId="1" applyNumberFormat="1" applyFont="1" applyFill="1" applyBorder="1"/>
    <xf numFmtId="164" fontId="20" fillId="10" borderId="18" xfId="0" applyNumberFormat="1" applyFont="1" applyFill="1" applyBorder="1"/>
    <xf numFmtId="164" fontId="20" fillId="8" borderId="19" xfId="1" applyNumberFormat="1" applyFont="1" applyFill="1" applyBorder="1"/>
    <xf numFmtId="164" fontId="0" fillId="0" borderId="0" xfId="0" applyNumberFormat="1"/>
    <xf numFmtId="0" fontId="17" fillId="19" borderId="0" xfId="0" applyFont="1" applyFill="1"/>
    <xf numFmtId="0" fontId="17" fillId="19" borderId="0" xfId="0" applyFont="1" applyFill="1" applyAlignment="1">
      <alignment horizontal="center"/>
    </xf>
    <xf numFmtId="0" fontId="17" fillId="16" borderId="0" xfId="0" applyFont="1" applyFill="1"/>
    <xf numFmtId="0" fontId="17" fillId="16" borderId="0" xfId="0" applyFont="1" applyFill="1" applyAlignment="1">
      <alignment horizontal="center"/>
    </xf>
    <xf numFmtId="0" fontId="17" fillId="9" borderId="0" xfId="0" applyFont="1" applyFill="1"/>
    <xf numFmtId="0" fontId="17" fillId="9" borderId="0" xfId="0" applyFont="1" applyFill="1" applyAlignment="1">
      <alignment horizontal="center"/>
    </xf>
    <xf numFmtId="0" fontId="17" fillId="14" borderId="0" xfId="0" applyFont="1" applyFill="1" applyAlignment="1">
      <alignment horizontal="center"/>
    </xf>
    <xf numFmtId="0" fontId="0" fillId="20" borderId="0" xfId="0" applyFill="1"/>
    <xf numFmtId="0" fontId="17" fillId="21" borderId="0" xfId="0" applyFont="1" applyFill="1"/>
    <xf numFmtId="0" fontId="17" fillId="21" borderId="14" xfId="0" applyFont="1" applyFill="1" applyBorder="1"/>
    <xf numFmtId="1" fontId="17" fillId="21" borderId="14" xfId="0" applyNumberFormat="1" applyFont="1" applyFill="1" applyBorder="1"/>
    <xf numFmtId="0" fontId="0" fillId="21" borderId="0" xfId="0" applyFill="1"/>
    <xf numFmtId="0" fontId="0" fillId="21" borderId="0" xfId="0" applyFill="1" applyAlignment="1">
      <alignment horizontal="center"/>
    </xf>
    <xf numFmtId="0" fontId="17" fillId="8" borderId="0" xfId="0" applyFont="1" applyFill="1" applyAlignment="1" applyProtection="1">
      <alignment horizontal="center"/>
      <protection locked="0"/>
    </xf>
    <xf numFmtId="0" fontId="17" fillId="16" borderId="0" xfId="0" applyFont="1" applyFill="1" applyAlignment="1" applyProtection="1">
      <alignment horizontal="center"/>
      <protection locked="0"/>
    </xf>
    <xf numFmtId="0" fontId="17" fillId="18" borderId="13" xfId="0" applyFont="1" applyFill="1" applyBorder="1" applyAlignment="1" applyProtection="1">
      <alignment horizontal="center"/>
      <protection locked="0"/>
    </xf>
    <xf numFmtId="0" fontId="1" fillId="18" borderId="13" xfId="0" applyFont="1" applyFill="1" applyBorder="1" applyProtection="1">
      <protection locked="0"/>
    </xf>
    <xf numFmtId="164" fontId="1" fillId="18" borderId="13" xfId="1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169" fontId="17" fillId="8" borderId="0" xfId="0" applyNumberFormat="1" applyFont="1" applyFill="1"/>
    <xf numFmtId="0" fontId="0" fillId="12" borderId="0" xfId="0" applyFill="1"/>
    <xf numFmtId="0" fontId="0" fillId="8" borderId="0" xfId="0" applyFill="1" applyAlignment="1">
      <alignment horizontal="center" wrapText="1"/>
    </xf>
    <xf numFmtId="0" fontId="17" fillId="13" borderId="0" xfId="0" applyFont="1" applyFill="1" applyAlignment="1">
      <alignment horizontal="center"/>
    </xf>
    <xf numFmtId="167" fontId="17" fillId="0" borderId="0" xfId="0" applyNumberFormat="1" applyFont="1"/>
    <xf numFmtId="167" fontId="0" fillId="0" borderId="0" xfId="0" applyNumberFormat="1"/>
    <xf numFmtId="166" fontId="17" fillId="13" borderId="13" xfId="1" applyNumberFormat="1" applyFont="1" applyFill="1" applyBorder="1" applyProtection="1"/>
    <xf numFmtId="168" fontId="0" fillId="0" borderId="0" xfId="0" applyNumberFormat="1"/>
    <xf numFmtId="166" fontId="16" fillId="7" borderId="0" xfId="0" applyNumberFormat="1" applyFont="1" applyFill="1"/>
    <xf numFmtId="43" fontId="15" fillId="0" borderId="16" xfId="0" applyNumberFormat="1" applyFont="1" applyBorder="1" applyAlignment="1">
      <alignment horizontal="left"/>
    </xf>
    <xf numFmtId="43" fontId="0" fillId="0" borderId="0" xfId="0" applyNumberFormat="1"/>
    <xf numFmtId="0" fontId="7" fillId="0" borderId="0" xfId="0" applyFont="1"/>
    <xf numFmtId="0" fontId="8" fillId="2" borderId="0" xfId="0" applyFont="1" applyFill="1"/>
    <xf numFmtId="0" fontId="8" fillId="8" borderId="0" xfId="0" applyFont="1" applyFill="1"/>
    <xf numFmtId="2" fontId="16" fillId="7" borderId="0" xfId="0" applyNumberFormat="1" applyFont="1" applyFill="1"/>
    <xf numFmtId="43" fontId="8" fillId="0" borderId="0" xfId="0" applyNumberFormat="1" applyFont="1"/>
    <xf numFmtId="43" fontId="8" fillId="0" borderId="0" xfId="1" applyFont="1"/>
    <xf numFmtId="9" fontId="8" fillId="0" borderId="0" xfId="0" applyNumberFormat="1" applyFont="1"/>
    <xf numFmtId="0" fontId="8" fillId="0" borderId="0" xfId="0" applyFont="1" applyAlignment="1">
      <alignment wrapText="1"/>
    </xf>
    <xf numFmtId="0" fontId="8" fillId="2" borderId="25" xfId="0" applyFont="1" applyFill="1" applyBorder="1"/>
    <xf numFmtId="164" fontId="8" fillId="2" borderId="25" xfId="1" applyNumberFormat="1" applyFont="1" applyFill="1" applyBorder="1"/>
    <xf numFmtId="169" fontId="8" fillId="2" borderId="25" xfId="0" applyNumberFormat="1" applyFont="1" applyFill="1" applyBorder="1"/>
    <xf numFmtId="0" fontId="8" fillId="8" borderId="25" xfId="0" applyFont="1" applyFill="1" applyBorder="1"/>
    <xf numFmtId="164" fontId="8" fillId="8" borderId="25" xfId="1" applyNumberFormat="1" applyFont="1" applyFill="1" applyBorder="1"/>
    <xf numFmtId="43" fontId="8" fillId="8" borderId="25" xfId="0" applyNumberFormat="1" applyFont="1" applyFill="1" applyBorder="1"/>
    <xf numFmtId="0" fontId="8" fillId="0" borderId="0" xfId="0" quotePrefix="1" applyFont="1"/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" fillId="18" borderId="20" xfId="0" applyFont="1" applyFill="1" applyBorder="1" applyAlignment="1" applyProtection="1">
      <alignment horizontal="left"/>
      <protection locked="0"/>
    </xf>
    <xf numFmtId="0" fontId="1" fillId="18" borderId="21" xfId="0" applyFont="1" applyFill="1" applyBorder="1" applyAlignment="1" applyProtection="1">
      <alignment horizontal="left"/>
      <protection locked="0"/>
    </xf>
    <xf numFmtId="0" fontId="1" fillId="18" borderId="22" xfId="0" applyFont="1" applyFill="1" applyBorder="1" applyAlignment="1" applyProtection="1">
      <alignment horizontal="left"/>
      <protection locked="0"/>
    </xf>
    <xf numFmtId="0" fontId="1" fillId="18" borderId="24" xfId="0" applyFont="1" applyFill="1" applyBorder="1" applyAlignment="1" applyProtection="1">
      <alignment horizontal="left"/>
      <protection locked="0"/>
    </xf>
    <xf numFmtId="0" fontId="17" fillId="7" borderId="0" xfId="0" applyFont="1" applyFill="1" applyAlignment="1">
      <alignment horizontal="right"/>
    </xf>
    <xf numFmtId="0" fontId="0" fillId="12" borderId="0" xfId="0" applyFill="1" applyAlignment="1">
      <alignment horizontal="center"/>
    </xf>
    <xf numFmtId="0" fontId="14" fillId="7" borderId="0" xfId="0" applyFont="1" applyFill="1" applyAlignment="1">
      <alignment horizontal="center"/>
    </xf>
    <xf numFmtId="0" fontId="16" fillId="7" borderId="17" xfId="0" applyFont="1" applyFill="1" applyBorder="1" applyAlignment="1">
      <alignment horizontal="center"/>
    </xf>
    <xf numFmtId="166" fontId="17" fillId="0" borderId="0" xfId="1" applyNumberFormat="1" applyFont="1" applyAlignment="1" applyProtection="1">
      <alignment horizontal="center" wrapText="1"/>
    </xf>
    <xf numFmtId="0" fontId="23" fillId="0" borderId="0" xfId="0" applyFont="1"/>
    <xf numFmtId="0" fontId="24" fillId="0" borderId="0" xfId="0" applyFont="1"/>
    <xf numFmtId="0" fontId="23" fillId="8" borderId="0" xfId="0" applyFont="1" applyFill="1"/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1" fontId="0" fillId="7" borderId="0" xfId="0" applyNumberFormat="1" applyFill="1" applyProtection="1">
      <protection locked="0"/>
    </xf>
    <xf numFmtId="0" fontId="3" fillId="10" borderId="8" xfId="0" applyFont="1" applyFill="1" applyBorder="1" applyProtection="1">
      <protection locked="0"/>
    </xf>
    <xf numFmtId="0" fontId="6" fillId="11" borderId="0" xfId="0" applyFont="1" applyFill="1" applyProtection="1">
      <protection locked="0"/>
    </xf>
    <xf numFmtId="0" fontId="6" fillId="11" borderId="8" xfId="0" applyFont="1" applyFill="1" applyBorder="1" applyProtection="1">
      <protection locked="0"/>
    </xf>
    <xf numFmtId="164" fontId="3" fillId="10" borderId="8" xfId="1" applyNumberFormat="1" applyFont="1" applyFill="1" applyBorder="1" applyProtection="1"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1" fillId="18" borderId="13" xfId="0" applyFont="1" applyFill="1" applyBorder="1" applyAlignment="1" applyProtection="1">
      <alignment horizontal="center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5" borderId="0" xfId="0" applyFont="1" applyFill="1" applyProtection="1"/>
    <xf numFmtId="0" fontId="1" fillId="5" borderId="0" xfId="0" applyFont="1" applyFill="1" applyAlignment="1" applyProtection="1">
      <alignment horizontal="right"/>
    </xf>
    <xf numFmtId="0" fontId="21" fillId="0" borderId="0" xfId="0" applyFont="1" applyProtection="1"/>
    <xf numFmtId="0" fontId="21" fillId="5" borderId="0" xfId="0" applyFont="1" applyFill="1" applyProtection="1"/>
    <xf numFmtId="0" fontId="21" fillId="5" borderId="0" xfId="0" applyFont="1" applyFill="1" applyAlignment="1" applyProtection="1">
      <alignment horizontal="center"/>
    </xf>
    <xf numFmtId="0" fontId="21" fillId="2" borderId="0" xfId="0" applyFont="1" applyFill="1" applyAlignment="1" applyProtection="1">
      <alignment horizontal="center"/>
    </xf>
    <xf numFmtId="0" fontId="21" fillId="2" borderId="0" xfId="0" applyFont="1" applyFill="1" applyProtection="1"/>
    <xf numFmtId="0" fontId="1" fillId="8" borderId="0" xfId="0" applyFont="1" applyFill="1" applyProtection="1"/>
    <xf numFmtId="0" fontId="1" fillId="14" borderId="0" xfId="0" applyFont="1" applyFill="1" applyProtection="1"/>
    <xf numFmtId="0" fontId="1" fillId="4" borderId="0" xfId="0" applyFont="1" applyFill="1" applyProtection="1"/>
    <xf numFmtId="0" fontId="1" fillId="6" borderId="0" xfId="0" applyFont="1" applyFill="1" applyProtection="1"/>
    <xf numFmtId="9" fontId="1" fillId="5" borderId="0" xfId="2" applyFont="1" applyFill="1" applyProtection="1"/>
    <xf numFmtId="9" fontId="1" fillId="2" borderId="0" xfId="2" applyFont="1" applyFill="1" applyAlignment="1" applyProtection="1">
      <alignment horizontal="center"/>
    </xf>
    <xf numFmtId="0" fontId="1" fillId="2" borderId="0" xfId="0" applyFont="1" applyFill="1" applyProtection="1"/>
    <xf numFmtId="164" fontId="1" fillId="2" borderId="0" xfId="1" applyNumberFormat="1" applyFont="1" applyFill="1" applyProtection="1"/>
    <xf numFmtId="43" fontId="1" fillId="8" borderId="0" xfId="1" applyFont="1" applyFill="1" applyProtection="1"/>
    <xf numFmtId="165" fontId="1" fillId="14" borderId="0" xfId="1" applyNumberFormat="1" applyFont="1" applyFill="1" applyProtection="1"/>
    <xf numFmtId="164" fontId="1" fillId="14" borderId="0" xfId="1" applyNumberFormat="1" applyFont="1" applyFill="1" applyProtection="1"/>
    <xf numFmtId="169" fontId="1" fillId="4" borderId="0" xfId="0" applyNumberFormat="1" applyFont="1" applyFill="1" applyProtection="1"/>
    <xf numFmtId="43" fontId="1" fillId="4" borderId="0" xfId="1" applyFont="1" applyFill="1" applyProtection="1"/>
    <xf numFmtId="169" fontId="1" fillId="6" borderId="0" xfId="0" applyNumberFormat="1" applyFont="1" applyFill="1" applyProtection="1"/>
    <xf numFmtId="0" fontId="1" fillId="5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43" fontId="21" fillId="8" borderId="12" xfId="1" applyFont="1" applyFill="1" applyBorder="1" applyProtection="1"/>
    <xf numFmtId="43" fontId="1" fillId="14" borderId="0" xfId="1" applyFont="1" applyFill="1" applyProtection="1"/>
    <xf numFmtId="43" fontId="21" fillId="14" borderId="12" xfId="1" applyFont="1" applyFill="1" applyBorder="1" applyProtection="1"/>
    <xf numFmtId="43" fontId="21" fillId="4" borderId="12" xfId="1" applyFont="1" applyFill="1" applyBorder="1" applyProtection="1"/>
    <xf numFmtId="2" fontId="1" fillId="6" borderId="0" xfId="0" applyNumberFormat="1" applyFont="1" applyFill="1" applyProtection="1"/>
    <xf numFmtId="0" fontId="19" fillId="0" borderId="0" xfId="0" applyFont="1" applyProtection="1"/>
    <xf numFmtId="0" fontId="25" fillId="0" borderId="0" xfId="0" applyFont="1" applyProtection="1"/>
    <xf numFmtId="0" fontId="25" fillId="0" borderId="0" xfId="0" applyFont="1" applyAlignment="1" applyProtection="1">
      <alignment horizontal="center"/>
    </xf>
    <xf numFmtId="43" fontId="1" fillId="0" borderId="0" xfId="0" applyNumberFormat="1" applyFont="1" applyProtection="1"/>
    <xf numFmtId="0" fontId="1" fillId="17" borderId="0" xfId="0" applyFont="1" applyFill="1" applyProtection="1"/>
    <xf numFmtId="0" fontId="1" fillId="17" borderId="0" xfId="0" applyFont="1" applyFill="1" applyAlignment="1" applyProtection="1">
      <alignment horizontal="center"/>
    </xf>
    <xf numFmtId="0" fontId="1" fillId="5" borderId="23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5" borderId="0" xfId="0" applyFont="1" applyFill="1" applyAlignment="1" applyProtection="1">
      <alignment horizontal="left"/>
    </xf>
    <xf numFmtId="0" fontId="21" fillId="17" borderId="0" xfId="0" applyFont="1" applyFill="1" applyAlignment="1" applyProtection="1">
      <alignment horizontal="center"/>
    </xf>
    <xf numFmtId="0" fontId="1" fillId="5" borderId="0" xfId="0" applyFont="1" applyFill="1" applyAlignment="1" applyProtection="1">
      <alignment horizontal="left"/>
    </xf>
    <xf numFmtId="0" fontId="1" fillId="17" borderId="0" xfId="0" applyFont="1" applyFill="1" applyAlignment="1" applyProtection="1">
      <alignment horizontal="center"/>
    </xf>
    <xf numFmtId="0" fontId="8" fillId="2" borderId="25" xfId="0" applyNumberFormat="1" applyFont="1" applyFill="1" applyBorder="1"/>
    <xf numFmtId="170" fontId="1" fillId="2" borderId="0" xfId="1" applyNumberFormat="1" applyFont="1" applyFill="1" applyAlignment="1" applyProtection="1"/>
    <xf numFmtId="2" fontId="8" fillId="2" borderId="25" xfId="1" applyNumberFormat="1" applyFont="1" applyFill="1" applyBorder="1"/>
    <xf numFmtId="2" fontId="8" fillId="8" borderId="25" xfId="1" applyNumberFormat="1" applyFont="1" applyFill="1" applyBorder="1"/>
  </cellXfs>
  <cellStyles count="3">
    <cellStyle name="Komma" xfId="1" builtinId="3"/>
    <cellStyle name="Procent" xfId="2" builtinId="5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8F"/>
      <color rgb="FF008000"/>
      <color rgb="FFD1CF69"/>
      <color rgb="FFA3A032"/>
      <color rgb="FFFFEBFF"/>
      <color rgb="FFFFCCFF"/>
      <color rgb="FFB9D0FF"/>
      <color rgb="FF002570"/>
      <color rgb="FFE4E2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CO@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6AB1-6E65-4BE4-AC54-BC5ABC324C81}">
  <sheetPr>
    <tabColor rgb="FF00B0F0"/>
  </sheetPr>
  <dimension ref="A2:E46"/>
  <sheetViews>
    <sheetView tabSelected="1" topLeftCell="A4" workbookViewId="0">
      <selection activeCell="F25" sqref="F25"/>
    </sheetView>
  </sheetViews>
  <sheetFormatPr defaultColWidth="8.85546875" defaultRowHeight="16.5" x14ac:dyDescent="0.3"/>
  <cols>
    <col min="1" max="1" width="8.85546875" style="49"/>
    <col min="2" max="2" width="16.28515625" style="49" customWidth="1"/>
    <col min="3" max="16384" width="8.85546875" style="49"/>
  </cols>
  <sheetData>
    <row r="2" spans="2:3" x14ac:dyDescent="0.3">
      <c r="B2" s="87" t="s">
        <v>166</v>
      </c>
    </row>
    <row r="4" spans="2:3" x14ac:dyDescent="0.3">
      <c r="B4" s="49" t="s">
        <v>167</v>
      </c>
    </row>
    <row r="5" spans="2:3" x14ac:dyDescent="0.3">
      <c r="B5" s="49" t="s">
        <v>168</v>
      </c>
    </row>
    <row r="6" spans="2:3" x14ac:dyDescent="0.3">
      <c r="B6" s="49" t="s">
        <v>169</v>
      </c>
    </row>
    <row r="7" spans="2:3" x14ac:dyDescent="0.3">
      <c r="B7" s="49" t="s">
        <v>170</v>
      </c>
    </row>
    <row r="8" spans="2:3" x14ac:dyDescent="0.3">
      <c r="B8" s="49" t="s">
        <v>176</v>
      </c>
    </row>
    <row r="10" spans="2:3" x14ac:dyDescent="0.3">
      <c r="B10" s="49" t="s">
        <v>171</v>
      </c>
      <c r="C10" s="49" t="s">
        <v>174</v>
      </c>
    </row>
    <row r="12" spans="2:3" x14ac:dyDescent="0.3">
      <c r="B12" s="49" t="s">
        <v>175</v>
      </c>
      <c r="C12" s="49" t="s">
        <v>177</v>
      </c>
    </row>
    <row r="13" spans="2:3" x14ac:dyDescent="0.3">
      <c r="C13" s="49" t="s">
        <v>178</v>
      </c>
    </row>
    <row r="14" spans="2:3" x14ac:dyDescent="0.3">
      <c r="C14" s="49" t="s">
        <v>179</v>
      </c>
    </row>
    <row r="15" spans="2:3" x14ac:dyDescent="0.3">
      <c r="C15" s="49" t="s">
        <v>184</v>
      </c>
    </row>
    <row r="16" spans="2:3" x14ac:dyDescent="0.3">
      <c r="C16" s="49" t="s">
        <v>209</v>
      </c>
    </row>
    <row r="17" spans="2:3" x14ac:dyDescent="0.3">
      <c r="C17" s="49" t="s">
        <v>187</v>
      </c>
    </row>
    <row r="19" spans="2:3" x14ac:dyDescent="0.3">
      <c r="C19" s="49" t="s">
        <v>182</v>
      </c>
    </row>
    <row r="20" spans="2:3" x14ac:dyDescent="0.3">
      <c r="B20" s="49" t="s">
        <v>183</v>
      </c>
      <c r="C20" s="49" t="s">
        <v>206</v>
      </c>
    </row>
    <row r="21" spans="2:3" x14ac:dyDescent="0.3">
      <c r="C21" s="49" t="s">
        <v>185</v>
      </c>
    </row>
    <row r="23" spans="2:3" x14ac:dyDescent="0.3">
      <c r="B23" s="49" t="s">
        <v>207</v>
      </c>
    </row>
    <row r="25" spans="2:3" s="120" customFormat="1" x14ac:dyDescent="0.3">
      <c r="B25" s="49" t="s">
        <v>208</v>
      </c>
    </row>
    <row r="26" spans="2:3" s="120" customFormat="1" x14ac:dyDescent="0.3">
      <c r="C26" s="49" t="s">
        <v>203</v>
      </c>
    </row>
    <row r="27" spans="2:3" s="120" customFormat="1" x14ac:dyDescent="0.3">
      <c r="C27" s="49" t="s">
        <v>204</v>
      </c>
    </row>
    <row r="29" spans="2:3" x14ac:dyDescent="0.3">
      <c r="B29" s="49" t="s">
        <v>210</v>
      </c>
      <c r="C29" s="49" t="s">
        <v>231</v>
      </c>
    </row>
    <row r="31" spans="2:3" x14ac:dyDescent="0.3">
      <c r="B31" s="49" t="s">
        <v>211</v>
      </c>
    </row>
    <row r="33" spans="1:5" x14ac:dyDescent="0.3">
      <c r="B33" s="49" t="s">
        <v>212</v>
      </c>
    </row>
    <row r="34" spans="1:5" x14ac:dyDescent="0.3">
      <c r="B34" s="49" t="s">
        <v>213</v>
      </c>
      <c r="C34" s="49" t="s">
        <v>216</v>
      </c>
    </row>
    <row r="35" spans="1:5" x14ac:dyDescent="0.3">
      <c r="B35" s="49" t="s">
        <v>215</v>
      </c>
      <c r="C35" s="101" t="s">
        <v>217</v>
      </c>
    </row>
    <row r="36" spans="1:5" x14ac:dyDescent="0.3">
      <c r="B36" s="49" t="s">
        <v>214</v>
      </c>
      <c r="C36" s="49" t="s">
        <v>218</v>
      </c>
    </row>
    <row r="45" spans="1:5" x14ac:dyDescent="0.3">
      <c r="A45" s="120"/>
      <c r="B45" s="120"/>
      <c r="C45" s="120"/>
      <c r="D45" s="120"/>
      <c r="E45" s="120"/>
    </row>
    <row r="46" spans="1:5" x14ac:dyDescent="0.3">
      <c r="A46" s="120"/>
      <c r="B46" s="120"/>
      <c r="C46" s="120"/>
      <c r="D46" s="120"/>
      <c r="E46" s="120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7B57-8B6A-46F7-8247-9105C717FC93}">
  <sheetPr>
    <tabColor rgb="FF00B0F0"/>
  </sheetPr>
  <dimension ref="A1:E88"/>
  <sheetViews>
    <sheetView zoomScaleNormal="100" zoomScalePageLayoutView="90" workbookViewId="0">
      <selection activeCell="C17" sqref="C17"/>
    </sheetView>
  </sheetViews>
  <sheetFormatPr defaultColWidth="0" defaultRowHeight="17.25" zeroHeight="1" x14ac:dyDescent="0.3"/>
  <cols>
    <col min="1" max="1" width="7" style="3" customWidth="1"/>
    <col min="2" max="2" width="47.7109375" style="3" customWidth="1"/>
    <col min="3" max="3" width="20.28515625" style="3" customWidth="1"/>
    <col min="4" max="4" width="16" style="14" customWidth="1"/>
    <col min="5" max="5" width="57.85546875" style="3" customWidth="1"/>
    <col min="6" max="16384" width="9.85546875" style="3" hidden="1"/>
  </cols>
  <sheetData>
    <row r="1" spans="1:5" s="1" customFormat="1" ht="25.5" x14ac:dyDescent="0.5">
      <c r="A1" s="1" t="s">
        <v>7</v>
      </c>
    </row>
    <row r="2" spans="1:5" ht="25.5" x14ac:dyDescent="0.5">
      <c r="A2" s="2" t="s">
        <v>125</v>
      </c>
      <c r="C2" s="1"/>
      <c r="D2" s="1"/>
      <c r="E2" s="1"/>
    </row>
    <row r="3" spans="1:5" ht="25.5" x14ac:dyDescent="0.5">
      <c r="A3" s="2"/>
      <c r="C3" s="1"/>
      <c r="D3" s="1"/>
      <c r="E3" s="1"/>
    </row>
    <row r="4" spans="1:5" ht="38.450000000000003" customHeight="1" x14ac:dyDescent="0.3">
      <c r="A4" s="4"/>
      <c r="B4" s="4" t="s">
        <v>8</v>
      </c>
      <c r="C4" s="4" t="s">
        <v>9</v>
      </c>
      <c r="D4" s="17" t="s">
        <v>10</v>
      </c>
      <c r="E4" s="4" t="s">
        <v>11</v>
      </c>
    </row>
    <row r="5" spans="1:5" x14ac:dyDescent="0.3">
      <c r="A5" s="15" t="s">
        <v>12</v>
      </c>
      <c r="B5" s="6"/>
      <c r="C5" s="6"/>
      <c r="D5" s="6"/>
      <c r="E5" s="6"/>
    </row>
    <row r="6" spans="1:5" x14ac:dyDescent="0.3">
      <c r="A6" s="4"/>
      <c r="B6" s="4" t="s">
        <v>13</v>
      </c>
      <c r="C6" s="4"/>
      <c r="D6" s="125"/>
      <c r="E6" s="4"/>
    </row>
    <row r="7" spans="1:5" x14ac:dyDescent="0.3">
      <c r="A7" s="4"/>
      <c r="B7" s="4" t="s">
        <v>14</v>
      </c>
      <c r="C7" s="4"/>
      <c r="D7" s="125"/>
      <c r="E7" s="4"/>
    </row>
    <row r="8" spans="1:5" x14ac:dyDescent="0.3">
      <c r="A8" s="4"/>
      <c r="B8" s="4" t="s">
        <v>15</v>
      </c>
      <c r="C8" s="4"/>
      <c r="D8" s="125"/>
      <c r="E8" s="4"/>
    </row>
    <row r="9" spans="1:5" x14ac:dyDescent="0.3">
      <c r="A9" s="4"/>
      <c r="B9" s="4" t="s">
        <v>16</v>
      </c>
      <c r="C9" s="4"/>
      <c r="D9" s="125"/>
      <c r="E9" s="4"/>
    </row>
    <row r="10" spans="1:5" x14ac:dyDescent="0.3">
      <c r="A10" s="4"/>
      <c r="B10" s="4" t="s">
        <v>17</v>
      </c>
      <c r="C10" s="4"/>
      <c r="D10" s="125"/>
      <c r="E10" s="4"/>
    </row>
    <row r="11" spans="1:5" x14ac:dyDescent="0.3">
      <c r="A11" s="4"/>
      <c r="B11" s="4" t="s">
        <v>18</v>
      </c>
      <c r="C11" s="4"/>
      <c r="D11" s="125"/>
      <c r="E11" s="4"/>
    </row>
    <row r="12" spans="1:5" x14ac:dyDescent="0.3">
      <c r="A12" s="4"/>
      <c r="B12" s="4" t="s">
        <v>19</v>
      </c>
      <c r="C12" s="4"/>
      <c r="D12" s="125"/>
      <c r="E12" s="4"/>
    </row>
    <row r="13" spans="1:5" x14ac:dyDescent="0.3">
      <c r="A13" s="15" t="s">
        <v>20</v>
      </c>
      <c r="B13" s="6"/>
      <c r="C13" s="6"/>
      <c r="D13" s="126"/>
      <c r="E13" s="6"/>
    </row>
    <row r="14" spans="1:5" x14ac:dyDescent="0.3">
      <c r="A14" s="4"/>
      <c r="B14" s="4" t="s">
        <v>75</v>
      </c>
      <c r="C14" s="4" t="s">
        <v>22</v>
      </c>
      <c r="D14" s="125"/>
      <c r="E14" s="7" t="s">
        <v>76</v>
      </c>
    </row>
    <row r="15" spans="1:5" x14ac:dyDescent="0.3">
      <c r="A15" s="4"/>
      <c r="B15" s="4" t="s">
        <v>21</v>
      </c>
      <c r="C15" s="4" t="s">
        <v>22</v>
      </c>
      <c r="D15" s="125"/>
      <c r="E15" s="7"/>
    </row>
    <row r="16" spans="1:5" x14ac:dyDescent="0.3">
      <c r="A16" s="15" t="s">
        <v>23</v>
      </c>
      <c r="B16" s="5"/>
      <c r="C16" s="5"/>
      <c r="D16" s="127"/>
      <c r="E16" s="5"/>
    </row>
    <row r="17" spans="1:5" ht="18.75" x14ac:dyDescent="0.3">
      <c r="A17" s="4"/>
      <c r="B17" s="4" t="s">
        <v>58</v>
      </c>
      <c r="C17" s="4" t="s">
        <v>24</v>
      </c>
      <c r="D17" s="125"/>
      <c r="E17" s="4" t="s">
        <v>73</v>
      </c>
    </row>
    <row r="18" spans="1:5" ht="18.75" x14ac:dyDescent="0.3">
      <c r="A18" s="4"/>
      <c r="B18" s="8" t="s">
        <v>3</v>
      </c>
      <c r="C18" s="8" t="s">
        <v>25</v>
      </c>
      <c r="D18" s="125"/>
      <c r="E18" s="4" t="s">
        <v>73</v>
      </c>
    </row>
    <row r="19" spans="1:5" x14ac:dyDescent="0.3">
      <c r="A19" s="4"/>
      <c r="B19" s="8"/>
      <c r="C19" s="8"/>
      <c r="D19" s="125"/>
      <c r="E19" s="8"/>
    </row>
    <row r="20" spans="1:5" x14ac:dyDescent="0.3">
      <c r="A20" s="4"/>
      <c r="B20" s="4" t="s">
        <v>0</v>
      </c>
      <c r="C20" s="4" t="s">
        <v>5</v>
      </c>
      <c r="D20" s="125"/>
      <c r="E20" s="4" t="s">
        <v>26</v>
      </c>
    </row>
    <row r="21" spans="1:5" x14ac:dyDescent="0.3">
      <c r="A21" s="4"/>
      <c r="B21" s="4"/>
      <c r="C21" s="4"/>
      <c r="D21" s="125"/>
      <c r="E21" s="4"/>
    </row>
    <row r="22" spans="1:5" x14ac:dyDescent="0.3">
      <c r="A22" s="4"/>
      <c r="B22" s="8" t="s">
        <v>59</v>
      </c>
      <c r="C22" s="8"/>
      <c r="D22" s="125"/>
      <c r="E22" s="8" t="s">
        <v>1</v>
      </c>
    </row>
    <row r="23" spans="1:5" x14ac:dyDescent="0.3">
      <c r="A23" s="4"/>
      <c r="B23" s="8"/>
      <c r="C23" s="8"/>
      <c r="D23" s="125"/>
      <c r="E23" s="8"/>
    </row>
    <row r="24" spans="1:5" x14ac:dyDescent="0.3">
      <c r="A24" s="4"/>
      <c r="B24" s="8" t="s">
        <v>60</v>
      </c>
      <c r="C24" s="8" t="s">
        <v>27</v>
      </c>
      <c r="D24" s="125"/>
      <c r="E24" s="8"/>
    </row>
    <row r="25" spans="1:5" x14ac:dyDescent="0.3">
      <c r="A25" s="15" t="s">
        <v>72</v>
      </c>
      <c r="B25" s="6"/>
      <c r="C25" s="6"/>
      <c r="D25" s="126"/>
      <c r="E25" s="6"/>
    </row>
    <row r="26" spans="1:5" x14ac:dyDescent="0.3">
      <c r="A26" s="4"/>
      <c r="B26" s="4" t="s">
        <v>28</v>
      </c>
      <c r="C26" s="4" t="s">
        <v>29</v>
      </c>
      <c r="D26" s="125"/>
      <c r="E26" s="4" t="s">
        <v>71</v>
      </c>
    </row>
    <row r="27" spans="1:5" x14ac:dyDescent="0.3">
      <c r="A27" s="4"/>
      <c r="B27" s="4" t="s">
        <v>30</v>
      </c>
      <c r="C27" s="4" t="s">
        <v>31</v>
      </c>
      <c r="D27" s="125"/>
      <c r="E27" s="4" t="s">
        <v>2</v>
      </c>
    </row>
    <row r="28" spans="1:5" x14ac:dyDescent="0.3">
      <c r="A28" s="4"/>
      <c r="B28" s="4" t="s">
        <v>172</v>
      </c>
      <c r="C28" s="4" t="s">
        <v>31</v>
      </c>
      <c r="D28" s="125"/>
      <c r="E28" s="4" t="s">
        <v>173</v>
      </c>
    </row>
    <row r="29" spans="1:5" x14ac:dyDescent="0.3">
      <c r="A29" s="4"/>
      <c r="B29" s="4" t="s">
        <v>97</v>
      </c>
      <c r="C29" s="4" t="s">
        <v>31</v>
      </c>
      <c r="D29" s="128">
        <f>Techniek!J21</f>
        <v>0</v>
      </c>
      <c r="E29" s="4" t="s">
        <v>77</v>
      </c>
    </row>
    <row r="30" spans="1:5" x14ac:dyDescent="0.3">
      <c r="A30" s="4"/>
      <c r="B30" s="4" t="s">
        <v>32</v>
      </c>
      <c r="C30" s="4" t="s">
        <v>33</v>
      </c>
      <c r="D30" s="125"/>
      <c r="E30" s="4"/>
    </row>
    <row r="31" spans="1:5" x14ac:dyDescent="0.3">
      <c r="A31" s="4"/>
      <c r="B31" s="9" t="s">
        <v>219</v>
      </c>
      <c r="C31" s="4" t="s">
        <v>33</v>
      </c>
      <c r="D31" s="125"/>
      <c r="E31" s="4"/>
    </row>
    <row r="32" spans="1:5" x14ac:dyDescent="0.3">
      <c r="A32" s="4"/>
      <c r="B32" s="9" t="s">
        <v>34</v>
      </c>
      <c r="C32" s="4" t="s">
        <v>33</v>
      </c>
      <c r="D32" s="125"/>
    </row>
    <row r="33" spans="1:5" x14ac:dyDescent="0.3">
      <c r="A33" s="4"/>
      <c r="B33" s="10" t="s">
        <v>35</v>
      </c>
      <c r="C33" s="4"/>
      <c r="D33" s="125"/>
      <c r="E33" s="4" t="s">
        <v>36</v>
      </c>
    </row>
    <row r="34" spans="1:5" x14ac:dyDescent="0.3">
      <c r="A34" s="4"/>
      <c r="B34" s="4" t="s">
        <v>37</v>
      </c>
      <c r="C34" s="4" t="s">
        <v>29</v>
      </c>
      <c r="D34" s="125"/>
      <c r="E34" s="4"/>
    </row>
    <row r="35" spans="1:5" x14ac:dyDescent="0.3">
      <c r="A35" s="4"/>
      <c r="B35" s="4" t="s">
        <v>38</v>
      </c>
      <c r="C35" s="4" t="s">
        <v>39</v>
      </c>
      <c r="D35" s="125"/>
      <c r="E35" s="4"/>
    </row>
    <row r="36" spans="1:5" x14ac:dyDescent="0.3">
      <c r="A36" s="4"/>
      <c r="B36" s="4" t="s">
        <v>40</v>
      </c>
      <c r="C36" s="4" t="s">
        <v>41</v>
      </c>
      <c r="D36" s="125"/>
      <c r="E36" s="4" t="s">
        <v>42</v>
      </c>
    </row>
    <row r="37" spans="1:5" x14ac:dyDescent="0.3">
      <c r="A37" s="4"/>
      <c r="B37" s="4"/>
      <c r="C37" s="4"/>
      <c r="D37" s="125"/>
      <c r="E37" s="4"/>
    </row>
    <row r="38" spans="1:5" x14ac:dyDescent="0.3">
      <c r="A38" s="16" t="s">
        <v>43</v>
      </c>
      <c r="B38" s="6"/>
      <c r="C38" s="6"/>
      <c r="D38" s="126"/>
      <c r="E38" s="6"/>
    </row>
    <row r="39" spans="1:5" x14ac:dyDescent="0.3">
      <c r="A39" s="4"/>
      <c r="B39" s="4" t="s">
        <v>44</v>
      </c>
      <c r="C39" s="4"/>
      <c r="D39" s="125"/>
      <c r="E39" s="4"/>
    </row>
    <row r="40" spans="1:5" x14ac:dyDescent="0.3">
      <c r="A40" s="4"/>
      <c r="B40" s="4" t="s">
        <v>45</v>
      </c>
      <c r="C40" s="4"/>
      <c r="D40" s="125"/>
      <c r="E40" s="4" t="s">
        <v>46</v>
      </c>
    </row>
    <row r="41" spans="1:5" x14ac:dyDescent="0.3">
      <c r="A41" s="4"/>
      <c r="B41" s="4" t="s">
        <v>47</v>
      </c>
      <c r="C41" s="4"/>
      <c r="D41" s="125"/>
      <c r="E41" s="4" t="s">
        <v>48</v>
      </c>
    </row>
    <row r="42" spans="1:5" x14ac:dyDescent="0.3">
      <c r="A42" s="4"/>
      <c r="B42" s="4" t="s">
        <v>49</v>
      </c>
      <c r="C42" s="4"/>
      <c r="D42" s="125"/>
      <c r="E42" s="4" t="s">
        <v>50</v>
      </c>
    </row>
    <row r="43" spans="1:5" x14ac:dyDescent="0.3">
      <c r="D43" s="3"/>
    </row>
    <row r="44" spans="1:5" ht="15.95" customHeight="1" x14ac:dyDescent="0.3">
      <c r="B44" s="104" t="s">
        <v>74</v>
      </c>
      <c r="C44" s="105"/>
      <c r="D44" s="106"/>
    </row>
    <row r="45" spans="1:5" ht="41.1" customHeight="1" x14ac:dyDescent="0.3">
      <c r="B45" s="107"/>
      <c r="C45" s="108"/>
      <c r="D45" s="109"/>
    </row>
    <row r="46" spans="1:5" ht="21.6" customHeight="1" x14ac:dyDescent="0.3">
      <c r="B46" s="11"/>
      <c r="C46" s="11"/>
      <c r="D46" s="11"/>
    </row>
    <row r="47" spans="1:5" x14ac:dyDescent="0.3">
      <c r="B47" s="12" t="s">
        <v>51</v>
      </c>
      <c r="C47" s="129"/>
      <c r="D47" s="130"/>
    </row>
    <row r="48" spans="1:5" x14ac:dyDescent="0.3">
      <c r="B48" s="12" t="s">
        <v>52</v>
      </c>
      <c r="C48" s="129"/>
      <c r="D48" s="130"/>
    </row>
    <row r="49" spans="2:4" x14ac:dyDescent="0.3">
      <c r="B49" s="12" t="s">
        <v>53</v>
      </c>
      <c r="C49" s="129"/>
      <c r="D49" s="130"/>
    </row>
    <row r="50" spans="2:4" x14ac:dyDescent="0.3">
      <c r="B50" s="12" t="s">
        <v>54</v>
      </c>
      <c r="C50" s="129"/>
      <c r="D50" s="130"/>
    </row>
    <row r="51" spans="2:4" x14ac:dyDescent="0.3">
      <c r="B51" s="12" t="s">
        <v>55</v>
      </c>
      <c r="C51" s="129"/>
      <c r="D51" s="130"/>
    </row>
    <row r="52" spans="2:4" x14ac:dyDescent="0.3">
      <c r="B52" s="12" t="s">
        <v>56</v>
      </c>
      <c r="C52" s="129"/>
      <c r="D52" s="130"/>
    </row>
    <row r="53" spans="2:4" x14ac:dyDescent="0.3">
      <c r="B53" s="102" t="s">
        <v>57</v>
      </c>
      <c r="C53" s="131"/>
      <c r="D53" s="132"/>
    </row>
    <row r="54" spans="2:4" x14ac:dyDescent="0.3">
      <c r="B54" s="103"/>
      <c r="C54" s="133"/>
      <c r="D54" s="134"/>
    </row>
    <row r="55" spans="2:4" x14ac:dyDescent="0.3">
      <c r="B55" s="13"/>
      <c r="D55" s="3"/>
    </row>
    <row r="56" spans="2:4" ht="15.95" customHeight="1" x14ac:dyDescent="0.3">
      <c r="B56" s="13"/>
      <c r="D56" s="3"/>
    </row>
    <row r="57" spans="2:4" ht="15.95" hidden="1" customHeight="1" x14ac:dyDescent="0.3">
      <c r="B57" s="13"/>
      <c r="D57" s="3"/>
    </row>
    <row r="58" spans="2:4" hidden="1" x14ac:dyDescent="0.3">
      <c r="D58" s="3"/>
    </row>
    <row r="59" spans="2:4" hidden="1" x14ac:dyDescent="0.3">
      <c r="D59" s="3"/>
    </row>
    <row r="60" spans="2:4" x14ac:dyDescent="0.3"/>
    <row r="61" spans="2:4" x14ac:dyDescent="0.3"/>
    <row r="62" spans="2:4" x14ac:dyDescent="0.3"/>
    <row r="63" spans="2:4" x14ac:dyDescent="0.3"/>
    <row r="64" spans="2:4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</sheetData>
  <sheetProtection algorithmName="SHA-512" hashValue="Ur9ML0JQgc0IPxzAT7mbdzx7PD0qF+VkCxZwiT+A7NtRygKU6Y7hAlhUlm6+WpAHYZ/is+NCr5Txk0psS8eovw==" saltValue="D4itv4GcPYsw4d3FRn5ybg==" spinCount="100000" sheet="1" objects="1" scenarios="1"/>
  <mergeCells count="9">
    <mergeCell ref="C51:D51"/>
    <mergeCell ref="C52:D52"/>
    <mergeCell ref="B53:B54"/>
    <mergeCell ref="C53:D54"/>
    <mergeCell ref="B44:D45"/>
    <mergeCell ref="C47:D47"/>
    <mergeCell ref="C48:D48"/>
    <mergeCell ref="C49:D49"/>
    <mergeCell ref="C50:D50"/>
  </mergeCells>
  <conditionalFormatting sqref="D6">
    <cfRule type="containsBlanks" dxfId="5" priority="7">
      <formula>LEN(TRIM(D6))=0</formula>
    </cfRule>
  </conditionalFormatting>
  <conditionalFormatting sqref="D7:D12">
    <cfRule type="containsBlanks" dxfId="4" priority="6">
      <formula>LEN(TRIM(D7))=0</formula>
    </cfRule>
  </conditionalFormatting>
  <conditionalFormatting sqref="D14:D15">
    <cfRule type="containsBlanks" dxfId="3" priority="5">
      <formula>LEN(TRIM(D14))=0</formula>
    </cfRule>
  </conditionalFormatting>
  <conditionalFormatting sqref="D17:D24">
    <cfRule type="containsBlanks" dxfId="2" priority="4">
      <formula>LEN(TRIM(D17))=0</formula>
    </cfRule>
  </conditionalFormatting>
  <conditionalFormatting sqref="D26:D37">
    <cfRule type="containsBlanks" dxfId="1" priority="3">
      <formula>LEN(TRIM(D26))=0</formula>
    </cfRule>
  </conditionalFormatting>
  <conditionalFormatting sqref="D39:D42">
    <cfRule type="containsBlanks" dxfId="0" priority="2">
      <formula>LEN(TRIM(D39))=0</formula>
    </cfRule>
  </conditionalFormatting>
  <hyperlinks>
    <hyperlink ref="B26" r:id="rId1" location="elektrisch" xr:uid="{7558F93F-A80D-4B44-8462-F54912FB2974}"/>
  </hyperlinks>
  <pageMargins left="0.31496062992125984" right="0.31496062992125984" top="0.55118110236220474" bottom="0.55118110236220474" header="0.31496062992125984" footer="0.31496062992125984"/>
  <pageSetup paperSize="9" scale="61" orientation="portrait" horizontalDpi="300" verticalDpi="300" r:id="rId2"/>
  <headerFooter>
    <oddFooter>&amp;CParaaf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5240-CFA0-47A4-8A26-C6EAAF7C3D70}">
  <sheetPr>
    <tabColor rgb="FF00B0F0"/>
  </sheetPr>
  <dimension ref="A1:Z47"/>
  <sheetViews>
    <sheetView topLeftCell="C1" zoomScale="85" zoomScaleNormal="85" workbookViewId="0">
      <selection activeCell="J21" sqref="J21"/>
    </sheetView>
  </sheetViews>
  <sheetFormatPr defaultColWidth="8.85546875" defaultRowHeight="15" x14ac:dyDescent="0.25"/>
  <cols>
    <col min="1" max="2" width="2.85546875" style="136" customWidth="1"/>
    <col min="3" max="3" width="32.28515625" style="136" customWidth="1"/>
    <col min="4" max="4" width="8.85546875" style="136"/>
    <col min="5" max="5" width="10.42578125" style="136" bestFit="1" customWidth="1"/>
    <col min="6" max="6" width="14.140625" style="137" customWidth="1"/>
    <col min="7" max="7" width="3.5703125" style="137" customWidth="1"/>
    <col min="8" max="8" width="8.85546875" style="136"/>
    <col min="9" max="9" width="10" style="136" customWidth="1"/>
    <col min="10" max="10" width="8.140625" style="136" customWidth="1"/>
    <col min="11" max="11" width="3.5703125" style="136" customWidth="1"/>
    <col min="12" max="14" width="8.85546875" style="136"/>
    <col min="15" max="15" width="3.5703125" style="136" customWidth="1"/>
    <col min="16" max="16" width="10" style="136" bestFit="1" customWidth="1"/>
    <col min="17" max="17" width="8.85546875" style="136"/>
    <col min="18" max="18" width="8.85546875" style="136" customWidth="1"/>
    <col min="19" max="19" width="3.5703125" style="136" customWidth="1"/>
    <col min="20" max="22" width="8.85546875" style="136"/>
    <col min="23" max="23" width="3.5703125" style="136" customWidth="1"/>
    <col min="24" max="24" width="9.7109375" style="136" bestFit="1" customWidth="1"/>
    <col min="25" max="16384" width="8.85546875" style="136"/>
  </cols>
  <sheetData>
    <row r="1" spans="3:26" x14ac:dyDescent="0.25">
      <c r="I1" s="138" t="s">
        <v>148</v>
      </c>
      <c r="J1" s="138"/>
      <c r="K1" s="139" t="s">
        <v>149</v>
      </c>
      <c r="L1" s="138">
        <v>1500</v>
      </c>
    </row>
    <row r="2" spans="3:26" x14ac:dyDescent="0.25">
      <c r="C2" s="136" t="s">
        <v>78</v>
      </c>
      <c r="I2" s="138" t="s">
        <v>148</v>
      </c>
      <c r="J2" s="138"/>
      <c r="K2" s="139" t="s">
        <v>150</v>
      </c>
      <c r="L2" s="138">
        <v>125</v>
      </c>
      <c r="P2" s="136" t="s">
        <v>123</v>
      </c>
      <c r="R2" s="140">
        <v>700</v>
      </c>
      <c r="T2" s="136" t="s">
        <v>152</v>
      </c>
      <c r="V2" s="136">
        <v>0.35</v>
      </c>
    </row>
    <row r="3" spans="3:26" x14ac:dyDescent="0.25">
      <c r="I3" s="138"/>
      <c r="J3" s="138"/>
      <c r="K3" s="138"/>
      <c r="L3" s="138"/>
      <c r="R3" s="140"/>
    </row>
    <row r="4" spans="3:26" x14ac:dyDescent="0.25">
      <c r="I4" s="138"/>
      <c r="J4" s="138"/>
      <c r="K4" s="138"/>
      <c r="L4" s="138"/>
      <c r="R4" s="140"/>
    </row>
    <row r="6" spans="3:26" x14ac:dyDescent="0.25">
      <c r="C6" s="141" t="s">
        <v>79</v>
      </c>
      <c r="D6" s="141" t="s">
        <v>80</v>
      </c>
      <c r="E6" s="141" t="s">
        <v>98</v>
      </c>
      <c r="F6" s="142" t="s">
        <v>181</v>
      </c>
      <c r="G6" s="143"/>
      <c r="H6" s="144" t="s">
        <v>81</v>
      </c>
      <c r="I6" s="144" t="s">
        <v>82</v>
      </c>
      <c r="J6" s="144" t="s">
        <v>100</v>
      </c>
      <c r="K6" s="145"/>
      <c r="L6" s="145" t="s">
        <v>99</v>
      </c>
      <c r="M6" s="145" t="s">
        <v>82</v>
      </c>
      <c r="N6" s="145" t="s">
        <v>100</v>
      </c>
      <c r="O6" s="146"/>
      <c r="P6" s="146" t="s">
        <v>122</v>
      </c>
      <c r="Q6" s="146" t="s">
        <v>82</v>
      </c>
      <c r="R6" s="146" t="s">
        <v>100</v>
      </c>
      <c r="S6" s="147"/>
      <c r="T6" s="147" t="s">
        <v>101</v>
      </c>
      <c r="U6" s="147" t="s">
        <v>82</v>
      </c>
      <c r="V6" s="147" t="s">
        <v>100</v>
      </c>
      <c r="W6" s="148"/>
      <c r="X6" s="148" t="s">
        <v>146</v>
      </c>
      <c r="Y6" s="148"/>
      <c r="Z6" s="148"/>
    </row>
    <row r="7" spans="3:26" x14ac:dyDescent="0.25">
      <c r="C7" s="138" t="s">
        <v>83</v>
      </c>
      <c r="D7" s="138">
        <v>72</v>
      </c>
      <c r="E7" s="149">
        <f>D7/$D$21</f>
        <v>0.13211009174311927</v>
      </c>
      <c r="F7" s="135" t="s">
        <v>29</v>
      </c>
      <c r="G7" s="150"/>
      <c r="H7" s="73"/>
      <c r="I7" s="151" t="str">
        <f>IF(H7="","-",250-(H7-$L$2)/$L$2*20)</f>
        <v>-</v>
      </c>
      <c r="J7" s="152" t="str">
        <f t="shared" ref="J7:J20" si="0">IFERROR(D7*I7,"-")</f>
        <v>-</v>
      </c>
      <c r="K7" s="145"/>
      <c r="L7" s="73"/>
      <c r="M7" s="153">
        <f>IF(L7="",0,(L7-1)/2)</f>
        <v>0</v>
      </c>
      <c r="N7" s="153">
        <f>E7*M7*100</f>
        <v>0</v>
      </c>
      <c r="O7" s="146"/>
      <c r="P7" s="74"/>
      <c r="Q7" s="154" t="str">
        <f>IF(P7="","",IF(($R$2-P7)/100&lt;0,0,($R$2-P7)/100))</f>
        <v/>
      </c>
      <c r="R7" s="155" t="str">
        <f>IFERROR(E7*Q7*100,"-")</f>
        <v>-</v>
      </c>
      <c r="S7" s="147"/>
      <c r="T7" s="73"/>
      <c r="U7" s="156">
        <f>IF(T7*10&lt;=10*$V$2,T7*10,3.5)</f>
        <v>0</v>
      </c>
      <c r="V7" s="157">
        <f>E7*U7*100</f>
        <v>0</v>
      </c>
      <c r="W7" s="148"/>
      <c r="X7" s="158">
        <f>(VLOOKUP("Armatuurtype "&amp;F7,MKI,4,FALSE)*D7/$D$21)</f>
        <v>24.070511559633037</v>
      </c>
      <c r="Y7" s="148"/>
      <c r="Z7" s="148"/>
    </row>
    <row r="8" spans="3:26" x14ac:dyDescent="0.25">
      <c r="C8" s="138" t="s">
        <v>84</v>
      </c>
      <c r="D8" s="138">
        <v>44</v>
      </c>
      <c r="E8" s="149">
        <f t="shared" ref="E8:E20" si="1">D8/$D$21</f>
        <v>8.0733944954128445E-2</v>
      </c>
      <c r="F8" s="135" t="s">
        <v>29</v>
      </c>
      <c r="G8" s="150"/>
      <c r="H8" s="73"/>
      <c r="I8" s="151" t="str">
        <f>IF(H8="","-",250-(H8-$L$2)/$L$2*20)</f>
        <v>-</v>
      </c>
      <c r="J8" s="152" t="str">
        <f t="shared" si="0"/>
        <v>-</v>
      </c>
      <c r="K8" s="145"/>
      <c r="L8" s="73"/>
      <c r="M8" s="153">
        <f t="shared" ref="M8:M20" si="2">IF(L8="",0,(L8-1)/2)</f>
        <v>0</v>
      </c>
      <c r="N8" s="153">
        <f t="shared" ref="N8:N20" si="3">E8*M8*100</f>
        <v>0</v>
      </c>
      <c r="O8" s="146"/>
      <c r="P8" s="74"/>
      <c r="Q8" s="154" t="str">
        <f t="shared" ref="Q8:Q20" si="4">IF(P8="","",IF(($R$2-P8)/100&lt;0,0,($R$2-P8)/100))</f>
        <v/>
      </c>
      <c r="R8" s="155" t="str">
        <f t="shared" ref="R8:R20" si="5">IFERROR(E8*Q8*100,"-")</f>
        <v>-</v>
      </c>
      <c r="S8" s="147"/>
      <c r="T8" s="73"/>
      <c r="U8" s="156">
        <f t="shared" ref="U8:U20" si="6">IF(T8*10&lt;=10*$V$2,T8*10,3.5)</f>
        <v>0</v>
      </c>
      <c r="V8" s="157">
        <f t="shared" ref="V8:V20" si="7">E8*U8*100</f>
        <v>0</v>
      </c>
      <c r="W8" s="148"/>
      <c r="X8" s="158">
        <f t="shared" ref="X8:X20" si="8">IFERROR(VLOOKUP("Armatuurtype "&amp;F8,MKI,4,FALSE)*D8/$D$21,"-")</f>
        <v>14.709757064220188</v>
      </c>
      <c r="Y8" s="148"/>
      <c r="Z8" s="148"/>
    </row>
    <row r="9" spans="3:26" x14ac:dyDescent="0.25">
      <c r="C9" s="138" t="s">
        <v>85</v>
      </c>
      <c r="D9" s="138">
        <v>36</v>
      </c>
      <c r="E9" s="149">
        <f t="shared" si="1"/>
        <v>6.6055045871559637E-2</v>
      </c>
      <c r="F9" s="135" t="s">
        <v>29</v>
      </c>
      <c r="G9" s="150"/>
      <c r="H9" s="73"/>
      <c r="I9" s="151" t="str">
        <f t="shared" ref="I9:I20" si="9">IF(H9="","-",250-(H9-$L$2)/$L$2*20)</f>
        <v>-</v>
      </c>
      <c r="J9" s="152" t="str">
        <f t="shared" si="0"/>
        <v>-</v>
      </c>
      <c r="K9" s="145"/>
      <c r="L9" s="73"/>
      <c r="M9" s="153">
        <f t="shared" si="2"/>
        <v>0</v>
      </c>
      <c r="N9" s="153">
        <f t="shared" si="3"/>
        <v>0</v>
      </c>
      <c r="O9" s="146"/>
      <c r="P9" s="74"/>
      <c r="Q9" s="154" t="str">
        <f t="shared" si="4"/>
        <v/>
      </c>
      <c r="R9" s="155" t="str">
        <f t="shared" si="5"/>
        <v>-</v>
      </c>
      <c r="S9" s="147"/>
      <c r="T9" s="73"/>
      <c r="U9" s="156">
        <f t="shared" si="6"/>
        <v>0</v>
      </c>
      <c r="V9" s="157">
        <f t="shared" si="7"/>
        <v>0</v>
      </c>
      <c r="W9" s="148"/>
      <c r="X9" s="158">
        <f t="shared" si="8"/>
        <v>12.035255779816518</v>
      </c>
      <c r="Y9" s="148"/>
      <c r="Z9" s="148"/>
    </row>
    <row r="10" spans="3:26" x14ac:dyDescent="0.25">
      <c r="C10" s="138" t="s">
        <v>86</v>
      </c>
      <c r="D10" s="138">
        <v>33</v>
      </c>
      <c r="E10" s="149">
        <f t="shared" si="1"/>
        <v>6.0550458715596334E-2</v>
      </c>
      <c r="F10" s="135" t="s">
        <v>29</v>
      </c>
      <c r="G10" s="150"/>
      <c r="H10" s="73"/>
      <c r="I10" s="151" t="str">
        <f t="shared" si="9"/>
        <v>-</v>
      </c>
      <c r="J10" s="152" t="str">
        <f t="shared" si="0"/>
        <v>-</v>
      </c>
      <c r="K10" s="145"/>
      <c r="L10" s="73"/>
      <c r="M10" s="153">
        <f t="shared" si="2"/>
        <v>0</v>
      </c>
      <c r="N10" s="153">
        <f t="shared" si="3"/>
        <v>0</v>
      </c>
      <c r="O10" s="146"/>
      <c r="P10" s="74"/>
      <c r="Q10" s="154" t="str">
        <f t="shared" si="4"/>
        <v/>
      </c>
      <c r="R10" s="155" t="str">
        <f t="shared" si="5"/>
        <v>-</v>
      </c>
      <c r="S10" s="147"/>
      <c r="T10" s="73"/>
      <c r="U10" s="156">
        <f t="shared" si="6"/>
        <v>0</v>
      </c>
      <c r="V10" s="157">
        <f t="shared" si="7"/>
        <v>0</v>
      </c>
      <c r="W10" s="148"/>
      <c r="X10" s="158">
        <f t="shared" si="8"/>
        <v>11.03231779816514</v>
      </c>
      <c r="Y10" s="148"/>
      <c r="Z10" s="148"/>
    </row>
    <row r="11" spans="3:26" x14ac:dyDescent="0.25">
      <c r="C11" s="138" t="s">
        <v>87</v>
      </c>
      <c r="D11" s="138">
        <v>36</v>
      </c>
      <c r="E11" s="149">
        <f t="shared" si="1"/>
        <v>6.6055045871559637E-2</v>
      </c>
      <c r="F11" s="135" t="s">
        <v>29</v>
      </c>
      <c r="G11" s="150"/>
      <c r="H11" s="73"/>
      <c r="I11" s="151" t="str">
        <f t="shared" si="9"/>
        <v>-</v>
      </c>
      <c r="J11" s="152" t="str">
        <f t="shared" si="0"/>
        <v>-</v>
      </c>
      <c r="K11" s="145"/>
      <c r="L11" s="73"/>
      <c r="M11" s="153">
        <f t="shared" si="2"/>
        <v>0</v>
      </c>
      <c r="N11" s="153">
        <f t="shared" si="3"/>
        <v>0</v>
      </c>
      <c r="O11" s="146"/>
      <c r="P11" s="74"/>
      <c r="Q11" s="154" t="str">
        <f t="shared" si="4"/>
        <v/>
      </c>
      <c r="R11" s="155" t="str">
        <f t="shared" si="5"/>
        <v>-</v>
      </c>
      <c r="S11" s="147"/>
      <c r="T11" s="73"/>
      <c r="U11" s="156">
        <f t="shared" si="6"/>
        <v>0</v>
      </c>
      <c r="V11" s="157">
        <f t="shared" si="7"/>
        <v>0</v>
      </c>
      <c r="W11" s="148"/>
      <c r="X11" s="158">
        <f t="shared" si="8"/>
        <v>12.035255779816518</v>
      </c>
      <c r="Y11" s="148"/>
      <c r="Z11" s="148"/>
    </row>
    <row r="12" spans="3:26" x14ac:dyDescent="0.25">
      <c r="C12" s="138" t="s">
        <v>88</v>
      </c>
      <c r="D12" s="138">
        <v>40</v>
      </c>
      <c r="E12" s="149">
        <f t="shared" si="1"/>
        <v>7.3394495412844041E-2</v>
      </c>
      <c r="F12" s="135" t="s">
        <v>29</v>
      </c>
      <c r="G12" s="150"/>
      <c r="H12" s="73"/>
      <c r="I12" s="151" t="str">
        <f t="shared" si="9"/>
        <v>-</v>
      </c>
      <c r="J12" s="152" t="str">
        <f t="shared" si="0"/>
        <v>-</v>
      </c>
      <c r="K12" s="145"/>
      <c r="L12" s="73"/>
      <c r="M12" s="153">
        <f t="shared" si="2"/>
        <v>0</v>
      </c>
      <c r="N12" s="153">
        <f t="shared" si="3"/>
        <v>0</v>
      </c>
      <c r="O12" s="146"/>
      <c r="P12" s="74"/>
      <c r="Q12" s="154" t="str">
        <f t="shared" si="4"/>
        <v/>
      </c>
      <c r="R12" s="155" t="str">
        <f t="shared" si="5"/>
        <v>-</v>
      </c>
      <c r="S12" s="147"/>
      <c r="T12" s="73"/>
      <c r="U12" s="156">
        <f t="shared" si="6"/>
        <v>0</v>
      </c>
      <c r="V12" s="157">
        <f t="shared" si="7"/>
        <v>0</v>
      </c>
      <c r="W12" s="148"/>
      <c r="X12" s="158">
        <f t="shared" si="8"/>
        <v>13.372506422018352</v>
      </c>
      <c r="Y12" s="148"/>
      <c r="Z12" s="148"/>
    </row>
    <row r="13" spans="3:26" x14ac:dyDescent="0.25">
      <c r="C13" s="138" t="s">
        <v>89</v>
      </c>
      <c r="D13" s="138">
        <v>42</v>
      </c>
      <c r="E13" s="149">
        <f t="shared" si="1"/>
        <v>7.7064220183486243E-2</v>
      </c>
      <c r="F13" s="135" t="s">
        <v>29</v>
      </c>
      <c r="G13" s="150"/>
      <c r="H13" s="73"/>
      <c r="I13" s="151" t="str">
        <f t="shared" si="9"/>
        <v>-</v>
      </c>
      <c r="J13" s="152" t="str">
        <f t="shared" si="0"/>
        <v>-</v>
      </c>
      <c r="K13" s="145"/>
      <c r="L13" s="73"/>
      <c r="M13" s="153">
        <f t="shared" si="2"/>
        <v>0</v>
      </c>
      <c r="N13" s="153">
        <f t="shared" si="3"/>
        <v>0</v>
      </c>
      <c r="O13" s="146"/>
      <c r="P13" s="74"/>
      <c r="Q13" s="154" t="str">
        <f t="shared" si="4"/>
        <v/>
      </c>
      <c r="R13" s="155" t="str">
        <f t="shared" si="5"/>
        <v>-</v>
      </c>
      <c r="S13" s="147"/>
      <c r="T13" s="73"/>
      <c r="U13" s="156">
        <f t="shared" si="6"/>
        <v>0</v>
      </c>
      <c r="V13" s="157">
        <f t="shared" si="7"/>
        <v>0</v>
      </c>
      <c r="W13" s="148"/>
      <c r="X13" s="158">
        <f t="shared" si="8"/>
        <v>14.041131743119271</v>
      </c>
      <c r="Y13" s="148"/>
      <c r="Z13" s="148"/>
    </row>
    <row r="14" spans="3:26" x14ac:dyDescent="0.25">
      <c r="C14" s="138" t="s">
        <v>90</v>
      </c>
      <c r="D14" s="138">
        <v>38</v>
      </c>
      <c r="E14" s="149">
        <f t="shared" si="1"/>
        <v>6.9724770642201839E-2</v>
      </c>
      <c r="F14" s="135" t="s">
        <v>29</v>
      </c>
      <c r="G14" s="150"/>
      <c r="H14" s="73"/>
      <c r="I14" s="151" t="str">
        <f t="shared" si="9"/>
        <v>-</v>
      </c>
      <c r="J14" s="152" t="str">
        <f t="shared" si="0"/>
        <v>-</v>
      </c>
      <c r="K14" s="145"/>
      <c r="L14" s="73"/>
      <c r="M14" s="153">
        <f t="shared" si="2"/>
        <v>0</v>
      </c>
      <c r="N14" s="153">
        <f t="shared" si="3"/>
        <v>0</v>
      </c>
      <c r="O14" s="146"/>
      <c r="P14" s="74"/>
      <c r="Q14" s="154" t="str">
        <f t="shared" si="4"/>
        <v/>
      </c>
      <c r="R14" s="155" t="str">
        <f t="shared" si="5"/>
        <v>-</v>
      </c>
      <c r="S14" s="147"/>
      <c r="T14" s="73"/>
      <c r="U14" s="156">
        <f t="shared" si="6"/>
        <v>0</v>
      </c>
      <c r="V14" s="157">
        <f t="shared" si="7"/>
        <v>0</v>
      </c>
      <c r="W14" s="148"/>
      <c r="X14" s="158">
        <f t="shared" si="8"/>
        <v>12.703881100917435</v>
      </c>
      <c r="Y14" s="148"/>
      <c r="Z14" s="148"/>
    </row>
    <row r="15" spans="3:26" x14ac:dyDescent="0.25">
      <c r="C15" s="138" t="s">
        <v>91</v>
      </c>
      <c r="D15" s="138">
        <v>37</v>
      </c>
      <c r="E15" s="149">
        <f t="shared" si="1"/>
        <v>6.7889908256880738E-2</v>
      </c>
      <c r="F15" s="135" t="s">
        <v>29</v>
      </c>
      <c r="G15" s="150"/>
      <c r="H15" s="73"/>
      <c r="I15" s="151" t="str">
        <f t="shared" si="9"/>
        <v>-</v>
      </c>
      <c r="J15" s="152" t="str">
        <f t="shared" si="0"/>
        <v>-</v>
      </c>
      <c r="K15" s="145"/>
      <c r="L15" s="73"/>
      <c r="M15" s="153">
        <f t="shared" si="2"/>
        <v>0</v>
      </c>
      <c r="N15" s="153">
        <f t="shared" si="3"/>
        <v>0</v>
      </c>
      <c r="O15" s="146"/>
      <c r="P15" s="74"/>
      <c r="Q15" s="154" t="str">
        <f t="shared" si="4"/>
        <v/>
      </c>
      <c r="R15" s="155" t="str">
        <f t="shared" si="5"/>
        <v>-</v>
      </c>
      <c r="S15" s="147"/>
      <c r="T15" s="73"/>
      <c r="U15" s="156">
        <f t="shared" si="6"/>
        <v>0</v>
      </c>
      <c r="V15" s="157">
        <f t="shared" si="7"/>
        <v>0</v>
      </c>
      <c r="W15" s="148"/>
      <c r="X15" s="158">
        <f t="shared" si="8"/>
        <v>12.369568440366976</v>
      </c>
      <c r="Y15" s="148"/>
      <c r="Z15" s="148"/>
    </row>
    <row r="16" spans="3:26" x14ac:dyDescent="0.25">
      <c r="C16" s="138" t="s">
        <v>92</v>
      </c>
      <c r="D16" s="138">
        <v>35</v>
      </c>
      <c r="E16" s="149">
        <f t="shared" si="1"/>
        <v>6.4220183486238536E-2</v>
      </c>
      <c r="F16" s="135" t="s">
        <v>29</v>
      </c>
      <c r="G16" s="150"/>
      <c r="H16" s="73"/>
      <c r="I16" s="151" t="str">
        <f t="shared" si="9"/>
        <v>-</v>
      </c>
      <c r="J16" s="152" t="str">
        <f t="shared" si="0"/>
        <v>-</v>
      </c>
      <c r="K16" s="145"/>
      <c r="L16" s="73"/>
      <c r="M16" s="153">
        <f t="shared" si="2"/>
        <v>0</v>
      </c>
      <c r="N16" s="153">
        <f t="shared" si="3"/>
        <v>0</v>
      </c>
      <c r="O16" s="146"/>
      <c r="P16" s="74"/>
      <c r="Q16" s="154" t="str">
        <f t="shared" si="4"/>
        <v/>
      </c>
      <c r="R16" s="155" t="str">
        <f t="shared" si="5"/>
        <v>-</v>
      </c>
      <c r="S16" s="147"/>
      <c r="T16" s="73"/>
      <c r="U16" s="156">
        <f t="shared" si="6"/>
        <v>0</v>
      </c>
      <c r="V16" s="157">
        <f t="shared" si="7"/>
        <v>0</v>
      </c>
      <c r="W16" s="148"/>
      <c r="X16" s="158">
        <f t="shared" si="8"/>
        <v>11.700943119266059</v>
      </c>
      <c r="Y16" s="148"/>
      <c r="Z16" s="148"/>
    </row>
    <row r="17" spans="3:26" x14ac:dyDescent="0.25">
      <c r="C17" s="138" t="s">
        <v>93</v>
      </c>
      <c r="D17" s="138">
        <v>36</v>
      </c>
      <c r="E17" s="149">
        <f t="shared" si="1"/>
        <v>6.6055045871559637E-2</v>
      </c>
      <c r="F17" s="135" t="s">
        <v>29</v>
      </c>
      <c r="G17" s="150"/>
      <c r="H17" s="73"/>
      <c r="I17" s="151" t="str">
        <f t="shared" si="9"/>
        <v>-</v>
      </c>
      <c r="J17" s="152" t="str">
        <f t="shared" si="0"/>
        <v>-</v>
      </c>
      <c r="K17" s="145"/>
      <c r="L17" s="73"/>
      <c r="M17" s="153">
        <f t="shared" si="2"/>
        <v>0</v>
      </c>
      <c r="N17" s="153">
        <f t="shared" si="3"/>
        <v>0</v>
      </c>
      <c r="O17" s="146"/>
      <c r="P17" s="74"/>
      <c r="Q17" s="154" t="str">
        <f t="shared" si="4"/>
        <v/>
      </c>
      <c r="R17" s="155" t="str">
        <f t="shared" si="5"/>
        <v>-</v>
      </c>
      <c r="S17" s="147"/>
      <c r="T17" s="73"/>
      <c r="U17" s="156">
        <f t="shared" si="6"/>
        <v>0</v>
      </c>
      <c r="V17" s="157">
        <f t="shared" si="7"/>
        <v>0</v>
      </c>
      <c r="W17" s="148"/>
      <c r="X17" s="158">
        <f t="shared" si="8"/>
        <v>12.035255779816518</v>
      </c>
      <c r="Y17" s="148"/>
      <c r="Z17" s="148"/>
    </row>
    <row r="18" spans="3:26" x14ac:dyDescent="0.25">
      <c r="C18" s="138" t="s">
        <v>94</v>
      </c>
      <c r="D18" s="138">
        <v>34</v>
      </c>
      <c r="E18" s="149">
        <f t="shared" si="1"/>
        <v>6.2385321100917435E-2</v>
      </c>
      <c r="F18" s="135" t="s">
        <v>29</v>
      </c>
      <c r="G18" s="150"/>
      <c r="H18" s="73"/>
      <c r="I18" s="151" t="str">
        <f t="shared" si="9"/>
        <v>-</v>
      </c>
      <c r="J18" s="152" t="str">
        <f t="shared" si="0"/>
        <v>-</v>
      </c>
      <c r="K18" s="145"/>
      <c r="L18" s="73"/>
      <c r="M18" s="153">
        <f t="shared" si="2"/>
        <v>0</v>
      </c>
      <c r="N18" s="153">
        <f t="shared" si="3"/>
        <v>0</v>
      </c>
      <c r="O18" s="146"/>
      <c r="P18" s="74"/>
      <c r="Q18" s="154" t="str">
        <f t="shared" si="4"/>
        <v/>
      </c>
      <c r="R18" s="155" t="str">
        <f t="shared" si="5"/>
        <v>-</v>
      </c>
      <c r="S18" s="147"/>
      <c r="T18" s="73"/>
      <c r="U18" s="156">
        <f t="shared" si="6"/>
        <v>0</v>
      </c>
      <c r="V18" s="157">
        <f t="shared" si="7"/>
        <v>0</v>
      </c>
      <c r="W18" s="148"/>
      <c r="X18" s="158">
        <f t="shared" si="8"/>
        <v>11.366630458715601</v>
      </c>
      <c r="Y18" s="148"/>
      <c r="Z18" s="148"/>
    </row>
    <row r="19" spans="3:26" x14ac:dyDescent="0.25">
      <c r="C19" s="138" t="s">
        <v>95</v>
      </c>
      <c r="D19" s="138">
        <v>31</v>
      </c>
      <c r="E19" s="149">
        <f t="shared" si="1"/>
        <v>5.6880733944954132E-2</v>
      </c>
      <c r="F19" s="135" t="s">
        <v>29</v>
      </c>
      <c r="G19" s="150"/>
      <c r="H19" s="73"/>
      <c r="I19" s="151" t="str">
        <f t="shared" si="9"/>
        <v>-</v>
      </c>
      <c r="J19" s="152" t="str">
        <f t="shared" si="0"/>
        <v>-</v>
      </c>
      <c r="K19" s="145"/>
      <c r="L19" s="73"/>
      <c r="M19" s="153">
        <f t="shared" si="2"/>
        <v>0</v>
      </c>
      <c r="N19" s="153">
        <f t="shared" si="3"/>
        <v>0</v>
      </c>
      <c r="O19" s="146"/>
      <c r="P19" s="74"/>
      <c r="Q19" s="154" t="str">
        <f t="shared" si="4"/>
        <v/>
      </c>
      <c r="R19" s="155" t="str">
        <f t="shared" si="5"/>
        <v>-</v>
      </c>
      <c r="S19" s="147"/>
      <c r="T19" s="73"/>
      <c r="U19" s="156">
        <f t="shared" si="6"/>
        <v>0</v>
      </c>
      <c r="V19" s="157">
        <f t="shared" si="7"/>
        <v>0</v>
      </c>
      <c r="W19" s="148"/>
      <c r="X19" s="158">
        <f t="shared" si="8"/>
        <v>10.363692477064225</v>
      </c>
      <c r="Y19" s="148"/>
      <c r="Z19" s="148"/>
    </row>
    <row r="20" spans="3:26" ht="15.75" thickBot="1" x14ac:dyDescent="0.3">
      <c r="C20" s="138" t="s">
        <v>96</v>
      </c>
      <c r="D20" s="138">
        <v>31</v>
      </c>
      <c r="E20" s="149">
        <f t="shared" si="1"/>
        <v>5.6880733944954132E-2</v>
      </c>
      <c r="F20" s="135" t="s">
        <v>29</v>
      </c>
      <c r="G20" s="150"/>
      <c r="H20" s="73"/>
      <c r="I20" s="151" t="str">
        <f t="shared" si="9"/>
        <v>-</v>
      </c>
      <c r="J20" s="152" t="str">
        <f t="shared" si="0"/>
        <v>-</v>
      </c>
      <c r="K20" s="145"/>
      <c r="L20" s="73"/>
      <c r="M20" s="153">
        <f t="shared" si="2"/>
        <v>0</v>
      </c>
      <c r="N20" s="153">
        <f t="shared" si="3"/>
        <v>0</v>
      </c>
      <c r="O20" s="146"/>
      <c r="P20" s="74"/>
      <c r="Q20" s="154" t="str">
        <f t="shared" si="4"/>
        <v/>
      </c>
      <c r="R20" s="155" t="str">
        <f t="shared" si="5"/>
        <v>-</v>
      </c>
      <c r="S20" s="147"/>
      <c r="T20" s="73"/>
      <c r="U20" s="156">
        <f t="shared" si="6"/>
        <v>0</v>
      </c>
      <c r="V20" s="157">
        <f t="shared" si="7"/>
        <v>0</v>
      </c>
      <c r="W20" s="148"/>
      <c r="X20" s="158">
        <f t="shared" si="8"/>
        <v>10.363692477064225</v>
      </c>
      <c r="Y20" s="148"/>
      <c r="Z20" s="148"/>
    </row>
    <row r="21" spans="3:26" ht="15.75" thickBot="1" x14ac:dyDescent="0.3">
      <c r="C21" s="138" t="s">
        <v>117</v>
      </c>
      <c r="D21" s="138">
        <f>SUM(D7:D20)</f>
        <v>545</v>
      </c>
      <c r="E21" s="138"/>
      <c r="F21" s="159"/>
      <c r="G21" s="160"/>
      <c r="H21" s="151"/>
      <c r="I21" s="151"/>
      <c r="J21" s="179">
        <f>SUM(J7:J20)/D21</f>
        <v>0</v>
      </c>
      <c r="K21" s="145"/>
      <c r="L21" s="145"/>
      <c r="M21" s="145"/>
      <c r="N21" s="161">
        <f>SUM(N7:N20)</f>
        <v>0</v>
      </c>
      <c r="O21" s="146"/>
      <c r="P21" s="162"/>
      <c r="Q21" s="162"/>
      <c r="R21" s="163">
        <f>SUM(R7:R20)</f>
        <v>0</v>
      </c>
      <c r="S21" s="147"/>
      <c r="T21" s="147"/>
      <c r="U21" s="147"/>
      <c r="V21" s="164">
        <f>SUM(V7:V20)</f>
        <v>0</v>
      </c>
      <c r="W21" s="148"/>
      <c r="X21" s="165">
        <f>SUM(X7:X20)</f>
        <v>182.20040000000009</v>
      </c>
      <c r="Y21" s="148"/>
      <c r="Z21" s="148"/>
    </row>
    <row r="22" spans="3:26" x14ac:dyDescent="0.25">
      <c r="C22" s="166" t="s">
        <v>142</v>
      </c>
    </row>
    <row r="25" spans="3:26" s="167" customFormat="1" x14ac:dyDescent="0.25">
      <c r="F25" s="168"/>
      <c r="G25" s="168"/>
    </row>
    <row r="26" spans="3:26" s="167" customFormat="1" x14ac:dyDescent="0.25">
      <c r="F26" s="168"/>
      <c r="G26" s="168"/>
    </row>
    <row r="27" spans="3:26" s="167" customFormat="1" x14ac:dyDescent="0.25">
      <c r="F27" s="168"/>
      <c r="G27" s="168"/>
    </row>
    <row r="29" spans="3:26" x14ac:dyDescent="0.25">
      <c r="C29" s="136" t="s">
        <v>180</v>
      </c>
      <c r="H29" s="136" t="s">
        <v>194</v>
      </c>
      <c r="M29" s="169"/>
    </row>
    <row r="30" spans="3:26" x14ac:dyDescent="0.25">
      <c r="C30" s="170" t="s">
        <v>165</v>
      </c>
      <c r="D30" s="170" t="s">
        <v>139</v>
      </c>
      <c r="E30" s="170"/>
      <c r="F30" s="171"/>
      <c r="G30" s="171"/>
      <c r="H30" s="137"/>
      <c r="I30" s="137"/>
    </row>
    <row r="31" spans="3:26" x14ac:dyDescent="0.25">
      <c r="C31" s="138" t="s">
        <v>138</v>
      </c>
      <c r="D31" s="110"/>
      <c r="E31" s="111"/>
      <c r="F31" s="112"/>
      <c r="G31" s="172"/>
      <c r="H31" s="173" t="s">
        <v>195</v>
      </c>
      <c r="I31" s="137"/>
    </row>
    <row r="32" spans="3:26" x14ac:dyDescent="0.25">
      <c r="C32" s="138" t="s">
        <v>140</v>
      </c>
      <c r="D32" s="110"/>
      <c r="E32" s="111"/>
      <c r="F32" s="112"/>
      <c r="G32" s="172"/>
      <c r="H32" s="173" t="s">
        <v>196</v>
      </c>
      <c r="I32" s="137"/>
    </row>
    <row r="33" spans="1:9" x14ac:dyDescent="0.25">
      <c r="C33" s="138" t="s">
        <v>141</v>
      </c>
      <c r="D33" s="110"/>
      <c r="E33" s="111"/>
      <c r="F33" s="112"/>
      <c r="G33" s="172"/>
      <c r="H33" s="173" t="s">
        <v>197</v>
      </c>
      <c r="I33" s="137"/>
    </row>
    <row r="34" spans="1:9" x14ac:dyDescent="0.25">
      <c r="C34" s="138" t="s">
        <v>160</v>
      </c>
      <c r="D34" s="110"/>
      <c r="E34" s="111"/>
      <c r="F34" s="112"/>
      <c r="G34" s="172"/>
      <c r="H34" s="137" t="s">
        <v>198</v>
      </c>
      <c r="I34" s="137"/>
    </row>
    <row r="35" spans="1:9" x14ac:dyDescent="0.25">
      <c r="C35" s="138" t="s">
        <v>189</v>
      </c>
      <c r="D35" s="110"/>
      <c r="E35" s="111"/>
      <c r="F35" s="112"/>
      <c r="G35" s="172"/>
      <c r="H35" s="137"/>
      <c r="I35" s="137"/>
    </row>
    <row r="36" spans="1:9" x14ac:dyDescent="0.25">
      <c r="C36" s="138" t="s">
        <v>161</v>
      </c>
      <c r="D36" s="110"/>
      <c r="E36" s="111"/>
      <c r="F36" s="112"/>
      <c r="G36" s="172"/>
      <c r="H36" s="137"/>
      <c r="I36" s="137"/>
    </row>
    <row r="37" spans="1:9" x14ac:dyDescent="0.25">
      <c r="C37" s="138" t="s">
        <v>162</v>
      </c>
      <c r="D37" s="110"/>
      <c r="E37" s="111"/>
      <c r="F37" s="112"/>
      <c r="G37" s="172"/>
      <c r="H37" s="137"/>
      <c r="I37" s="137"/>
    </row>
    <row r="38" spans="1:9" x14ac:dyDescent="0.25">
      <c r="C38" s="75"/>
      <c r="D38" s="113"/>
      <c r="E38" s="113"/>
      <c r="F38" s="113"/>
      <c r="G38" s="174"/>
      <c r="H38" s="137"/>
      <c r="I38" s="137"/>
    </row>
    <row r="39" spans="1:9" x14ac:dyDescent="0.25">
      <c r="C39" s="75"/>
      <c r="D39" s="113"/>
      <c r="E39" s="113"/>
      <c r="F39" s="113"/>
      <c r="G39" s="174"/>
      <c r="H39" s="175" t="s">
        <v>82</v>
      </c>
      <c r="I39" s="175"/>
    </row>
    <row r="40" spans="1:9" x14ac:dyDescent="0.25">
      <c r="C40" s="138" t="s">
        <v>190</v>
      </c>
      <c r="D40" s="176">
        <f>COUNTA(D31:F38)</f>
        <v>0</v>
      </c>
      <c r="E40" s="176"/>
      <c r="F40" s="176"/>
      <c r="G40" s="159"/>
      <c r="H40" s="177" t="str">
        <f>IF(D40=0,"",11-D40)</f>
        <v/>
      </c>
      <c r="I40" s="177"/>
    </row>
    <row r="46" spans="1:9" x14ac:dyDescent="0.25">
      <c r="A46" s="167"/>
      <c r="B46" s="167"/>
      <c r="C46" s="167"/>
      <c r="D46" s="167"/>
      <c r="E46" s="167"/>
    </row>
    <row r="47" spans="1:9" x14ac:dyDescent="0.25">
      <c r="A47" s="167"/>
      <c r="B47" s="167"/>
      <c r="C47" s="167"/>
      <c r="D47" s="167"/>
      <c r="E47" s="167"/>
    </row>
  </sheetData>
  <mergeCells count="12">
    <mergeCell ref="D38:F38"/>
    <mergeCell ref="D39:F39"/>
    <mergeCell ref="D40:F40"/>
    <mergeCell ref="H39:I39"/>
    <mergeCell ref="H40:I40"/>
    <mergeCell ref="D36:F36"/>
    <mergeCell ref="D37:F37"/>
    <mergeCell ref="D31:F31"/>
    <mergeCell ref="D32:F32"/>
    <mergeCell ref="D33:F33"/>
    <mergeCell ref="D34:F34"/>
    <mergeCell ref="D35:F35"/>
  </mergeCells>
  <pageMargins left="0.7" right="0.7" top="0.75" bottom="0.75" header="0.3" footer="0.3"/>
  <pageSetup paperSize="9" orientation="portrait" r:id="rId1"/>
  <headerFooter>
    <oddFooter>&amp;CParaaf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5DF9-F248-4AC1-B2F4-F857E8023199}">
  <sheetPr>
    <tabColor rgb="FF00B0F0"/>
  </sheetPr>
  <dimension ref="A1:S42"/>
  <sheetViews>
    <sheetView topLeftCell="G1" zoomScaleNormal="100" workbookViewId="0">
      <selection activeCell="H18" sqref="H18"/>
    </sheetView>
  </sheetViews>
  <sheetFormatPr defaultRowHeight="15" outlineLevelCol="1" x14ac:dyDescent="0.25"/>
  <cols>
    <col min="1" max="1" width="9.140625" hidden="1" customWidth="1" outlineLevel="1"/>
    <col min="2" max="2" width="10.5703125" hidden="1" customWidth="1" outlineLevel="1"/>
    <col min="3" max="6" width="9.140625" hidden="1" customWidth="1" outlineLevel="1"/>
    <col min="7" max="7" width="22" customWidth="1" collapsed="1"/>
    <col min="8" max="8" width="26" bestFit="1" customWidth="1"/>
    <col min="9" max="9" width="9.140625" style="23"/>
    <col min="10" max="10" width="9.140625" hidden="1" customWidth="1" outlineLevel="1"/>
    <col min="11" max="11" width="9.140625" collapsed="1"/>
    <col min="16" max="16" width="19.28515625" customWidth="1"/>
    <col min="18" max="18" width="9.140625" hidden="1" customWidth="1" outlineLevel="1"/>
    <col min="19" max="19" width="9.140625" collapsed="1"/>
  </cols>
  <sheetData>
    <row r="1" spans="1:19" ht="15" customHeight="1" x14ac:dyDescent="0.25">
      <c r="A1" t="s">
        <v>118</v>
      </c>
      <c r="F1" t="s">
        <v>82</v>
      </c>
    </row>
    <row r="2" spans="1:19" ht="15" customHeight="1" x14ac:dyDescent="0.25">
      <c r="H2" s="18"/>
      <c r="I2" s="38"/>
      <c r="J2" s="18"/>
    </row>
    <row r="3" spans="1:19" ht="15.75" customHeight="1" x14ac:dyDescent="0.25">
      <c r="B3" s="39" t="s">
        <v>119</v>
      </c>
      <c r="C3" s="39"/>
      <c r="H3" s="57" t="s">
        <v>119</v>
      </c>
      <c r="I3" s="58"/>
      <c r="J3" s="57"/>
      <c r="K3" s="57"/>
      <c r="P3" s="50" t="s">
        <v>156</v>
      </c>
      <c r="Q3" s="51"/>
      <c r="R3" s="50"/>
      <c r="S3" s="50"/>
    </row>
    <row r="4" spans="1:19" x14ac:dyDescent="0.25">
      <c r="B4" s="39">
        <v>3</v>
      </c>
      <c r="C4" s="39">
        <v>-5</v>
      </c>
      <c r="H4" s="40" t="s">
        <v>124</v>
      </c>
      <c r="I4" s="72"/>
      <c r="J4" s="40" t="str">
        <f>IFERROR(VLOOKUP(I4,CO_2,2,FALSE),"ongeldig")</f>
        <v>ongeldig</v>
      </c>
      <c r="K4" s="40" t="str">
        <f>trede_CO2</f>
        <v>ongeldig</v>
      </c>
      <c r="P4" s="65"/>
      <c r="Q4" s="72"/>
      <c r="R4" s="66" t="e">
        <f>VLOOKUP(Q4,B28:C37,2,FALSE)</f>
        <v>#N/A</v>
      </c>
      <c r="S4" s="67" t="str">
        <f>IFERROR(R4,"")</f>
        <v/>
      </c>
    </row>
    <row r="5" spans="1:19" x14ac:dyDescent="0.25">
      <c r="B5" s="39">
        <v>4</v>
      </c>
      <c r="C5" s="39">
        <v>0</v>
      </c>
      <c r="H5" s="40"/>
      <c r="I5" s="40"/>
      <c r="J5" s="40"/>
      <c r="K5" s="40"/>
      <c r="P5" s="68"/>
      <c r="Q5" s="69"/>
      <c r="R5" s="68"/>
      <c r="S5" s="68"/>
    </row>
    <row r="6" spans="1:19" x14ac:dyDescent="0.25">
      <c r="B6" s="39">
        <v>5</v>
      </c>
      <c r="C6" s="39">
        <v>10</v>
      </c>
      <c r="H6" s="18"/>
      <c r="I6" s="38"/>
      <c r="J6" s="18"/>
      <c r="K6" s="18"/>
      <c r="Q6" s="23"/>
    </row>
    <row r="7" spans="1:19" x14ac:dyDescent="0.25">
      <c r="Q7" s="23"/>
    </row>
    <row r="8" spans="1:19" x14ac:dyDescent="0.25">
      <c r="B8" s="41" t="s">
        <v>120</v>
      </c>
      <c r="C8" s="41"/>
      <c r="H8" s="59" t="s">
        <v>120</v>
      </c>
      <c r="I8" s="60"/>
      <c r="J8" s="59"/>
      <c r="K8" s="59"/>
      <c r="P8" s="64" t="s">
        <v>147</v>
      </c>
      <c r="Q8" s="64"/>
      <c r="R8" s="64"/>
      <c r="S8" s="64"/>
    </row>
    <row r="9" spans="1:19" x14ac:dyDescent="0.25">
      <c r="B9" s="41">
        <v>3</v>
      </c>
      <c r="C9" s="41">
        <v>-5</v>
      </c>
      <c r="H9" s="22" t="s">
        <v>124</v>
      </c>
      <c r="I9" s="72"/>
      <c r="J9" s="22" t="str">
        <f>IFERROR(VLOOKUP(I9,MVO,2,FALSE),"ongeldig")</f>
        <v>ongeldig</v>
      </c>
      <c r="K9" s="22" t="str">
        <f>J9</f>
        <v>ongeldig</v>
      </c>
      <c r="P9" s="48"/>
      <c r="Q9" s="72"/>
      <c r="R9" s="48">
        <f>IF(Q9="nee",-10,0)</f>
        <v>0</v>
      </c>
      <c r="S9" s="48" t="str">
        <f>IF(Q9="","FOUT",R9)</f>
        <v>FOUT</v>
      </c>
    </row>
    <row r="10" spans="1:19" x14ac:dyDescent="0.25">
      <c r="B10" s="41">
        <v>4</v>
      </c>
      <c r="C10" s="41">
        <v>0</v>
      </c>
      <c r="H10" s="22"/>
      <c r="I10" s="42"/>
      <c r="J10" s="22"/>
      <c r="K10" s="22"/>
      <c r="P10" s="48"/>
      <c r="Q10" s="71"/>
      <c r="R10" s="48"/>
      <c r="S10" s="48"/>
    </row>
    <row r="11" spans="1:19" x14ac:dyDescent="0.25">
      <c r="B11" s="41">
        <v>5</v>
      </c>
      <c r="C11" s="41">
        <v>10</v>
      </c>
      <c r="H11" s="18"/>
      <c r="I11" s="38"/>
      <c r="J11" s="18"/>
      <c r="K11" s="18"/>
    </row>
    <row r="12" spans="1:19" x14ac:dyDescent="0.25">
      <c r="H12" s="18"/>
      <c r="I12" s="38"/>
      <c r="J12" s="18"/>
      <c r="K12" s="18"/>
    </row>
    <row r="13" spans="1:19" x14ac:dyDescent="0.25">
      <c r="B13" s="43" t="s">
        <v>61</v>
      </c>
      <c r="C13" s="43"/>
      <c r="H13" s="61" t="s">
        <v>61</v>
      </c>
      <c r="I13" s="62"/>
      <c r="J13" s="61"/>
      <c r="K13" s="61"/>
    </row>
    <row r="14" spans="1:19" x14ac:dyDescent="0.25">
      <c r="B14" s="43">
        <v>10</v>
      </c>
      <c r="C14" s="43">
        <v>0</v>
      </c>
      <c r="H14" s="21" t="s">
        <v>4</v>
      </c>
      <c r="I14" s="72"/>
      <c r="J14" s="44" t="str">
        <f>IF((I14-10)&lt;0,"ongeldig",((I14-10)/2))</f>
        <v>ongeldig</v>
      </c>
      <c r="K14" s="44" t="str">
        <f>J14</f>
        <v>ongeldig</v>
      </c>
    </row>
    <row r="15" spans="1:19" x14ac:dyDescent="0.25">
      <c r="B15" s="43">
        <v>15</v>
      </c>
      <c r="C15" s="43">
        <f>(B15-10)/2</f>
        <v>2.5</v>
      </c>
      <c r="H15" s="21"/>
      <c r="I15" s="44"/>
      <c r="J15" s="44"/>
      <c r="K15" s="44"/>
    </row>
    <row r="16" spans="1:19" x14ac:dyDescent="0.25">
      <c r="B16" s="43">
        <v>20</v>
      </c>
      <c r="C16" s="43">
        <f>(B16-10)/2</f>
        <v>5</v>
      </c>
      <c r="H16" s="18"/>
      <c r="I16" s="38"/>
      <c r="J16" s="18"/>
      <c r="K16" s="18"/>
    </row>
    <row r="17" spans="2:11" x14ac:dyDescent="0.25">
      <c r="B17" s="43">
        <v>25</v>
      </c>
      <c r="C17" s="43">
        <f>(B17-10)/2</f>
        <v>7.5</v>
      </c>
      <c r="H17" s="20" t="s">
        <v>121</v>
      </c>
      <c r="I17" s="63"/>
      <c r="J17" s="20"/>
      <c r="K17" s="20"/>
    </row>
    <row r="18" spans="2:11" x14ac:dyDescent="0.25">
      <c r="B18" s="43">
        <v>30</v>
      </c>
      <c r="C18" s="43">
        <f>(B18-10)/2</f>
        <v>10</v>
      </c>
      <c r="H18" s="19" t="s">
        <v>4</v>
      </c>
      <c r="I18" s="72"/>
      <c r="J18" s="19">
        <f>ROUND((I18/MIN($B$22:$B$23))*5,0)</f>
        <v>0</v>
      </c>
      <c r="K18" s="76">
        <f>ROUND(J18,0)</f>
        <v>0</v>
      </c>
    </row>
    <row r="19" spans="2:11" x14ac:dyDescent="0.25">
      <c r="H19" s="37" t="s">
        <v>129</v>
      </c>
      <c r="I19" s="72"/>
      <c r="J19" s="19">
        <f>IF(I19="ja",5,0)</f>
        <v>0</v>
      </c>
      <c r="K19" s="19">
        <f>J19</f>
        <v>0</v>
      </c>
    </row>
    <row r="20" spans="2:11" x14ac:dyDescent="0.25">
      <c r="H20" s="37"/>
      <c r="I20" s="70"/>
      <c r="J20" s="19"/>
      <c r="K20" s="19"/>
    </row>
    <row r="21" spans="2:11" x14ac:dyDescent="0.25">
      <c r="B21" s="45" t="s">
        <v>121</v>
      </c>
      <c r="C21" s="45"/>
      <c r="I21"/>
    </row>
    <row r="22" spans="2:11" s="119" customFormat="1" x14ac:dyDescent="0.25">
      <c r="B22" s="121">
        <v>60</v>
      </c>
      <c r="C22" s="121">
        <v>10</v>
      </c>
      <c r="I22" s="122"/>
    </row>
    <row r="23" spans="2:11" x14ac:dyDescent="0.25">
      <c r="B23" s="45">
        <v>90</v>
      </c>
      <c r="C23" s="45">
        <v>25</v>
      </c>
      <c r="H23" s="46" t="s">
        <v>192</v>
      </c>
      <c r="I23" s="47"/>
      <c r="J23" s="46"/>
      <c r="K23" s="46">
        <f>SUM(K1:K20)</f>
        <v>0</v>
      </c>
    </row>
    <row r="24" spans="2:11" x14ac:dyDescent="0.25">
      <c r="B24" s="45">
        <v>100</v>
      </c>
      <c r="C24" s="45"/>
      <c r="H24" s="114" t="s">
        <v>191</v>
      </c>
      <c r="I24" s="114"/>
      <c r="J24" s="46"/>
      <c r="K24" s="90">
        <f>10/43*K23</f>
        <v>0</v>
      </c>
    </row>
    <row r="27" spans="2:11" x14ac:dyDescent="0.25">
      <c r="B27" s="50" t="s">
        <v>164</v>
      </c>
      <c r="C27" s="50"/>
    </row>
    <row r="28" spans="2:11" x14ac:dyDescent="0.25">
      <c r="B28" s="52">
        <v>2</v>
      </c>
      <c r="C28" s="55">
        <v>10</v>
      </c>
      <c r="E28" s="56"/>
    </row>
    <row r="29" spans="2:11" x14ac:dyDescent="0.25">
      <c r="B29" s="52">
        <v>3</v>
      </c>
      <c r="C29" s="55">
        <v>8.3333333333333339</v>
      </c>
      <c r="E29" s="56"/>
    </row>
    <row r="30" spans="2:11" x14ac:dyDescent="0.25">
      <c r="B30" s="54">
        <v>4</v>
      </c>
      <c r="C30" s="55">
        <v>6.666666666666667</v>
      </c>
      <c r="E30" s="56"/>
    </row>
    <row r="31" spans="2:11" x14ac:dyDescent="0.25">
      <c r="B31" s="54">
        <v>5</v>
      </c>
      <c r="C31" s="55">
        <v>5</v>
      </c>
      <c r="E31" s="56"/>
    </row>
    <row r="32" spans="2:11" x14ac:dyDescent="0.25">
      <c r="B32" s="54">
        <v>6</v>
      </c>
      <c r="C32" s="55">
        <v>3.3333333333333335</v>
      </c>
      <c r="E32" s="56"/>
    </row>
    <row r="33" spans="1:13" x14ac:dyDescent="0.25">
      <c r="B33" s="54">
        <v>7</v>
      </c>
      <c r="C33" s="55">
        <v>1.6666666666666667</v>
      </c>
      <c r="E33" s="56"/>
      <c r="M33" s="56"/>
    </row>
    <row r="34" spans="1:13" x14ac:dyDescent="0.25">
      <c r="B34" s="54">
        <v>8</v>
      </c>
      <c r="C34" s="55"/>
      <c r="E34" s="56"/>
      <c r="M34" s="56"/>
    </row>
    <row r="35" spans="1:13" x14ac:dyDescent="0.25">
      <c r="B35" s="54">
        <v>9</v>
      </c>
      <c r="C35" s="53"/>
    </row>
    <row r="36" spans="1:13" x14ac:dyDescent="0.25">
      <c r="B36" s="54">
        <v>10</v>
      </c>
      <c r="C36" s="53"/>
    </row>
    <row r="37" spans="1:13" x14ac:dyDescent="0.25">
      <c r="B37" s="54"/>
      <c r="C37" s="53"/>
    </row>
    <row r="41" spans="1:13" x14ac:dyDescent="0.25">
      <c r="A41" s="119"/>
      <c r="B41" s="119"/>
      <c r="C41" s="119"/>
      <c r="D41" s="119"/>
      <c r="E41" s="119"/>
      <c r="K41" s="56"/>
    </row>
    <row r="42" spans="1:13" x14ac:dyDescent="0.25">
      <c r="A42" s="119"/>
      <c r="B42" s="119"/>
      <c r="C42" s="119"/>
      <c r="D42" s="119"/>
      <c r="E42" s="119"/>
    </row>
  </sheetData>
  <sheetProtection algorithmName="SHA-512" hashValue="NgQmJs4ufg55fOOGGC1vZ1sub1yWuW0rBQIWdZgpGgtxcV8pHHk+69XJh0ZC9IZYnsqOmwaSqTcP5TNc7OGdyg==" saltValue="NjUXUnRcRuQVzxdKcXeXzw==" spinCount="100000" sheet="1" formatCells="0"/>
  <mergeCells count="1">
    <mergeCell ref="H24:I24"/>
  </mergeCells>
  <pageMargins left="0.7" right="0.7" top="0.75" bottom="0.75" header="0.3" footer="0.3"/>
  <pageSetup paperSize="9" orientation="portrait" r:id="rId1"/>
  <headerFooter>
    <oddFooter>&amp;CParaaf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078F-4E3B-42C4-AF91-826141C17572}">
  <sheetPr>
    <tabColor rgb="FF00B0F0"/>
  </sheetPr>
  <dimension ref="A1:BF42"/>
  <sheetViews>
    <sheetView zoomScaleNormal="100" workbookViewId="0">
      <selection activeCell="F15" sqref="F15"/>
    </sheetView>
  </sheetViews>
  <sheetFormatPr defaultRowHeight="15" x14ac:dyDescent="0.25"/>
  <cols>
    <col min="4" max="4" width="3.28515625" customWidth="1"/>
    <col min="5" max="5" width="11.28515625" bestFit="1" customWidth="1"/>
    <col min="6" max="10" width="19.28515625" customWidth="1"/>
    <col min="11" max="11" width="12.7109375" customWidth="1"/>
    <col min="12" max="12" width="13.140625" customWidth="1"/>
    <col min="13" max="13" width="9.140625" customWidth="1"/>
    <col min="14" max="14" width="5.140625" customWidth="1"/>
    <col min="15" max="18" width="14.5703125" bestFit="1" customWidth="1"/>
    <col min="19" max="19" width="15.5703125" bestFit="1" customWidth="1"/>
    <col min="20" max="20" width="12.7109375" customWidth="1"/>
    <col min="21" max="21" width="13.140625" customWidth="1"/>
    <col min="23" max="23" width="5.140625" customWidth="1"/>
    <col min="24" max="27" width="14.5703125" bestFit="1" customWidth="1"/>
    <col min="28" max="28" width="15.5703125" bestFit="1" customWidth="1"/>
    <col min="29" max="29" width="12.7109375" customWidth="1"/>
    <col min="30" max="30" width="13.140625" customWidth="1"/>
    <col min="33" max="36" width="14.5703125" bestFit="1" customWidth="1"/>
    <col min="37" max="37" width="15.5703125" bestFit="1" customWidth="1"/>
    <col min="38" max="38" width="12.7109375" customWidth="1"/>
    <col min="39" max="39" width="13.140625" customWidth="1"/>
    <col min="42" max="45" width="14.5703125" bestFit="1" customWidth="1"/>
    <col min="46" max="46" width="14.5703125" customWidth="1"/>
    <col min="51" max="54" width="14.5703125" bestFit="1" customWidth="1"/>
    <col min="55" max="55" width="15.28515625" customWidth="1"/>
  </cols>
  <sheetData>
    <row r="1" spans="1:58" x14ac:dyDescent="0.25">
      <c r="B1" s="77" t="s">
        <v>133</v>
      </c>
      <c r="C1" s="77"/>
      <c r="D1" s="77"/>
      <c r="E1" s="77"/>
    </row>
    <row r="2" spans="1:58" x14ac:dyDescent="0.25">
      <c r="F2" s="115" t="s">
        <v>102</v>
      </c>
      <c r="G2" s="115"/>
      <c r="H2" s="115"/>
      <c r="I2" s="115"/>
      <c r="J2" s="115"/>
      <c r="L2" s="78"/>
      <c r="O2" s="115" t="s">
        <v>102</v>
      </c>
      <c r="P2" s="115"/>
      <c r="Q2" s="115"/>
      <c r="R2" s="115"/>
      <c r="S2" s="115"/>
      <c r="U2" s="78"/>
      <c r="X2" s="115" t="s">
        <v>102</v>
      </c>
      <c r="Y2" s="115"/>
      <c r="Z2" s="115"/>
      <c r="AA2" s="115"/>
      <c r="AB2" s="115"/>
      <c r="AD2" s="78"/>
      <c r="AG2" s="115" t="s">
        <v>102</v>
      </c>
      <c r="AH2" s="115"/>
      <c r="AI2" s="115"/>
      <c r="AJ2" s="115"/>
      <c r="AK2" s="115"/>
      <c r="AM2" s="78"/>
      <c r="AP2" s="115" t="s">
        <v>102</v>
      </c>
      <c r="AQ2" s="115"/>
      <c r="AR2" s="115"/>
      <c r="AS2" s="115"/>
      <c r="AT2" s="115"/>
      <c r="AV2" s="78"/>
      <c r="AY2" s="115" t="s">
        <v>102</v>
      </c>
      <c r="AZ2" s="115"/>
      <c r="BA2" s="115"/>
      <c r="BB2" s="115"/>
      <c r="BC2" s="115"/>
      <c r="BE2" s="78"/>
    </row>
    <row r="3" spans="1:58" ht="15" customHeight="1" x14ac:dyDescent="0.25">
      <c r="F3" s="116" t="s">
        <v>145</v>
      </c>
      <c r="G3" s="116"/>
      <c r="H3" s="116"/>
      <c r="I3" s="116"/>
      <c r="J3" s="116"/>
      <c r="K3" s="118" t="s">
        <v>134</v>
      </c>
      <c r="O3" s="116" t="s">
        <v>144</v>
      </c>
      <c r="P3" s="116"/>
      <c r="Q3" s="116"/>
      <c r="R3" s="116"/>
      <c r="S3" s="116"/>
      <c r="T3" s="118" t="s">
        <v>134</v>
      </c>
      <c r="X3" s="116" t="s">
        <v>143</v>
      </c>
      <c r="Y3" s="116"/>
      <c r="Z3" s="116"/>
      <c r="AA3" s="116"/>
      <c r="AB3" s="116"/>
      <c r="AC3" s="118" t="s">
        <v>134</v>
      </c>
      <c r="AG3" s="116" t="s">
        <v>186</v>
      </c>
      <c r="AH3" s="116"/>
      <c r="AI3" s="116"/>
      <c r="AJ3" s="116"/>
      <c r="AK3" s="116"/>
      <c r="AL3" s="118" t="s">
        <v>134</v>
      </c>
      <c r="AP3" s="116" t="s">
        <v>220</v>
      </c>
      <c r="AQ3" s="116"/>
      <c r="AR3" s="116"/>
      <c r="AS3" s="116"/>
      <c r="AT3" s="116"/>
      <c r="AU3" s="118" t="s">
        <v>134</v>
      </c>
      <c r="AY3" s="116" t="s">
        <v>221</v>
      </c>
      <c r="AZ3" s="116"/>
      <c r="BA3" s="116"/>
      <c r="BB3" s="116"/>
      <c r="BC3" s="116"/>
      <c r="BD3" s="118" t="s">
        <v>134</v>
      </c>
    </row>
    <row r="4" spans="1:58" ht="15.75" customHeight="1" x14ac:dyDescent="0.25">
      <c r="A4" s="18"/>
      <c r="D4" s="18"/>
      <c r="E4" s="18"/>
      <c r="F4" s="79" t="s">
        <v>68</v>
      </c>
      <c r="G4" s="79" t="s">
        <v>69</v>
      </c>
      <c r="H4" s="79" t="s">
        <v>70</v>
      </c>
      <c r="I4" s="79" t="s">
        <v>126</v>
      </c>
      <c r="J4" s="28" t="s">
        <v>127</v>
      </c>
      <c r="K4" s="118"/>
      <c r="L4" s="29" t="s">
        <v>132</v>
      </c>
      <c r="M4" s="80"/>
      <c r="N4" s="81"/>
      <c r="O4" s="79" t="s">
        <v>68</v>
      </c>
      <c r="P4" s="79" t="s">
        <v>69</v>
      </c>
      <c r="Q4" s="79" t="s">
        <v>70</v>
      </c>
      <c r="R4" s="79" t="s">
        <v>126</v>
      </c>
      <c r="S4" s="28" t="s">
        <v>127</v>
      </c>
      <c r="T4" s="118"/>
      <c r="U4" s="29" t="s">
        <v>132</v>
      </c>
      <c r="V4" s="80"/>
      <c r="W4" s="81"/>
      <c r="X4" s="79" t="s">
        <v>68</v>
      </c>
      <c r="Y4" s="79" t="s">
        <v>69</v>
      </c>
      <c r="Z4" s="79" t="s">
        <v>70</v>
      </c>
      <c r="AA4" s="79" t="s">
        <v>126</v>
      </c>
      <c r="AB4" s="28" t="s">
        <v>127</v>
      </c>
      <c r="AC4" s="118"/>
      <c r="AD4" s="29" t="s">
        <v>132</v>
      </c>
      <c r="AE4" s="80"/>
      <c r="AG4" s="79" t="s">
        <v>68</v>
      </c>
      <c r="AH4" s="79" t="s">
        <v>69</v>
      </c>
      <c r="AI4" s="79" t="s">
        <v>70</v>
      </c>
      <c r="AJ4" s="79" t="s">
        <v>126</v>
      </c>
      <c r="AK4" s="28" t="s">
        <v>127</v>
      </c>
      <c r="AL4" s="118"/>
      <c r="AM4" s="29" t="s">
        <v>132</v>
      </c>
      <c r="AN4" s="80"/>
      <c r="AP4" s="79" t="s">
        <v>68</v>
      </c>
      <c r="AQ4" s="79" t="s">
        <v>69</v>
      </c>
      <c r="AR4" s="79" t="s">
        <v>70</v>
      </c>
      <c r="AS4" s="79" t="s">
        <v>126</v>
      </c>
      <c r="AT4" s="28" t="s">
        <v>127</v>
      </c>
      <c r="AU4" s="118"/>
      <c r="AV4" s="29" t="s">
        <v>132</v>
      </c>
      <c r="AW4" s="80"/>
      <c r="AY4" s="79" t="s">
        <v>68</v>
      </c>
      <c r="AZ4" s="79" t="s">
        <v>69</v>
      </c>
      <c r="BA4" s="79" t="s">
        <v>70</v>
      </c>
      <c r="BB4" s="79" t="s">
        <v>126</v>
      </c>
      <c r="BC4" s="28" t="s">
        <v>127</v>
      </c>
      <c r="BD4" s="118"/>
      <c r="BE4" s="29" t="s">
        <v>132</v>
      </c>
      <c r="BF4" s="80"/>
    </row>
    <row r="5" spans="1:58" x14ac:dyDescent="0.25">
      <c r="C5" s="18" t="s">
        <v>103</v>
      </c>
      <c r="D5" s="18" t="s">
        <v>6</v>
      </c>
      <c r="E5" s="18" t="s">
        <v>104</v>
      </c>
      <c r="F5" s="82">
        <f t="shared" ref="F5:F15" si="0">VLOOKUP(C5,LCA_1,4,FALSE)</f>
        <v>1</v>
      </c>
      <c r="G5" s="82">
        <f t="shared" ref="G5:G15" si="1">VLOOKUP(C5,LCA_1,5,FALSE)</f>
        <v>1</v>
      </c>
      <c r="H5" s="82">
        <f t="shared" ref="H5:H15" si="2">VLOOKUP(C5,LCA_1,6,FALSE)</f>
        <v>1</v>
      </c>
      <c r="I5" s="82">
        <f t="shared" ref="I5:I15" si="3">VLOOKUP(C5,LCA_1,7,FALSE)</f>
        <v>1</v>
      </c>
      <c r="J5" s="30">
        <f>SUM(F5:I5)</f>
        <v>4</v>
      </c>
      <c r="K5" s="31">
        <v>0.16</v>
      </c>
      <c r="L5" s="32">
        <f>K5*J5</f>
        <v>0.64</v>
      </c>
      <c r="M5" s="80"/>
      <c r="N5" s="83"/>
      <c r="O5" s="82">
        <f t="shared" ref="O5:O15" si="4">VLOOKUP(C5,LCA_2,4,FALSE)</f>
        <v>1</v>
      </c>
      <c r="P5" s="82">
        <f t="shared" ref="P5:P15" si="5">VLOOKUP(C5,LCA_2,5,FALSE)</f>
        <v>1</v>
      </c>
      <c r="Q5" s="82">
        <f t="shared" ref="Q5:Q15" si="6">VLOOKUP(C5,LCA_2,6,FALSE)</f>
        <v>1</v>
      </c>
      <c r="R5" s="82">
        <f t="shared" ref="R5:R15" si="7">VLOOKUP(C5,LCA_2,7,FALSE)</f>
        <v>1</v>
      </c>
      <c r="S5" s="30">
        <f>SUM(O5:R5)</f>
        <v>4</v>
      </c>
      <c r="T5" s="31">
        <v>0.16</v>
      </c>
      <c r="U5" s="32">
        <f>T5*S5</f>
        <v>0.64</v>
      </c>
      <c r="V5" s="80"/>
      <c r="W5" s="83"/>
      <c r="X5" s="82">
        <f t="shared" ref="X5:X15" si="8">VLOOKUP(C5,LCA_3,4,FALSE)</f>
        <v>1</v>
      </c>
      <c r="Y5" s="82">
        <f t="shared" ref="Y5:Y15" si="9">VLOOKUP(C5,LCA_3,5,FALSE)</f>
        <v>1</v>
      </c>
      <c r="Z5" s="82">
        <f t="shared" ref="Z5:Z15" si="10">VLOOKUP(C5,LCA_3,6,FALSE)</f>
        <v>1</v>
      </c>
      <c r="AA5" s="82">
        <f t="shared" ref="AA5:AA15" si="11">VLOOKUP(C5,LCA_3,7,FALSE)</f>
        <v>1</v>
      </c>
      <c r="AB5" s="30">
        <f>SUM(X5:AA5)</f>
        <v>4</v>
      </c>
      <c r="AC5" s="31">
        <v>0.16</v>
      </c>
      <c r="AD5" s="32">
        <f>AC5*AB5</f>
        <v>0.64</v>
      </c>
      <c r="AE5" s="80"/>
      <c r="AG5" s="82">
        <f t="shared" ref="AG5:AG15" si="12">VLOOKUP(C5,LCA_4,4,FALSE)</f>
        <v>1</v>
      </c>
      <c r="AH5" s="82">
        <f t="shared" ref="AH5:AH15" si="13">VLOOKUP(C5,LCA_4,5,FALSE)</f>
        <v>1</v>
      </c>
      <c r="AI5" s="82">
        <f t="shared" ref="AI5:AI15" si="14">VLOOKUP(C5,LCA_4,6,FALSE)</f>
        <v>1</v>
      </c>
      <c r="AJ5" s="82">
        <f t="shared" ref="AJ5:AJ15" si="15">VLOOKUP(C5,LCA_4,7,FALSE)</f>
        <v>1</v>
      </c>
      <c r="AK5" s="30">
        <f>SUM(AG5:AJ5)</f>
        <v>4</v>
      </c>
      <c r="AL5" s="31">
        <v>0.16</v>
      </c>
      <c r="AM5" s="32">
        <f>AL5*AK5</f>
        <v>0.64</v>
      </c>
      <c r="AN5" s="80"/>
      <c r="AP5" s="82">
        <f>VLOOKUP(C5,LCA_5,4,FALSE)</f>
        <v>1</v>
      </c>
      <c r="AQ5" s="82">
        <f>VLOOKUP(C5,LCA_5,5,FALSE)</f>
        <v>1</v>
      </c>
      <c r="AR5" s="82">
        <f>VLOOKUP(C5,LCA_5,6,FALSE)</f>
        <v>1</v>
      </c>
      <c r="AS5" s="82">
        <f>VLOOKUP(C5,LCA_5,7,FALSE)</f>
        <v>1</v>
      </c>
      <c r="AT5" s="30">
        <f>SUM(AP5:AS5)</f>
        <v>4</v>
      </c>
      <c r="AU5" s="31">
        <v>0.16</v>
      </c>
      <c r="AV5" s="32">
        <f>AU5*AT5</f>
        <v>0.64</v>
      </c>
      <c r="AW5" s="80"/>
      <c r="AY5" s="82">
        <f>VLOOKUP(C5,LCA_6,4,FALSE)</f>
        <v>1</v>
      </c>
      <c r="AZ5" s="82">
        <f>VLOOKUP(C5,LCA_6,5,FALSE)</f>
        <v>1</v>
      </c>
      <c r="BA5" s="82">
        <f>VLOOKUP(C5,LCA_6,6,FALSE)</f>
        <v>1</v>
      </c>
      <c r="BB5" s="82">
        <f>VLOOKUP(C5,LCA_6,7,FALSE)</f>
        <v>1</v>
      </c>
      <c r="BC5" s="30">
        <f>SUM(AY5:BB5)</f>
        <v>4</v>
      </c>
      <c r="BD5" s="31">
        <v>0.16</v>
      </c>
      <c r="BE5" s="32">
        <f>BD5*BC5</f>
        <v>0.64</v>
      </c>
      <c r="BF5" s="80"/>
    </row>
    <row r="6" spans="1:58" x14ac:dyDescent="0.25">
      <c r="C6" s="18" t="s">
        <v>105</v>
      </c>
      <c r="D6" s="18" t="s">
        <v>6</v>
      </c>
      <c r="E6" s="18" t="s">
        <v>104</v>
      </c>
      <c r="F6" s="82">
        <f t="shared" si="0"/>
        <v>1</v>
      </c>
      <c r="G6" s="82">
        <f t="shared" si="1"/>
        <v>1</v>
      </c>
      <c r="H6" s="82">
        <f t="shared" si="2"/>
        <v>1</v>
      </c>
      <c r="I6" s="82">
        <f t="shared" si="3"/>
        <v>1</v>
      </c>
      <c r="J6" s="30">
        <f t="shared" ref="J6:J15" si="16">SUM(F6:I6)</f>
        <v>4</v>
      </c>
      <c r="K6" s="31">
        <v>0.16</v>
      </c>
      <c r="L6" s="32">
        <f t="shared" ref="L6:L15" si="17">K6*J6</f>
        <v>0.64</v>
      </c>
      <c r="M6" s="80"/>
      <c r="N6" s="83"/>
      <c r="O6" s="82">
        <f t="shared" si="4"/>
        <v>1</v>
      </c>
      <c r="P6" s="82">
        <f t="shared" si="5"/>
        <v>1</v>
      </c>
      <c r="Q6" s="82">
        <f t="shared" si="6"/>
        <v>1</v>
      </c>
      <c r="R6" s="82">
        <f t="shared" si="7"/>
        <v>1</v>
      </c>
      <c r="S6" s="30">
        <f t="shared" ref="S6:S15" si="18">SUM(O6:R6)</f>
        <v>4</v>
      </c>
      <c r="T6" s="31">
        <v>0.16</v>
      </c>
      <c r="U6" s="32">
        <f t="shared" ref="U6:U15" si="19">T6*S6</f>
        <v>0.64</v>
      </c>
      <c r="V6" s="80"/>
      <c r="W6" s="83"/>
      <c r="X6" s="82">
        <f t="shared" si="8"/>
        <v>1</v>
      </c>
      <c r="Y6" s="82">
        <f t="shared" si="9"/>
        <v>1</v>
      </c>
      <c r="Z6" s="82">
        <f t="shared" si="10"/>
        <v>1</v>
      </c>
      <c r="AA6" s="82">
        <f t="shared" si="11"/>
        <v>1</v>
      </c>
      <c r="AB6" s="30">
        <f t="shared" ref="AB6:AB15" si="20">SUM(X6:AA6)</f>
        <v>4</v>
      </c>
      <c r="AC6" s="31">
        <v>0.16</v>
      </c>
      <c r="AD6" s="32">
        <f t="shared" ref="AD6:AD15" si="21">AC6*AB6</f>
        <v>0.64</v>
      </c>
      <c r="AE6" s="80"/>
      <c r="AG6" s="82">
        <f t="shared" si="12"/>
        <v>1</v>
      </c>
      <c r="AH6" s="82">
        <f t="shared" si="13"/>
        <v>1</v>
      </c>
      <c r="AI6" s="82">
        <f t="shared" si="14"/>
        <v>1</v>
      </c>
      <c r="AJ6" s="82">
        <f t="shared" si="15"/>
        <v>1</v>
      </c>
      <c r="AK6" s="30">
        <f t="shared" ref="AK6:AK15" si="22">SUM(AG6:AJ6)</f>
        <v>4</v>
      </c>
      <c r="AL6" s="31">
        <v>0.16</v>
      </c>
      <c r="AM6" s="32">
        <f t="shared" ref="AM6:AM15" si="23">AL6*AK6</f>
        <v>0.64</v>
      </c>
      <c r="AN6" s="80"/>
      <c r="AP6" s="82">
        <f>VLOOKUP(C6,LCA_5,4,FALSE)</f>
        <v>1</v>
      </c>
      <c r="AQ6" s="82">
        <f>VLOOKUP(C6,LCA_5,5,FALSE)</f>
        <v>1</v>
      </c>
      <c r="AR6" s="82">
        <f>VLOOKUP(C6,LCA_5,6,FALSE)</f>
        <v>1</v>
      </c>
      <c r="AS6" s="82">
        <f>VLOOKUP(C6,LCA_5,7,FALSE)</f>
        <v>1</v>
      </c>
      <c r="AT6" s="30">
        <f t="shared" ref="AT6:AT15" si="24">SUM(AP6:AS6)</f>
        <v>4</v>
      </c>
      <c r="AU6" s="31">
        <v>0.16</v>
      </c>
      <c r="AV6" s="32">
        <f t="shared" ref="AV6:AV15" si="25">AU6*AT6</f>
        <v>0.64</v>
      </c>
      <c r="AW6" s="80"/>
      <c r="AY6" s="82">
        <f>VLOOKUP(C6,LCA_6,4,FALSE)</f>
        <v>1</v>
      </c>
      <c r="AZ6" s="82">
        <f>VLOOKUP(C6,LCA_6,5,FALSE)</f>
        <v>1</v>
      </c>
      <c r="BA6" s="82">
        <f>VLOOKUP(C6,LCA_6,6,FALSE)</f>
        <v>1</v>
      </c>
      <c r="BB6" s="82">
        <f>VLOOKUP(C6,LCA_6,7,FALSE)</f>
        <v>1</v>
      </c>
      <c r="BC6" s="30">
        <f t="shared" ref="BC6:BC15" si="26">SUM(AY6:BB6)</f>
        <v>4</v>
      </c>
      <c r="BD6" s="31">
        <v>0.16</v>
      </c>
      <c r="BE6" s="32">
        <f t="shared" ref="BE6:BE15" si="27">BD6*BC6</f>
        <v>0.64</v>
      </c>
      <c r="BF6" s="80"/>
    </row>
    <row r="7" spans="1:58" x14ac:dyDescent="0.25">
      <c r="A7" t="s">
        <v>67</v>
      </c>
      <c r="C7" s="18" t="s">
        <v>63</v>
      </c>
      <c r="D7" s="18" t="s">
        <v>6</v>
      </c>
      <c r="E7" s="18" t="s">
        <v>106</v>
      </c>
      <c r="F7" s="82">
        <f t="shared" si="0"/>
        <v>1</v>
      </c>
      <c r="G7" s="82">
        <f t="shared" si="1"/>
        <v>1</v>
      </c>
      <c r="H7" s="82">
        <f t="shared" si="2"/>
        <v>1</v>
      </c>
      <c r="I7" s="82">
        <f t="shared" si="3"/>
        <v>1</v>
      </c>
      <c r="J7" s="30">
        <f t="shared" si="16"/>
        <v>4</v>
      </c>
      <c r="K7" s="31">
        <v>0.05</v>
      </c>
      <c r="L7" s="32">
        <f t="shared" si="17"/>
        <v>0.2</v>
      </c>
      <c r="M7" s="80"/>
      <c r="N7" s="83"/>
      <c r="O7" s="82">
        <f t="shared" si="4"/>
        <v>1</v>
      </c>
      <c r="P7" s="82">
        <f t="shared" si="5"/>
        <v>1</v>
      </c>
      <c r="Q7" s="82">
        <f t="shared" si="6"/>
        <v>1</v>
      </c>
      <c r="R7" s="82">
        <f t="shared" si="7"/>
        <v>1</v>
      </c>
      <c r="S7" s="30">
        <f t="shared" si="18"/>
        <v>4</v>
      </c>
      <c r="T7" s="31">
        <v>0.05</v>
      </c>
      <c r="U7" s="32">
        <f t="shared" si="19"/>
        <v>0.2</v>
      </c>
      <c r="V7" s="80"/>
      <c r="W7" s="83"/>
      <c r="X7" s="82">
        <f t="shared" si="8"/>
        <v>1</v>
      </c>
      <c r="Y7" s="82">
        <f t="shared" si="9"/>
        <v>1</v>
      </c>
      <c r="Z7" s="82">
        <f t="shared" si="10"/>
        <v>1</v>
      </c>
      <c r="AA7" s="82">
        <f t="shared" si="11"/>
        <v>1</v>
      </c>
      <c r="AB7" s="30">
        <f t="shared" si="20"/>
        <v>4</v>
      </c>
      <c r="AC7" s="31">
        <v>0.05</v>
      </c>
      <c r="AD7" s="32">
        <f t="shared" si="21"/>
        <v>0.2</v>
      </c>
      <c r="AE7" s="80"/>
      <c r="AG7" s="82">
        <f t="shared" si="12"/>
        <v>1</v>
      </c>
      <c r="AH7" s="82">
        <f t="shared" si="13"/>
        <v>1</v>
      </c>
      <c r="AI7" s="82">
        <f t="shared" si="14"/>
        <v>1</v>
      </c>
      <c r="AJ7" s="82">
        <f t="shared" si="15"/>
        <v>1</v>
      </c>
      <c r="AK7" s="30">
        <f t="shared" si="22"/>
        <v>4</v>
      </c>
      <c r="AL7" s="31">
        <v>0.05</v>
      </c>
      <c r="AM7" s="32">
        <f t="shared" si="23"/>
        <v>0.2</v>
      </c>
      <c r="AN7" s="80"/>
      <c r="AP7" s="82">
        <f>VLOOKUP(C7,LCA_5,4,FALSE)</f>
        <v>1</v>
      </c>
      <c r="AQ7" s="82">
        <f>VLOOKUP(C7,LCA_5,5,FALSE)</f>
        <v>1</v>
      </c>
      <c r="AR7" s="82">
        <f>VLOOKUP(C7,LCA_5,6,FALSE)</f>
        <v>1</v>
      </c>
      <c r="AS7" s="82">
        <f>VLOOKUP(C7,LCA_5,7,FALSE)</f>
        <v>1</v>
      </c>
      <c r="AT7" s="30">
        <f t="shared" si="24"/>
        <v>4</v>
      </c>
      <c r="AU7" s="31">
        <v>0.05</v>
      </c>
      <c r="AV7" s="32">
        <f t="shared" si="25"/>
        <v>0.2</v>
      </c>
      <c r="AW7" s="80"/>
      <c r="AY7" s="82">
        <f>VLOOKUP(C7,LCA_6,4,FALSE)</f>
        <v>1</v>
      </c>
      <c r="AZ7" s="82">
        <f>VLOOKUP(C7,LCA_6,5,FALSE)</f>
        <v>1</v>
      </c>
      <c r="BA7" s="82">
        <f>VLOOKUP(C7,LCA_6,6,FALSE)</f>
        <v>1</v>
      </c>
      <c r="BB7" s="82">
        <f>VLOOKUP(C7,LCA_6,7,FALSE)</f>
        <v>1</v>
      </c>
      <c r="BC7" s="30">
        <f t="shared" si="26"/>
        <v>4</v>
      </c>
      <c r="BD7" s="31">
        <v>0.05</v>
      </c>
      <c r="BE7" s="32">
        <f t="shared" si="27"/>
        <v>0.2</v>
      </c>
      <c r="BF7" s="80"/>
    </row>
    <row r="8" spans="1:58" x14ac:dyDescent="0.25">
      <c r="C8" s="18" t="s">
        <v>65</v>
      </c>
      <c r="D8" s="18" t="s">
        <v>6</v>
      </c>
      <c r="E8" s="18" t="s">
        <v>107</v>
      </c>
      <c r="F8" s="82">
        <f t="shared" si="0"/>
        <v>1</v>
      </c>
      <c r="G8" s="82">
        <f t="shared" si="1"/>
        <v>1</v>
      </c>
      <c r="H8" s="82">
        <f t="shared" si="2"/>
        <v>1</v>
      </c>
      <c r="I8" s="82">
        <f t="shared" si="3"/>
        <v>1</v>
      </c>
      <c r="J8" s="30">
        <f t="shared" si="16"/>
        <v>4</v>
      </c>
      <c r="K8" s="31">
        <v>30</v>
      </c>
      <c r="L8" s="32">
        <f t="shared" si="17"/>
        <v>120</v>
      </c>
      <c r="M8" s="80"/>
      <c r="N8" s="83"/>
      <c r="O8" s="82">
        <f t="shared" si="4"/>
        <v>1</v>
      </c>
      <c r="P8" s="82">
        <f t="shared" si="5"/>
        <v>1</v>
      </c>
      <c r="Q8" s="82">
        <f t="shared" si="6"/>
        <v>1</v>
      </c>
      <c r="R8" s="82">
        <f t="shared" si="7"/>
        <v>1</v>
      </c>
      <c r="S8" s="30">
        <f t="shared" si="18"/>
        <v>4</v>
      </c>
      <c r="T8" s="31">
        <v>30</v>
      </c>
      <c r="U8" s="32">
        <f t="shared" si="19"/>
        <v>120</v>
      </c>
      <c r="V8" s="80"/>
      <c r="W8" s="83"/>
      <c r="X8" s="82">
        <f t="shared" si="8"/>
        <v>1</v>
      </c>
      <c r="Y8" s="82">
        <f t="shared" si="9"/>
        <v>1</v>
      </c>
      <c r="Z8" s="82">
        <f t="shared" si="10"/>
        <v>1</v>
      </c>
      <c r="AA8" s="82">
        <f t="shared" si="11"/>
        <v>1</v>
      </c>
      <c r="AB8" s="30">
        <f t="shared" si="20"/>
        <v>4</v>
      </c>
      <c r="AC8" s="31">
        <v>30</v>
      </c>
      <c r="AD8" s="32">
        <f t="shared" si="21"/>
        <v>120</v>
      </c>
      <c r="AE8" s="80"/>
      <c r="AG8" s="82">
        <f t="shared" si="12"/>
        <v>1</v>
      </c>
      <c r="AH8" s="82">
        <f t="shared" si="13"/>
        <v>1</v>
      </c>
      <c r="AI8" s="82">
        <f t="shared" si="14"/>
        <v>1</v>
      </c>
      <c r="AJ8" s="82">
        <f t="shared" si="15"/>
        <v>1</v>
      </c>
      <c r="AK8" s="30">
        <f t="shared" si="22"/>
        <v>4</v>
      </c>
      <c r="AL8" s="31">
        <v>30</v>
      </c>
      <c r="AM8" s="32">
        <f t="shared" si="23"/>
        <v>120</v>
      </c>
      <c r="AN8" s="80"/>
      <c r="AP8" s="82">
        <f>VLOOKUP(C8,LCA_5,4,FALSE)</f>
        <v>1</v>
      </c>
      <c r="AQ8" s="82">
        <f>VLOOKUP(C8,LCA_5,5,FALSE)</f>
        <v>1</v>
      </c>
      <c r="AR8" s="82">
        <f>VLOOKUP(C8,LCA_5,6,FALSE)</f>
        <v>1</v>
      </c>
      <c r="AS8" s="82">
        <f>VLOOKUP(C8,LCA_5,7,FALSE)</f>
        <v>1</v>
      </c>
      <c r="AT8" s="30">
        <f t="shared" si="24"/>
        <v>4</v>
      </c>
      <c r="AU8" s="31">
        <v>30</v>
      </c>
      <c r="AV8" s="32">
        <f t="shared" si="25"/>
        <v>120</v>
      </c>
      <c r="AW8" s="80"/>
      <c r="AY8" s="82">
        <f>VLOOKUP(C8,LCA_6,4,FALSE)</f>
        <v>1</v>
      </c>
      <c r="AZ8" s="82">
        <f>VLOOKUP(C8,LCA_6,5,FALSE)</f>
        <v>1</v>
      </c>
      <c r="BA8" s="82">
        <f>VLOOKUP(C8,LCA_6,6,FALSE)</f>
        <v>1</v>
      </c>
      <c r="BB8" s="82">
        <f>VLOOKUP(C8,LCA_6,7,FALSE)</f>
        <v>1</v>
      </c>
      <c r="BC8" s="30">
        <f t="shared" si="26"/>
        <v>4</v>
      </c>
      <c r="BD8" s="31">
        <v>30</v>
      </c>
      <c r="BE8" s="32">
        <f t="shared" si="27"/>
        <v>120</v>
      </c>
      <c r="BF8" s="80"/>
    </row>
    <row r="9" spans="1:58" x14ac:dyDescent="0.25">
      <c r="C9" s="18" t="s">
        <v>66</v>
      </c>
      <c r="D9" s="18" t="s">
        <v>6</v>
      </c>
      <c r="E9" s="18" t="s">
        <v>108</v>
      </c>
      <c r="F9" s="82">
        <f t="shared" si="0"/>
        <v>1</v>
      </c>
      <c r="G9" s="82">
        <f t="shared" si="1"/>
        <v>1</v>
      </c>
      <c r="H9" s="82">
        <f t="shared" si="2"/>
        <v>1</v>
      </c>
      <c r="I9" s="82">
        <f t="shared" si="3"/>
        <v>1</v>
      </c>
      <c r="J9" s="30">
        <f t="shared" si="16"/>
        <v>4</v>
      </c>
      <c r="K9" s="31">
        <v>2</v>
      </c>
      <c r="L9" s="32">
        <f t="shared" si="17"/>
        <v>8</v>
      </c>
      <c r="M9" s="80"/>
      <c r="N9" s="83"/>
      <c r="O9" s="82">
        <f t="shared" si="4"/>
        <v>1</v>
      </c>
      <c r="P9" s="82">
        <f t="shared" si="5"/>
        <v>1</v>
      </c>
      <c r="Q9" s="82">
        <f t="shared" si="6"/>
        <v>1</v>
      </c>
      <c r="R9" s="82">
        <f t="shared" si="7"/>
        <v>1</v>
      </c>
      <c r="S9" s="30">
        <f t="shared" si="18"/>
        <v>4</v>
      </c>
      <c r="T9" s="31">
        <v>2</v>
      </c>
      <c r="U9" s="32">
        <f t="shared" si="19"/>
        <v>8</v>
      </c>
      <c r="V9" s="80"/>
      <c r="W9" s="83"/>
      <c r="X9" s="82">
        <f t="shared" si="8"/>
        <v>1</v>
      </c>
      <c r="Y9" s="82">
        <f t="shared" si="9"/>
        <v>1</v>
      </c>
      <c r="Z9" s="82">
        <f t="shared" si="10"/>
        <v>1</v>
      </c>
      <c r="AA9" s="82">
        <f t="shared" si="11"/>
        <v>1</v>
      </c>
      <c r="AB9" s="30">
        <f t="shared" si="20"/>
        <v>4</v>
      </c>
      <c r="AC9" s="31">
        <v>2</v>
      </c>
      <c r="AD9" s="32">
        <f t="shared" si="21"/>
        <v>8</v>
      </c>
      <c r="AE9" s="80"/>
      <c r="AG9" s="82">
        <f t="shared" si="12"/>
        <v>1</v>
      </c>
      <c r="AH9" s="82">
        <f t="shared" si="13"/>
        <v>1</v>
      </c>
      <c r="AI9" s="82">
        <f t="shared" si="14"/>
        <v>1</v>
      </c>
      <c r="AJ9" s="82">
        <f t="shared" si="15"/>
        <v>1</v>
      </c>
      <c r="AK9" s="30">
        <f t="shared" si="22"/>
        <v>4</v>
      </c>
      <c r="AL9" s="31">
        <v>2</v>
      </c>
      <c r="AM9" s="32">
        <f t="shared" si="23"/>
        <v>8</v>
      </c>
      <c r="AN9" s="80"/>
      <c r="AP9" s="82">
        <f>VLOOKUP(C9,LCA_5,4,FALSE)</f>
        <v>1</v>
      </c>
      <c r="AQ9" s="82">
        <f>VLOOKUP(C9,LCA_5,5,FALSE)</f>
        <v>1</v>
      </c>
      <c r="AR9" s="82">
        <f>VLOOKUP(C9,LCA_5,6,FALSE)</f>
        <v>1</v>
      </c>
      <c r="AS9" s="82">
        <f>VLOOKUP(C9,LCA_5,7,FALSE)</f>
        <v>1</v>
      </c>
      <c r="AT9" s="30">
        <f t="shared" si="24"/>
        <v>4</v>
      </c>
      <c r="AU9" s="31">
        <v>2</v>
      </c>
      <c r="AV9" s="32">
        <f t="shared" si="25"/>
        <v>8</v>
      </c>
      <c r="AW9" s="80"/>
      <c r="AY9" s="82">
        <f>VLOOKUP(C9,LCA_6,4,FALSE)</f>
        <v>1</v>
      </c>
      <c r="AZ9" s="82">
        <f>VLOOKUP(C9,LCA_6,5,FALSE)</f>
        <v>1</v>
      </c>
      <c r="BA9" s="82">
        <f>VLOOKUP(C9,LCA_6,6,FALSE)</f>
        <v>1</v>
      </c>
      <c r="BB9" s="82">
        <f>VLOOKUP(C9,LCA_6,7,FALSE)</f>
        <v>1</v>
      </c>
      <c r="BC9" s="30">
        <f t="shared" si="26"/>
        <v>4</v>
      </c>
      <c r="BD9" s="31">
        <v>2</v>
      </c>
      <c r="BE9" s="32">
        <f t="shared" si="27"/>
        <v>8</v>
      </c>
      <c r="BF9" s="80"/>
    </row>
    <row r="10" spans="1:58" x14ac:dyDescent="0.25">
      <c r="C10" s="18" t="s">
        <v>62</v>
      </c>
      <c r="D10" s="18" t="s">
        <v>6</v>
      </c>
      <c r="E10" s="18" t="s">
        <v>109</v>
      </c>
      <c r="F10" s="82">
        <f t="shared" si="0"/>
        <v>1</v>
      </c>
      <c r="G10" s="82">
        <f t="shared" si="1"/>
        <v>1</v>
      </c>
      <c r="H10" s="82">
        <f t="shared" si="2"/>
        <v>1</v>
      </c>
      <c r="I10" s="82">
        <f t="shared" si="3"/>
        <v>1</v>
      </c>
      <c r="J10" s="30">
        <f t="shared" si="16"/>
        <v>4</v>
      </c>
      <c r="K10" s="31">
        <v>4</v>
      </c>
      <c r="L10" s="32">
        <f t="shared" si="17"/>
        <v>16</v>
      </c>
      <c r="M10" s="80"/>
      <c r="N10" s="83"/>
      <c r="O10" s="82">
        <f t="shared" si="4"/>
        <v>1</v>
      </c>
      <c r="P10" s="82">
        <f t="shared" si="5"/>
        <v>1</v>
      </c>
      <c r="Q10" s="82">
        <f t="shared" si="6"/>
        <v>1</v>
      </c>
      <c r="R10" s="82">
        <f t="shared" si="7"/>
        <v>1</v>
      </c>
      <c r="S10" s="30">
        <f t="shared" si="18"/>
        <v>4</v>
      </c>
      <c r="T10" s="31">
        <v>4</v>
      </c>
      <c r="U10" s="32">
        <f t="shared" si="19"/>
        <v>16</v>
      </c>
      <c r="V10" s="80"/>
      <c r="W10" s="83"/>
      <c r="X10" s="82">
        <f t="shared" si="8"/>
        <v>1</v>
      </c>
      <c r="Y10" s="82">
        <f t="shared" si="9"/>
        <v>1</v>
      </c>
      <c r="Z10" s="82">
        <f t="shared" si="10"/>
        <v>1</v>
      </c>
      <c r="AA10" s="82">
        <f t="shared" si="11"/>
        <v>1</v>
      </c>
      <c r="AB10" s="30">
        <f t="shared" si="20"/>
        <v>4</v>
      </c>
      <c r="AC10" s="31">
        <v>4</v>
      </c>
      <c r="AD10" s="32">
        <f t="shared" si="21"/>
        <v>16</v>
      </c>
      <c r="AE10" s="80"/>
      <c r="AG10" s="82">
        <f t="shared" si="12"/>
        <v>1</v>
      </c>
      <c r="AH10" s="82">
        <f t="shared" si="13"/>
        <v>1</v>
      </c>
      <c r="AI10" s="82">
        <f t="shared" si="14"/>
        <v>1</v>
      </c>
      <c r="AJ10" s="82">
        <f t="shared" si="15"/>
        <v>1</v>
      </c>
      <c r="AK10" s="30">
        <f t="shared" si="22"/>
        <v>4</v>
      </c>
      <c r="AL10" s="31">
        <v>4</v>
      </c>
      <c r="AM10" s="32">
        <f t="shared" si="23"/>
        <v>16</v>
      </c>
      <c r="AN10" s="80"/>
      <c r="AP10" s="82">
        <f>VLOOKUP(C10,LCA_5,4,FALSE)</f>
        <v>1</v>
      </c>
      <c r="AQ10" s="82">
        <f>VLOOKUP(C10,LCA_5,5,FALSE)</f>
        <v>1</v>
      </c>
      <c r="AR10" s="82">
        <f>VLOOKUP(C10,LCA_5,6,FALSE)</f>
        <v>1</v>
      </c>
      <c r="AS10" s="82">
        <f>VLOOKUP(C10,LCA_5,7,FALSE)</f>
        <v>1</v>
      </c>
      <c r="AT10" s="30">
        <f t="shared" si="24"/>
        <v>4</v>
      </c>
      <c r="AU10" s="31">
        <v>4</v>
      </c>
      <c r="AV10" s="32">
        <f t="shared" si="25"/>
        <v>16</v>
      </c>
      <c r="AW10" s="80"/>
      <c r="AY10" s="82">
        <f>VLOOKUP(C10,LCA_6,4,FALSE)</f>
        <v>1</v>
      </c>
      <c r="AZ10" s="82">
        <f>VLOOKUP(C10,LCA_6,5,FALSE)</f>
        <v>1</v>
      </c>
      <c r="BA10" s="82">
        <f>VLOOKUP(C10,LCA_6,6,FALSE)</f>
        <v>1</v>
      </c>
      <c r="BB10" s="82">
        <f>VLOOKUP(C10,LCA_6,7,FALSE)</f>
        <v>1</v>
      </c>
      <c r="BC10" s="30">
        <f t="shared" si="26"/>
        <v>4</v>
      </c>
      <c r="BD10" s="31">
        <v>4</v>
      </c>
      <c r="BE10" s="32">
        <f t="shared" si="27"/>
        <v>16</v>
      </c>
      <c r="BF10" s="80"/>
    </row>
    <row r="11" spans="1:58" x14ac:dyDescent="0.25">
      <c r="C11" s="18" t="s">
        <v>64</v>
      </c>
      <c r="D11" s="18" t="s">
        <v>6</v>
      </c>
      <c r="E11" s="18" t="s">
        <v>110</v>
      </c>
      <c r="F11" s="82">
        <f t="shared" si="0"/>
        <v>1</v>
      </c>
      <c r="G11" s="82">
        <f t="shared" si="1"/>
        <v>1</v>
      </c>
      <c r="H11" s="82">
        <f t="shared" si="2"/>
        <v>1</v>
      </c>
      <c r="I11" s="82">
        <f t="shared" si="3"/>
        <v>1</v>
      </c>
      <c r="J11" s="30">
        <f t="shared" si="16"/>
        <v>4</v>
      </c>
      <c r="K11" s="31">
        <v>9</v>
      </c>
      <c r="L11" s="32">
        <f t="shared" si="17"/>
        <v>36</v>
      </c>
      <c r="M11" s="80"/>
      <c r="N11" s="83"/>
      <c r="O11" s="82">
        <f t="shared" si="4"/>
        <v>1</v>
      </c>
      <c r="P11" s="82">
        <f t="shared" si="5"/>
        <v>1</v>
      </c>
      <c r="Q11" s="82">
        <f t="shared" si="6"/>
        <v>1</v>
      </c>
      <c r="R11" s="82">
        <f t="shared" si="7"/>
        <v>1</v>
      </c>
      <c r="S11" s="30">
        <f t="shared" si="18"/>
        <v>4</v>
      </c>
      <c r="T11" s="31">
        <v>9</v>
      </c>
      <c r="U11" s="32">
        <f t="shared" si="19"/>
        <v>36</v>
      </c>
      <c r="V11" s="80"/>
      <c r="W11" s="83"/>
      <c r="X11" s="82">
        <f t="shared" si="8"/>
        <v>1</v>
      </c>
      <c r="Y11" s="82">
        <f t="shared" si="9"/>
        <v>1</v>
      </c>
      <c r="Z11" s="82">
        <f t="shared" si="10"/>
        <v>1</v>
      </c>
      <c r="AA11" s="82">
        <f t="shared" si="11"/>
        <v>1</v>
      </c>
      <c r="AB11" s="30">
        <f t="shared" si="20"/>
        <v>4</v>
      </c>
      <c r="AC11" s="31">
        <v>9</v>
      </c>
      <c r="AD11" s="32">
        <f t="shared" si="21"/>
        <v>36</v>
      </c>
      <c r="AE11" s="80"/>
      <c r="AG11" s="82">
        <f t="shared" si="12"/>
        <v>1</v>
      </c>
      <c r="AH11" s="82">
        <f t="shared" si="13"/>
        <v>1</v>
      </c>
      <c r="AI11" s="82">
        <f t="shared" si="14"/>
        <v>1</v>
      </c>
      <c r="AJ11" s="82">
        <f t="shared" si="15"/>
        <v>1</v>
      </c>
      <c r="AK11" s="30">
        <f t="shared" si="22"/>
        <v>4</v>
      </c>
      <c r="AL11" s="31">
        <v>9</v>
      </c>
      <c r="AM11" s="32">
        <f t="shared" si="23"/>
        <v>36</v>
      </c>
      <c r="AN11" s="80"/>
      <c r="AP11" s="82">
        <f>VLOOKUP(C11,LCA_5,4,FALSE)</f>
        <v>1</v>
      </c>
      <c r="AQ11" s="82">
        <f>VLOOKUP(C11,LCA_5,5,FALSE)</f>
        <v>1</v>
      </c>
      <c r="AR11" s="82">
        <f>VLOOKUP(C11,LCA_5,6,FALSE)</f>
        <v>1</v>
      </c>
      <c r="AS11" s="82">
        <f>VLOOKUP(C11,LCA_5,7,FALSE)</f>
        <v>1</v>
      </c>
      <c r="AT11" s="30">
        <f t="shared" si="24"/>
        <v>4</v>
      </c>
      <c r="AU11" s="31">
        <v>9</v>
      </c>
      <c r="AV11" s="32">
        <f t="shared" si="25"/>
        <v>36</v>
      </c>
      <c r="AW11" s="80"/>
      <c r="AY11" s="82">
        <f>VLOOKUP(C11,LCA_6,4,FALSE)</f>
        <v>1</v>
      </c>
      <c r="AZ11" s="82">
        <f>VLOOKUP(C11,LCA_6,5,FALSE)</f>
        <v>1</v>
      </c>
      <c r="BA11" s="82">
        <f>VLOOKUP(C11,LCA_6,6,FALSE)</f>
        <v>1</v>
      </c>
      <c r="BB11" s="82">
        <f>VLOOKUP(C11,LCA_6,7,FALSE)</f>
        <v>1</v>
      </c>
      <c r="BC11" s="30">
        <f t="shared" si="26"/>
        <v>4</v>
      </c>
      <c r="BD11" s="31">
        <v>9</v>
      </c>
      <c r="BE11" s="32">
        <f t="shared" si="27"/>
        <v>36</v>
      </c>
      <c r="BF11" s="80"/>
    </row>
    <row r="12" spans="1:58" x14ac:dyDescent="0.25">
      <c r="A12" s="33" t="s">
        <v>111</v>
      </c>
      <c r="B12" s="33"/>
      <c r="C12" s="18" t="s">
        <v>112</v>
      </c>
      <c r="D12" s="18" t="s">
        <v>6</v>
      </c>
      <c r="E12" s="18" t="s">
        <v>113</v>
      </c>
      <c r="F12" s="82">
        <f t="shared" si="0"/>
        <v>1</v>
      </c>
      <c r="G12" s="82">
        <f t="shared" si="1"/>
        <v>1</v>
      </c>
      <c r="H12" s="82">
        <f t="shared" si="2"/>
        <v>1</v>
      </c>
      <c r="I12" s="82">
        <f t="shared" si="3"/>
        <v>1</v>
      </c>
      <c r="J12" s="30">
        <f t="shared" si="16"/>
        <v>4</v>
      </c>
      <c r="K12" s="31">
        <v>0.09</v>
      </c>
      <c r="L12" s="32">
        <f t="shared" si="17"/>
        <v>0.36</v>
      </c>
      <c r="M12" s="80"/>
      <c r="N12" s="83"/>
      <c r="O12" s="82">
        <f t="shared" si="4"/>
        <v>1</v>
      </c>
      <c r="P12" s="82">
        <f t="shared" si="5"/>
        <v>1</v>
      </c>
      <c r="Q12" s="82">
        <f t="shared" si="6"/>
        <v>1</v>
      </c>
      <c r="R12" s="82">
        <f t="shared" si="7"/>
        <v>1</v>
      </c>
      <c r="S12" s="30">
        <f t="shared" si="18"/>
        <v>4</v>
      </c>
      <c r="T12" s="31">
        <v>0.09</v>
      </c>
      <c r="U12" s="32">
        <f t="shared" si="19"/>
        <v>0.36</v>
      </c>
      <c r="V12" s="80"/>
      <c r="W12" s="83"/>
      <c r="X12" s="82">
        <f t="shared" si="8"/>
        <v>1</v>
      </c>
      <c r="Y12" s="82">
        <f t="shared" si="9"/>
        <v>1</v>
      </c>
      <c r="Z12" s="82">
        <f t="shared" si="10"/>
        <v>1</v>
      </c>
      <c r="AA12" s="82">
        <f t="shared" si="11"/>
        <v>1</v>
      </c>
      <c r="AB12" s="30">
        <f t="shared" si="20"/>
        <v>4</v>
      </c>
      <c r="AC12" s="31">
        <v>0.09</v>
      </c>
      <c r="AD12" s="32">
        <f t="shared" si="21"/>
        <v>0.36</v>
      </c>
      <c r="AE12" s="80"/>
      <c r="AG12" s="82">
        <f t="shared" si="12"/>
        <v>1</v>
      </c>
      <c r="AH12" s="82">
        <f t="shared" si="13"/>
        <v>1</v>
      </c>
      <c r="AI12" s="82">
        <f t="shared" si="14"/>
        <v>1</v>
      </c>
      <c r="AJ12" s="82">
        <f t="shared" si="15"/>
        <v>1</v>
      </c>
      <c r="AK12" s="30">
        <f t="shared" si="22"/>
        <v>4</v>
      </c>
      <c r="AL12" s="31">
        <v>0.09</v>
      </c>
      <c r="AM12" s="32">
        <f t="shared" si="23"/>
        <v>0.36</v>
      </c>
      <c r="AN12" s="80"/>
      <c r="AP12" s="82">
        <f>VLOOKUP(C12,LCA_5,4,FALSE)</f>
        <v>1</v>
      </c>
      <c r="AQ12" s="82">
        <f>VLOOKUP(C12,LCA_5,5,FALSE)</f>
        <v>1</v>
      </c>
      <c r="AR12" s="82">
        <f>VLOOKUP(C12,LCA_5,6,FALSE)</f>
        <v>1</v>
      </c>
      <c r="AS12" s="82">
        <f>VLOOKUP(C12,LCA_5,7,FALSE)</f>
        <v>1</v>
      </c>
      <c r="AT12" s="30">
        <f t="shared" si="24"/>
        <v>4</v>
      </c>
      <c r="AU12" s="31">
        <v>0.09</v>
      </c>
      <c r="AV12" s="32">
        <f t="shared" si="25"/>
        <v>0.36</v>
      </c>
      <c r="AW12" s="80"/>
      <c r="AY12" s="82">
        <f>VLOOKUP(C12,LCA_6,4,FALSE)</f>
        <v>1</v>
      </c>
      <c r="AZ12" s="82">
        <f>VLOOKUP(C12,LCA_6,5,FALSE)</f>
        <v>1</v>
      </c>
      <c r="BA12" s="82">
        <f>VLOOKUP(C12,LCA_6,6,FALSE)</f>
        <v>1</v>
      </c>
      <c r="BB12" s="82">
        <f>VLOOKUP(C12,LCA_6,7,FALSE)</f>
        <v>1</v>
      </c>
      <c r="BC12" s="30">
        <f t="shared" si="26"/>
        <v>4</v>
      </c>
      <c r="BD12" s="31">
        <v>0.09</v>
      </c>
      <c r="BE12" s="32">
        <f t="shared" si="27"/>
        <v>0.36</v>
      </c>
      <c r="BF12" s="80"/>
    </row>
    <row r="13" spans="1:58" x14ac:dyDescent="0.25">
      <c r="C13" s="18" t="s">
        <v>114</v>
      </c>
      <c r="D13" s="18" t="s">
        <v>6</v>
      </c>
      <c r="E13" s="18" t="s">
        <v>113</v>
      </c>
      <c r="F13" s="82">
        <f t="shared" si="0"/>
        <v>1</v>
      </c>
      <c r="G13" s="82">
        <f t="shared" si="1"/>
        <v>1</v>
      </c>
      <c r="H13" s="82">
        <f t="shared" si="2"/>
        <v>1</v>
      </c>
      <c r="I13" s="82">
        <f t="shared" si="3"/>
        <v>1</v>
      </c>
      <c r="J13" s="30">
        <f t="shared" si="16"/>
        <v>4</v>
      </c>
      <c r="K13" s="31">
        <v>0.03</v>
      </c>
      <c r="L13" s="32">
        <f t="shared" si="17"/>
        <v>0.12</v>
      </c>
      <c r="M13" s="80"/>
      <c r="N13" s="83"/>
      <c r="O13" s="82">
        <f t="shared" si="4"/>
        <v>1</v>
      </c>
      <c r="P13" s="82">
        <f t="shared" si="5"/>
        <v>1</v>
      </c>
      <c r="Q13" s="82">
        <f t="shared" si="6"/>
        <v>1</v>
      </c>
      <c r="R13" s="82">
        <f t="shared" si="7"/>
        <v>1</v>
      </c>
      <c r="S13" s="30">
        <f t="shared" si="18"/>
        <v>4</v>
      </c>
      <c r="T13" s="31">
        <v>0.03</v>
      </c>
      <c r="U13" s="32">
        <f t="shared" si="19"/>
        <v>0.12</v>
      </c>
      <c r="V13" s="80"/>
      <c r="W13" s="83"/>
      <c r="X13" s="82">
        <f t="shared" si="8"/>
        <v>1</v>
      </c>
      <c r="Y13" s="82">
        <f t="shared" si="9"/>
        <v>1</v>
      </c>
      <c r="Z13" s="82">
        <f t="shared" si="10"/>
        <v>1</v>
      </c>
      <c r="AA13" s="82">
        <f t="shared" si="11"/>
        <v>1</v>
      </c>
      <c r="AB13" s="30">
        <f t="shared" si="20"/>
        <v>4</v>
      </c>
      <c r="AC13" s="31">
        <v>0.03</v>
      </c>
      <c r="AD13" s="32">
        <f t="shared" si="21"/>
        <v>0.12</v>
      </c>
      <c r="AE13" s="80"/>
      <c r="AG13" s="82">
        <f t="shared" si="12"/>
        <v>1</v>
      </c>
      <c r="AH13" s="82">
        <f t="shared" si="13"/>
        <v>1</v>
      </c>
      <c r="AI13" s="82">
        <f t="shared" si="14"/>
        <v>1</v>
      </c>
      <c r="AJ13" s="82">
        <f t="shared" si="15"/>
        <v>1</v>
      </c>
      <c r="AK13" s="30">
        <f t="shared" si="22"/>
        <v>4</v>
      </c>
      <c r="AL13" s="31">
        <v>0.03</v>
      </c>
      <c r="AM13" s="32">
        <f t="shared" si="23"/>
        <v>0.12</v>
      </c>
      <c r="AN13" s="80"/>
      <c r="AP13" s="82">
        <f>VLOOKUP(C13,LCA_5,4,FALSE)</f>
        <v>1</v>
      </c>
      <c r="AQ13" s="82">
        <f>VLOOKUP(C13,LCA_5,5,FALSE)</f>
        <v>1</v>
      </c>
      <c r="AR13" s="82">
        <f>VLOOKUP(C13,LCA_5,6,FALSE)</f>
        <v>1</v>
      </c>
      <c r="AS13" s="82">
        <f>VLOOKUP(C13,LCA_5,7,FALSE)</f>
        <v>1</v>
      </c>
      <c r="AT13" s="30">
        <f t="shared" si="24"/>
        <v>4</v>
      </c>
      <c r="AU13" s="31">
        <v>0.03</v>
      </c>
      <c r="AV13" s="32">
        <f t="shared" si="25"/>
        <v>0.12</v>
      </c>
      <c r="AW13" s="80"/>
      <c r="AY13" s="82">
        <f>VLOOKUP(C13,LCA_6,4,FALSE)</f>
        <v>1</v>
      </c>
      <c r="AZ13" s="82">
        <f>VLOOKUP(C13,LCA_6,5,FALSE)</f>
        <v>1</v>
      </c>
      <c r="BA13" s="82">
        <f>VLOOKUP(C13,LCA_6,6,FALSE)</f>
        <v>1</v>
      </c>
      <c r="BB13" s="82">
        <f>VLOOKUP(C13,LCA_6,7,FALSE)</f>
        <v>1</v>
      </c>
      <c r="BC13" s="30">
        <f t="shared" si="26"/>
        <v>4</v>
      </c>
      <c r="BD13" s="31">
        <v>0.03</v>
      </c>
      <c r="BE13" s="32">
        <f t="shared" si="27"/>
        <v>0.12</v>
      </c>
      <c r="BF13" s="80"/>
    </row>
    <row r="14" spans="1:58" x14ac:dyDescent="0.25">
      <c r="C14" s="18" t="s">
        <v>115</v>
      </c>
      <c r="D14" s="18" t="s">
        <v>6</v>
      </c>
      <c r="E14" s="18" t="s">
        <v>113</v>
      </c>
      <c r="F14" s="82">
        <f t="shared" si="0"/>
        <v>1</v>
      </c>
      <c r="G14" s="82">
        <f t="shared" si="1"/>
        <v>1</v>
      </c>
      <c r="H14" s="82">
        <f t="shared" si="2"/>
        <v>1</v>
      </c>
      <c r="I14" s="82">
        <f t="shared" si="3"/>
        <v>1</v>
      </c>
      <c r="J14" s="30">
        <f t="shared" si="16"/>
        <v>4</v>
      </c>
      <c r="K14" s="31">
        <v>1E-4</v>
      </c>
      <c r="L14" s="32">
        <f t="shared" si="17"/>
        <v>4.0000000000000002E-4</v>
      </c>
      <c r="M14" s="80"/>
      <c r="N14" s="83"/>
      <c r="O14" s="82">
        <f t="shared" si="4"/>
        <v>1</v>
      </c>
      <c r="P14" s="82">
        <f t="shared" si="5"/>
        <v>1</v>
      </c>
      <c r="Q14" s="82">
        <f t="shared" si="6"/>
        <v>1</v>
      </c>
      <c r="R14" s="82">
        <f t="shared" si="7"/>
        <v>1</v>
      </c>
      <c r="S14" s="30">
        <f t="shared" si="18"/>
        <v>4</v>
      </c>
      <c r="T14" s="31">
        <v>1E-4</v>
      </c>
      <c r="U14" s="32">
        <f t="shared" si="19"/>
        <v>4.0000000000000002E-4</v>
      </c>
      <c r="V14" s="80"/>
      <c r="W14" s="83"/>
      <c r="X14" s="82">
        <f t="shared" si="8"/>
        <v>1</v>
      </c>
      <c r="Y14" s="82">
        <f t="shared" si="9"/>
        <v>1</v>
      </c>
      <c r="Z14" s="82">
        <f t="shared" si="10"/>
        <v>1</v>
      </c>
      <c r="AA14" s="82">
        <f t="shared" si="11"/>
        <v>1</v>
      </c>
      <c r="AB14" s="30">
        <f t="shared" si="20"/>
        <v>4</v>
      </c>
      <c r="AC14" s="31">
        <v>1E-4</v>
      </c>
      <c r="AD14" s="32">
        <f t="shared" si="21"/>
        <v>4.0000000000000002E-4</v>
      </c>
      <c r="AE14" s="80"/>
      <c r="AG14" s="82">
        <f t="shared" si="12"/>
        <v>1</v>
      </c>
      <c r="AH14" s="82">
        <f t="shared" si="13"/>
        <v>1</v>
      </c>
      <c r="AI14" s="82">
        <f t="shared" si="14"/>
        <v>1</v>
      </c>
      <c r="AJ14" s="82">
        <f t="shared" si="15"/>
        <v>1</v>
      </c>
      <c r="AK14" s="30">
        <f t="shared" si="22"/>
        <v>4</v>
      </c>
      <c r="AL14" s="31">
        <v>1E-4</v>
      </c>
      <c r="AM14" s="32">
        <f t="shared" si="23"/>
        <v>4.0000000000000002E-4</v>
      </c>
      <c r="AN14" s="80"/>
      <c r="AP14" s="82">
        <f>VLOOKUP(C14,LCA_5,4,FALSE)</f>
        <v>1</v>
      </c>
      <c r="AQ14" s="82">
        <f>VLOOKUP(C14,LCA_5,5,FALSE)</f>
        <v>1</v>
      </c>
      <c r="AR14" s="82">
        <f>VLOOKUP(C14,LCA_5,6,FALSE)</f>
        <v>1</v>
      </c>
      <c r="AS14" s="82">
        <f>VLOOKUP(C14,LCA_5,7,FALSE)</f>
        <v>1</v>
      </c>
      <c r="AT14" s="30">
        <f t="shared" si="24"/>
        <v>4</v>
      </c>
      <c r="AU14" s="31">
        <v>1E-4</v>
      </c>
      <c r="AV14" s="32">
        <f t="shared" si="25"/>
        <v>4.0000000000000002E-4</v>
      </c>
      <c r="AW14" s="80"/>
      <c r="AY14" s="82">
        <f>VLOOKUP(C14,LCA_6,4,FALSE)</f>
        <v>1</v>
      </c>
      <c r="AZ14" s="82">
        <f>VLOOKUP(C14,LCA_6,5,FALSE)</f>
        <v>1</v>
      </c>
      <c r="BA14" s="82">
        <f>VLOOKUP(C14,LCA_6,6,FALSE)</f>
        <v>1</v>
      </c>
      <c r="BB14" s="82">
        <f>VLOOKUP(C14,LCA_6,7,FALSE)</f>
        <v>1</v>
      </c>
      <c r="BC14" s="30">
        <f t="shared" si="26"/>
        <v>4</v>
      </c>
      <c r="BD14" s="31">
        <v>1E-4</v>
      </c>
      <c r="BE14" s="32">
        <f t="shared" si="27"/>
        <v>4.0000000000000002E-4</v>
      </c>
      <c r="BF14" s="80"/>
    </row>
    <row r="15" spans="1:58" ht="15.75" thickBot="1" x14ac:dyDescent="0.3">
      <c r="C15" s="18" t="s">
        <v>116</v>
      </c>
      <c r="D15" s="18" t="s">
        <v>6</v>
      </c>
      <c r="E15" s="18" t="s">
        <v>113</v>
      </c>
      <c r="F15" s="82">
        <f t="shared" si="0"/>
        <v>1</v>
      </c>
      <c r="G15" s="82">
        <f t="shared" si="1"/>
        <v>1</v>
      </c>
      <c r="H15" s="82">
        <f t="shared" si="2"/>
        <v>1</v>
      </c>
      <c r="I15" s="82">
        <f t="shared" si="3"/>
        <v>1</v>
      </c>
      <c r="J15" s="30">
        <f t="shared" si="16"/>
        <v>4</v>
      </c>
      <c r="K15" s="31">
        <v>0.06</v>
      </c>
      <c r="L15" s="32">
        <f t="shared" si="17"/>
        <v>0.24</v>
      </c>
      <c r="M15" s="80"/>
      <c r="N15" s="83"/>
      <c r="O15" s="82">
        <f t="shared" si="4"/>
        <v>1</v>
      </c>
      <c r="P15" s="82">
        <f t="shared" si="5"/>
        <v>1</v>
      </c>
      <c r="Q15" s="82">
        <f t="shared" si="6"/>
        <v>1</v>
      </c>
      <c r="R15" s="82">
        <f t="shared" si="7"/>
        <v>1</v>
      </c>
      <c r="S15" s="30">
        <f t="shared" si="18"/>
        <v>4</v>
      </c>
      <c r="T15" s="31">
        <v>0.06</v>
      </c>
      <c r="U15" s="32">
        <f t="shared" si="19"/>
        <v>0.24</v>
      </c>
      <c r="V15" s="80"/>
      <c r="W15" s="83"/>
      <c r="X15" s="82">
        <f t="shared" si="8"/>
        <v>1</v>
      </c>
      <c r="Y15" s="82">
        <f t="shared" si="9"/>
        <v>1</v>
      </c>
      <c r="Z15" s="82">
        <f t="shared" si="10"/>
        <v>1</v>
      </c>
      <c r="AA15" s="82">
        <f t="shared" si="11"/>
        <v>1</v>
      </c>
      <c r="AB15" s="30">
        <f t="shared" si="20"/>
        <v>4</v>
      </c>
      <c r="AC15" s="31">
        <v>0.06</v>
      </c>
      <c r="AD15" s="32">
        <f t="shared" si="21"/>
        <v>0.24</v>
      </c>
      <c r="AE15" s="80"/>
      <c r="AG15" s="82">
        <f t="shared" si="12"/>
        <v>1</v>
      </c>
      <c r="AH15" s="82">
        <f t="shared" si="13"/>
        <v>1</v>
      </c>
      <c r="AI15" s="82">
        <f t="shared" si="14"/>
        <v>1</v>
      </c>
      <c r="AJ15" s="82">
        <f t="shared" si="15"/>
        <v>1</v>
      </c>
      <c r="AK15" s="30">
        <f t="shared" si="22"/>
        <v>4</v>
      </c>
      <c r="AL15" s="31">
        <v>0.06</v>
      </c>
      <c r="AM15" s="32">
        <f t="shared" si="23"/>
        <v>0.24</v>
      </c>
      <c r="AN15" s="80"/>
      <c r="AP15" s="82">
        <f>VLOOKUP(C15,LCA_5,4,FALSE)</f>
        <v>1</v>
      </c>
      <c r="AQ15" s="82">
        <f>VLOOKUP(C15,LCA_5,5,FALSE)</f>
        <v>1</v>
      </c>
      <c r="AR15" s="82">
        <f>VLOOKUP(C15,LCA_5,6,FALSE)</f>
        <v>1</v>
      </c>
      <c r="AS15" s="82">
        <f>VLOOKUP(C15,LCA_5,7,FALSE)</f>
        <v>1</v>
      </c>
      <c r="AT15" s="30">
        <f t="shared" si="24"/>
        <v>4</v>
      </c>
      <c r="AU15" s="31">
        <v>0.06</v>
      </c>
      <c r="AV15" s="32">
        <f t="shared" si="25"/>
        <v>0.24</v>
      </c>
      <c r="AW15" s="80"/>
      <c r="AY15" s="82">
        <f>VLOOKUP(C15,LCA_6,4,FALSE)</f>
        <v>1</v>
      </c>
      <c r="AZ15" s="82">
        <f>VLOOKUP(C15,LCA_6,5,FALSE)</f>
        <v>1</v>
      </c>
      <c r="BA15" s="82">
        <f>VLOOKUP(C15,LCA_6,6,FALSE)</f>
        <v>1</v>
      </c>
      <c r="BB15" s="82">
        <f>VLOOKUP(C15,LCA_6,7,FALSE)</f>
        <v>1</v>
      </c>
      <c r="BC15" s="30">
        <f t="shared" si="26"/>
        <v>4</v>
      </c>
      <c r="BD15" s="31">
        <v>0.06</v>
      </c>
      <c r="BE15" s="32">
        <f t="shared" si="27"/>
        <v>0.24</v>
      </c>
      <c r="BF15" s="80"/>
    </row>
    <row r="16" spans="1:58" ht="15.75" thickBot="1" x14ac:dyDescent="0.3">
      <c r="C16" s="34"/>
      <c r="D16" s="34"/>
      <c r="E16" s="34"/>
      <c r="F16" s="117" t="s">
        <v>128</v>
      </c>
      <c r="G16" s="117"/>
      <c r="H16" s="117"/>
      <c r="I16" s="117"/>
      <c r="J16" s="84">
        <f>SUM(J5:J15)</f>
        <v>44</v>
      </c>
      <c r="K16" s="35"/>
      <c r="L16" s="36" t="s">
        <v>135</v>
      </c>
      <c r="M16" s="85">
        <f>SUM(L5:L15)</f>
        <v>182.20040000000006</v>
      </c>
      <c r="O16" s="117" t="s">
        <v>128</v>
      </c>
      <c r="P16" s="117"/>
      <c r="Q16" s="117"/>
      <c r="R16" s="117"/>
      <c r="S16" s="84">
        <f>SUM(S5:S15)</f>
        <v>44</v>
      </c>
      <c r="T16" s="35"/>
      <c r="U16" s="36" t="s">
        <v>135</v>
      </c>
      <c r="V16" s="85">
        <f>SUM(U5:U15)</f>
        <v>182.20040000000006</v>
      </c>
      <c r="X16" s="117" t="s">
        <v>128</v>
      </c>
      <c r="Y16" s="117"/>
      <c r="Z16" s="117"/>
      <c r="AA16" s="117"/>
      <c r="AB16" s="84">
        <f>SUM(AB5:AB15)</f>
        <v>44</v>
      </c>
      <c r="AC16" s="35"/>
      <c r="AD16" s="36" t="s">
        <v>135</v>
      </c>
      <c r="AE16" s="85">
        <f>SUM(AD5:AD15)</f>
        <v>182.20040000000006</v>
      </c>
      <c r="AG16" s="117" t="s">
        <v>128</v>
      </c>
      <c r="AH16" s="117"/>
      <c r="AI16" s="117"/>
      <c r="AJ16" s="117"/>
      <c r="AK16" s="84">
        <f>SUM(AK5:AK15)</f>
        <v>44</v>
      </c>
      <c r="AL16" s="35"/>
      <c r="AM16" s="36" t="s">
        <v>135</v>
      </c>
      <c r="AN16" s="85">
        <f>SUM(AM5:AM15)</f>
        <v>182.20040000000006</v>
      </c>
      <c r="AP16" s="117" t="s">
        <v>128</v>
      </c>
      <c r="AQ16" s="117"/>
      <c r="AR16" s="117"/>
      <c r="AS16" s="117"/>
      <c r="AT16" s="84">
        <f>SUM(AT5:AT15)</f>
        <v>44</v>
      </c>
      <c r="AU16" s="35"/>
      <c r="AV16" s="36" t="s">
        <v>135</v>
      </c>
      <c r="AW16" s="85">
        <f>SUM(AV5:AV15)</f>
        <v>182.20040000000006</v>
      </c>
      <c r="AY16" s="117" t="s">
        <v>128</v>
      </c>
      <c r="AZ16" s="117"/>
      <c r="BA16" s="117"/>
      <c r="BB16" s="117"/>
      <c r="BC16" s="84">
        <f>SUM(BC5:BC15)</f>
        <v>44</v>
      </c>
      <c r="BD16" s="35"/>
      <c r="BE16" s="36" t="s">
        <v>135</v>
      </c>
      <c r="BF16" s="85">
        <f>SUM(BE5:BE15)</f>
        <v>182.20040000000006</v>
      </c>
    </row>
    <row r="17" spans="3:40" x14ac:dyDescent="0.25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O17" s="18"/>
      <c r="P17" s="18"/>
      <c r="Q17" s="18"/>
      <c r="R17" s="18"/>
      <c r="S17" s="18"/>
      <c r="T17" s="18"/>
      <c r="U17" s="18"/>
      <c r="V17" s="18"/>
      <c r="X17" s="18"/>
      <c r="Y17" s="18"/>
      <c r="Z17" s="18"/>
      <c r="AA17" s="18"/>
      <c r="AB17" s="18"/>
      <c r="AC17" s="18"/>
      <c r="AD17" s="18"/>
      <c r="AE17" s="18"/>
      <c r="AG17" s="18"/>
      <c r="AH17" s="18"/>
      <c r="AI17" s="18"/>
      <c r="AJ17" s="18"/>
      <c r="AK17" s="18"/>
      <c r="AL17" s="18"/>
      <c r="AM17" s="18"/>
      <c r="AN17" s="18"/>
    </row>
    <row r="19" spans="3:40" x14ac:dyDescent="0.25">
      <c r="C19" t="s">
        <v>230</v>
      </c>
    </row>
    <row r="20" spans="3:40" s="119" customFormat="1" x14ac:dyDescent="0.25">
      <c r="C20" t="s">
        <v>138</v>
      </c>
      <c r="D20"/>
      <c r="E20"/>
      <c r="F20" s="86">
        <f>LCA_A</f>
        <v>182.20040000000006</v>
      </c>
    </row>
    <row r="21" spans="3:40" s="119" customFormat="1" x14ac:dyDescent="0.25">
      <c r="C21" t="s">
        <v>140</v>
      </c>
      <c r="D21"/>
      <c r="E21"/>
      <c r="F21" s="86" cm="1">
        <f t="array" ref="F21">LCA_B</f>
        <v>182.20040000000006</v>
      </c>
    </row>
    <row r="22" spans="3:40" s="119" customFormat="1" x14ac:dyDescent="0.25">
      <c r="C22" t="s">
        <v>141</v>
      </c>
      <c r="D22"/>
      <c r="E22"/>
      <c r="F22" s="86">
        <f>LCA_C</f>
        <v>182.20040000000006</v>
      </c>
    </row>
    <row r="23" spans="3:40" x14ac:dyDescent="0.25">
      <c r="C23" t="s">
        <v>160</v>
      </c>
      <c r="F23" s="86">
        <f>LCA_D</f>
        <v>182.20040000000006</v>
      </c>
    </row>
    <row r="24" spans="3:40" x14ac:dyDescent="0.25">
      <c r="C24" t="s">
        <v>199</v>
      </c>
      <c r="E24" t="s">
        <v>228</v>
      </c>
      <c r="F24" s="86">
        <f>LCA_E</f>
        <v>182.20040000000006</v>
      </c>
    </row>
    <row r="25" spans="3:40" x14ac:dyDescent="0.25">
      <c r="C25" t="s">
        <v>199</v>
      </c>
      <c r="E25" t="s">
        <v>229</v>
      </c>
      <c r="F25" s="86">
        <f>LCA_F</f>
        <v>182.20040000000006</v>
      </c>
    </row>
    <row r="26" spans="3:40" x14ac:dyDescent="0.25">
      <c r="C26" t="s">
        <v>199</v>
      </c>
      <c r="F26" s="86"/>
    </row>
    <row r="28" spans="3:40" x14ac:dyDescent="0.25">
      <c r="F28" s="86"/>
    </row>
    <row r="41" spans="1:5" x14ac:dyDescent="0.25">
      <c r="A41" s="119"/>
      <c r="B41" s="119"/>
      <c r="C41" s="119"/>
      <c r="D41" s="119"/>
      <c r="E41" s="119"/>
    </row>
    <row r="42" spans="1:5" x14ac:dyDescent="0.25">
      <c r="A42" s="119"/>
      <c r="B42" s="119"/>
      <c r="C42" s="119"/>
      <c r="D42" s="119"/>
      <c r="E42" s="119"/>
    </row>
  </sheetData>
  <sheetProtection algorithmName="SHA-512" hashValue="1B1wheOVGTVSZ7M2tmP3VOZ+snWSJQSEcrq4Fmp9xpz8OeqOeJZtG//uTLgtQ+GTPmJcl7ktIIIgZ738/oXedg==" saltValue="uKuK0WgRfEIst7asZARn3g==" spinCount="100000" sheet="1" objects="1" scenarios="1"/>
  <mergeCells count="24">
    <mergeCell ref="BD3:BD4"/>
    <mergeCell ref="AP16:AS16"/>
    <mergeCell ref="AY16:BB16"/>
    <mergeCell ref="AP2:AT2"/>
    <mergeCell ref="AY2:BC2"/>
    <mergeCell ref="AP3:AT3"/>
    <mergeCell ref="AU3:AU4"/>
    <mergeCell ref="AY3:BC3"/>
    <mergeCell ref="AG2:AK2"/>
    <mergeCell ref="AG3:AK3"/>
    <mergeCell ref="AL3:AL4"/>
    <mergeCell ref="AG16:AJ16"/>
    <mergeCell ref="K3:K4"/>
    <mergeCell ref="AC3:AC4"/>
    <mergeCell ref="X16:AA16"/>
    <mergeCell ref="O2:S2"/>
    <mergeCell ref="O3:S3"/>
    <mergeCell ref="T3:T4"/>
    <mergeCell ref="O16:R16"/>
    <mergeCell ref="X2:AB2"/>
    <mergeCell ref="X3:AB3"/>
    <mergeCell ref="F2:J2"/>
    <mergeCell ref="F3:J3"/>
    <mergeCell ref="F16:I16"/>
  </mergeCells>
  <pageMargins left="0.7" right="0.7" top="0.75" bottom="0.75" header="0.3" footer="0.3"/>
  <pageSetup paperSize="9" orientation="portrait" r:id="rId1"/>
  <headerFooter>
    <oddFooter>&amp;CParaaf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4D29-F89C-4F7E-B3A4-FA72BA763357}">
  <sheetPr>
    <tabColor rgb="FFFF0000"/>
  </sheetPr>
  <dimension ref="A1:V46"/>
  <sheetViews>
    <sheetView workbookViewId="0">
      <selection activeCell="L19" sqref="L19"/>
    </sheetView>
  </sheetViews>
  <sheetFormatPr defaultColWidth="9.140625" defaultRowHeight="16.5" x14ac:dyDescent="0.3"/>
  <cols>
    <col min="1" max="1" width="9.140625" style="49"/>
    <col min="2" max="2" width="38.140625" style="49" customWidth="1"/>
    <col min="3" max="3" width="9.140625" style="49"/>
    <col min="4" max="4" width="4.7109375" style="49" customWidth="1"/>
    <col min="5" max="5" width="8" style="49" customWidth="1"/>
    <col min="6" max="6" width="3" style="49" customWidth="1"/>
    <col min="7" max="7" width="9.7109375" style="49" bestFit="1" customWidth="1"/>
    <col min="8" max="8" width="9.140625" style="49"/>
    <col min="9" max="9" width="15.140625" style="49" customWidth="1"/>
    <col min="10" max="16" width="9.140625" style="49"/>
    <col min="17" max="17" width="11.85546875" style="49" bestFit="1" customWidth="1"/>
    <col min="18" max="18" width="9.140625" style="49"/>
    <col min="19" max="19" width="10.7109375" style="49" bestFit="1" customWidth="1"/>
    <col min="20" max="21" width="9.140625" style="49"/>
    <col min="22" max="22" width="10.7109375" style="49" bestFit="1" customWidth="1"/>
    <col min="23" max="16384" width="9.140625" style="49"/>
  </cols>
  <sheetData>
    <row r="1" spans="1:10" x14ac:dyDescent="0.3">
      <c r="A1" s="87" t="s">
        <v>153</v>
      </c>
    </row>
    <row r="2" spans="1:10" ht="33" customHeight="1" x14ac:dyDescent="0.3">
      <c r="C2" s="94" t="s">
        <v>151</v>
      </c>
      <c r="D2" s="94"/>
      <c r="E2" s="94" t="s">
        <v>193</v>
      </c>
      <c r="F2" s="94"/>
      <c r="G2" s="94" t="s">
        <v>200</v>
      </c>
      <c r="H2" s="94"/>
      <c r="I2" s="94" t="s">
        <v>201</v>
      </c>
      <c r="J2" s="94"/>
    </row>
    <row r="3" spans="1:10" x14ac:dyDescent="0.3">
      <c r="B3" s="88" t="s">
        <v>97</v>
      </c>
      <c r="C3" s="95">
        <v>10</v>
      </c>
      <c r="D3" s="95"/>
      <c r="E3" s="180">
        <f>Techniek!J21</f>
        <v>0</v>
      </c>
      <c r="F3" s="95"/>
      <c r="G3" s="96">
        <v>125</v>
      </c>
      <c r="H3" s="95"/>
      <c r="I3" s="178" t="str">
        <f>IF(E3=0,"",10*(Techniek!L1-E3)/(Techniek!L1-Techniek!L2))</f>
        <v/>
      </c>
      <c r="J3" s="88"/>
    </row>
    <row r="4" spans="1:10" x14ac:dyDescent="0.3">
      <c r="B4" s="89" t="s">
        <v>154</v>
      </c>
      <c r="C4" s="98">
        <v>15</v>
      </c>
      <c r="D4" s="98"/>
      <c r="E4" s="181">
        <f>Techniek!N21+Techniek!R21+Techniek!V21</f>
        <v>0</v>
      </c>
      <c r="F4" s="98"/>
      <c r="G4" s="99">
        <v>1200</v>
      </c>
      <c r="H4" s="98"/>
      <c r="I4" s="100">
        <f>C4-(G4-E4)/G4*C4</f>
        <v>0</v>
      </c>
      <c r="J4" s="89"/>
    </row>
    <row r="5" spans="1:10" x14ac:dyDescent="0.3">
      <c r="B5" s="88" t="s">
        <v>155</v>
      </c>
      <c r="C5" s="95">
        <v>10</v>
      </c>
      <c r="D5" s="95"/>
      <c r="E5" s="180" t="str">
        <f>Techniek!H40</f>
        <v/>
      </c>
      <c r="F5" s="95"/>
      <c r="G5" s="96">
        <v>10</v>
      </c>
      <c r="H5" s="95"/>
      <c r="I5" s="97" t="str">
        <f>IFERROR((G5-E5)/G5*C5,"")</f>
        <v/>
      </c>
      <c r="J5" s="88"/>
    </row>
    <row r="6" spans="1:10" x14ac:dyDescent="0.3">
      <c r="B6" s="89" t="s">
        <v>157</v>
      </c>
      <c r="C6" s="98">
        <v>10</v>
      </c>
      <c r="D6" s="98"/>
      <c r="E6" s="99">
        <f>Techniek!X21</f>
        <v>182.20040000000009</v>
      </c>
      <c r="F6" s="98"/>
      <c r="G6" s="99">
        <v>50</v>
      </c>
      <c r="H6" s="98"/>
      <c r="I6" s="100">
        <f>IF(E6="","",(G6-E6)/G6*C6)</f>
        <v>-26.440080000000016</v>
      </c>
      <c r="J6" s="89"/>
    </row>
    <row r="7" spans="1:10" x14ac:dyDescent="0.3">
      <c r="B7" s="88" t="s">
        <v>156</v>
      </c>
      <c r="C7" s="95">
        <v>10</v>
      </c>
      <c r="D7" s="95"/>
      <c r="E7" s="96">
        <f>Maatschappelijk!K33</f>
        <v>0</v>
      </c>
      <c r="F7" s="95"/>
      <c r="G7" s="96">
        <v>10</v>
      </c>
      <c r="H7" s="95"/>
      <c r="I7" s="97">
        <f>IF(E7="","",E7)</f>
        <v>0</v>
      </c>
      <c r="J7" s="88"/>
    </row>
    <row r="8" spans="1:10" x14ac:dyDescent="0.3">
      <c r="B8" s="89" t="s">
        <v>163</v>
      </c>
      <c r="C8" s="98">
        <v>10</v>
      </c>
      <c r="D8" s="98"/>
      <c r="E8" s="99">
        <f>Maatschappelijk!K29</f>
        <v>0</v>
      </c>
      <c r="F8" s="98"/>
      <c r="G8" s="99">
        <v>10</v>
      </c>
      <c r="H8" s="98"/>
      <c r="I8" s="100">
        <f>IF(E8="","",E8)</f>
        <v>0</v>
      </c>
      <c r="J8" s="89"/>
    </row>
    <row r="9" spans="1:10" x14ac:dyDescent="0.3">
      <c r="B9" s="89" t="s">
        <v>205</v>
      </c>
      <c r="C9" s="98"/>
      <c r="D9" s="98"/>
      <c r="E9" s="99"/>
      <c r="F9" s="98"/>
      <c r="G9" s="99"/>
      <c r="H9" s="98"/>
      <c r="I9" s="100"/>
      <c r="J9" s="89"/>
    </row>
    <row r="11" spans="1:10" x14ac:dyDescent="0.3">
      <c r="B11" s="88" t="s">
        <v>158</v>
      </c>
      <c r="C11" s="95">
        <v>35</v>
      </c>
    </row>
    <row r="12" spans="1:10" x14ac:dyDescent="0.3">
      <c r="B12" s="89" t="s">
        <v>188</v>
      </c>
      <c r="C12" s="98">
        <f>SUM(C3:C11)</f>
        <v>100</v>
      </c>
    </row>
    <row r="13" spans="1:10" x14ac:dyDescent="0.3">
      <c r="B13" s="88" t="s">
        <v>159</v>
      </c>
      <c r="C13" s="95">
        <v>-10</v>
      </c>
    </row>
    <row r="14" spans="1:10" x14ac:dyDescent="0.3">
      <c r="B14" s="89" t="s">
        <v>117</v>
      </c>
      <c r="C14" s="98">
        <f>C12+C13</f>
        <v>90</v>
      </c>
    </row>
    <row r="18" spans="2:22" x14ac:dyDescent="0.3">
      <c r="B18" s="49" t="s">
        <v>202</v>
      </c>
    </row>
    <row r="19" spans="2:22" x14ac:dyDescent="0.3">
      <c r="B19" s="49" t="s">
        <v>203</v>
      </c>
    </row>
    <row r="20" spans="2:22" x14ac:dyDescent="0.3">
      <c r="B20" s="49" t="s">
        <v>204</v>
      </c>
    </row>
    <row r="24" spans="2:22" s="120" customFormat="1" x14ac:dyDescent="0.3"/>
    <row r="25" spans="2:22" s="120" customFormat="1" x14ac:dyDescent="0.3"/>
    <row r="26" spans="2:22" s="120" customFormat="1" x14ac:dyDescent="0.3"/>
    <row r="29" spans="2:22" x14ac:dyDescent="0.3">
      <c r="Q29" s="92"/>
    </row>
    <row r="30" spans="2:22" x14ac:dyDescent="0.3">
      <c r="Q30" s="92"/>
      <c r="S30" s="91"/>
      <c r="V30" s="91"/>
    </row>
    <row r="31" spans="2:22" x14ac:dyDescent="0.3">
      <c r="O31" s="93"/>
      <c r="Q31" s="91"/>
      <c r="S31" s="91"/>
    </row>
    <row r="32" spans="2:22" x14ac:dyDescent="0.3">
      <c r="S32" s="92"/>
    </row>
    <row r="45" spans="1:5" x14ac:dyDescent="0.3">
      <c r="A45" s="120"/>
      <c r="B45" s="120"/>
      <c r="C45" s="120"/>
      <c r="D45" s="120"/>
      <c r="E45" s="120"/>
    </row>
    <row r="46" spans="1:5" x14ac:dyDescent="0.3">
      <c r="A46" s="120"/>
      <c r="B46" s="120"/>
      <c r="C46" s="120"/>
      <c r="D46" s="120"/>
      <c r="E46" s="120"/>
    </row>
  </sheetData>
  <sheetProtection algorithmName="SHA-512" hashValue="+0PMw+W8QXmPHz+VVvLP/clAYIril4FWWict+Q4X2YESMOsCSAj75w6SAeTMklYq6Cj9bDphmzGdtS0fDRGvRg==" saltValue="pPR0FvSht9X+ldXiaKueEw==" spinCount="100000" sheet="1" objects="1" scenarios="1"/>
  <hyperlinks>
    <hyperlink ref="B9" r:id="rId1" display="CO@" xr:uid="{17DB739F-E52E-4453-AFE2-5D977EBEFD3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36C0-2820-4641-B23C-6AA9AD60F0B0}">
  <sheetPr>
    <tabColor rgb="FFFF0000"/>
  </sheetPr>
  <dimension ref="A1:BH48"/>
  <sheetViews>
    <sheetView workbookViewId="0">
      <selection activeCell="L14" sqref="L14"/>
    </sheetView>
  </sheetViews>
  <sheetFormatPr defaultRowHeight="15" x14ac:dyDescent="0.25"/>
  <cols>
    <col min="2" max="2" width="10.28515625" bestFit="1" customWidth="1"/>
  </cols>
  <sheetData>
    <row r="1" spans="2:60" x14ac:dyDescent="0.25">
      <c r="B1" s="27" t="s">
        <v>137</v>
      </c>
    </row>
    <row r="2" spans="2:60" x14ac:dyDescent="0.25">
      <c r="B2" s="26" t="s">
        <v>136</v>
      </c>
      <c r="C2" s="26"/>
      <c r="D2" s="26"/>
      <c r="E2" s="26"/>
      <c r="F2" s="26"/>
      <c r="G2" s="26"/>
      <c r="H2" s="26"/>
      <c r="I2" s="26"/>
      <c r="J2" s="26"/>
    </row>
    <row r="3" spans="2:60" x14ac:dyDescent="0.25">
      <c r="B3" s="26" t="s">
        <v>131</v>
      </c>
      <c r="C3" s="26"/>
      <c r="D3" s="26"/>
      <c r="E3" s="26"/>
      <c r="F3" s="26"/>
      <c r="G3" s="26"/>
      <c r="H3" s="26"/>
      <c r="I3" s="26"/>
      <c r="J3" s="26"/>
    </row>
    <row r="4" spans="2:60" x14ac:dyDescent="0.25">
      <c r="B4" s="123" t="s">
        <v>222</v>
      </c>
      <c r="C4" s="123"/>
      <c r="D4" s="123"/>
      <c r="E4" s="123"/>
      <c r="F4" s="123"/>
      <c r="G4" s="123"/>
      <c r="H4" s="123"/>
      <c r="I4" s="123"/>
      <c r="J4" s="123"/>
      <c r="L4" s="123" t="s">
        <v>223</v>
      </c>
      <c r="M4" s="123"/>
      <c r="N4" s="123"/>
      <c r="O4" s="123"/>
      <c r="P4" s="123"/>
      <c r="Q4" s="123"/>
      <c r="R4" s="123"/>
      <c r="S4" s="123"/>
      <c r="T4" s="123"/>
      <c r="V4" s="123" t="s">
        <v>224</v>
      </c>
      <c r="W4" s="123"/>
      <c r="X4" s="123"/>
      <c r="Y4" s="123"/>
      <c r="Z4" s="123"/>
      <c r="AA4" s="123"/>
      <c r="AB4" s="123"/>
      <c r="AC4" s="123"/>
      <c r="AD4" s="123"/>
      <c r="AF4" s="123" t="s">
        <v>225</v>
      </c>
      <c r="AG4" s="123"/>
      <c r="AH4" s="123"/>
      <c r="AI4" s="123"/>
      <c r="AJ4" s="123"/>
      <c r="AK4" s="123"/>
      <c r="AL4" s="123"/>
      <c r="AM4" s="123"/>
      <c r="AN4" s="123"/>
      <c r="AP4" s="123" t="s">
        <v>226</v>
      </c>
      <c r="AQ4" s="123"/>
      <c r="AR4" s="123"/>
      <c r="AS4" s="123"/>
      <c r="AT4" s="123"/>
      <c r="AU4" s="123"/>
      <c r="AV4" s="123"/>
      <c r="AW4" s="123"/>
      <c r="AX4" s="123"/>
      <c r="AZ4" s="123" t="s">
        <v>227</v>
      </c>
      <c r="BA4" s="123"/>
      <c r="BB4" s="123"/>
      <c r="BC4" s="123"/>
      <c r="BD4" s="123"/>
      <c r="BE4" s="123"/>
      <c r="BF4" s="123"/>
      <c r="BG4" s="123"/>
      <c r="BH4" s="123"/>
    </row>
    <row r="5" spans="2:60" x14ac:dyDescent="0.25">
      <c r="B5" s="23">
        <v>1</v>
      </c>
      <c r="C5" s="23">
        <f>B5+1</f>
        <v>2</v>
      </c>
      <c r="D5" s="23">
        <f t="shared" ref="D5:J5" si="0">C5+1</f>
        <v>3</v>
      </c>
      <c r="E5" s="23">
        <f t="shared" si="0"/>
        <v>4</v>
      </c>
      <c r="F5" s="23">
        <f t="shared" si="0"/>
        <v>5</v>
      </c>
      <c r="G5" s="23">
        <f t="shared" si="0"/>
        <v>6</v>
      </c>
      <c r="H5" s="23">
        <f t="shared" si="0"/>
        <v>7</v>
      </c>
      <c r="I5" s="23">
        <f t="shared" si="0"/>
        <v>8</v>
      </c>
      <c r="J5" s="23">
        <f t="shared" si="0"/>
        <v>9</v>
      </c>
      <c r="K5" s="23"/>
      <c r="L5" s="23">
        <v>1</v>
      </c>
      <c r="M5" s="23">
        <f>L5+1</f>
        <v>2</v>
      </c>
      <c r="N5" s="23">
        <f t="shared" ref="N5" si="1">M5+1</f>
        <v>3</v>
      </c>
      <c r="O5" s="23">
        <f t="shared" ref="O5" si="2">N5+1</f>
        <v>4</v>
      </c>
      <c r="P5" s="23">
        <f t="shared" ref="P5" si="3">O5+1</f>
        <v>5</v>
      </c>
      <c r="Q5" s="23">
        <f t="shared" ref="Q5" si="4">P5+1</f>
        <v>6</v>
      </c>
      <c r="R5" s="23">
        <f t="shared" ref="R5" si="5">Q5+1</f>
        <v>7</v>
      </c>
      <c r="S5" s="23">
        <f t="shared" ref="S5" si="6">R5+1</f>
        <v>8</v>
      </c>
      <c r="T5" s="23">
        <f t="shared" ref="T5" si="7">S5+1</f>
        <v>9</v>
      </c>
      <c r="V5" s="23">
        <v>1</v>
      </c>
      <c r="W5" s="23">
        <f>V5+1</f>
        <v>2</v>
      </c>
      <c r="X5" s="23">
        <f t="shared" ref="X5" si="8">W5+1</f>
        <v>3</v>
      </c>
      <c r="Y5" s="23">
        <f t="shared" ref="Y5" si="9">X5+1</f>
        <v>4</v>
      </c>
      <c r="Z5" s="23">
        <f t="shared" ref="Z5" si="10">Y5+1</f>
        <v>5</v>
      </c>
      <c r="AA5" s="23">
        <f t="shared" ref="AA5" si="11">Z5+1</f>
        <v>6</v>
      </c>
      <c r="AB5" s="23">
        <f t="shared" ref="AB5" si="12">AA5+1</f>
        <v>7</v>
      </c>
      <c r="AC5" s="23">
        <f t="shared" ref="AC5" si="13">AB5+1</f>
        <v>8</v>
      </c>
      <c r="AD5" s="23">
        <f t="shared" ref="AD5" si="14">AC5+1</f>
        <v>9</v>
      </c>
      <c r="AF5" s="23">
        <v>1</v>
      </c>
      <c r="AG5" s="23">
        <f>AF5+1</f>
        <v>2</v>
      </c>
      <c r="AH5" s="23">
        <f t="shared" ref="AH5" si="15">AG5+1</f>
        <v>3</v>
      </c>
      <c r="AI5" s="23">
        <f t="shared" ref="AI5" si="16">AH5+1</f>
        <v>4</v>
      </c>
      <c r="AJ5" s="23">
        <f t="shared" ref="AJ5" si="17">AI5+1</f>
        <v>5</v>
      </c>
      <c r="AK5" s="23">
        <f t="shared" ref="AK5" si="18">AJ5+1</f>
        <v>6</v>
      </c>
      <c r="AL5" s="23">
        <f t="shared" ref="AL5" si="19">AK5+1</f>
        <v>7</v>
      </c>
      <c r="AM5" s="23">
        <f t="shared" ref="AM5" si="20">AL5+1</f>
        <v>8</v>
      </c>
      <c r="AN5" s="23">
        <f t="shared" ref="AN5" si="21">AM5+1</f>
        <v>9</v>
      </c>
      <c r="AP5" s="23">
        <v>1</v>
      </c>
      <c r="AQ5" s="23">
        <f>AP5+1</f>
        <v>2</v>
      </c>
      <c r="AR5" s="23">
        <f t="shared" ref="AR5" si="22">AQ5+1</f>
        <v>3</v>
      </c>
      <c r="AS5" s="23">
        <f t="shared" ref="AS5" si="23">AR5+1</f>
        <v>4</v>
      </c>
      <c r="AT5" s="23">
        <f t="shared" ref="AT5" si="24">AS5+1</f>
        <v>5</v>
      </c>
      <c r="AU5" s="23">
        <f t="shared" ref="AU5" si="25">AT5+1</f>
        <v>6</v>
      </c>
      <c r="AV5" s="23">
        <f t="shared" ref="AV5" si="26">AU5+1</f>
        <v>7</v>
      </c>
      <c r="AW5" s="23">
        <f t="shared" ref="AW5" si="27">AV5+1</f>
        <v>8</v>
      </c>
      <c r="AX5" s="23">
        <f t="shared" ref="AX5" si="28">AW5+1</f>
        <v>9</v>
      </c>
      <c r="AZ5" s="23">
        <v>1</v>
      </c>
      <c r="BA5" s="23">
        <f>AZ5+1</f>
        <v>2</v>
      </c>
      <c r="BB5" s="23">
        <f t="shared" ref="BB5" si="29">BA5+1</f>
        <v>3</v>
      </c>
      <c r="BC5" s="23">
        <f t="shared" ref="BC5" si="30">BB5+1</f>
        <v>4</v>
      </c>
      <c r="BD5" s="23">
        <f t="shared" ref="BD5" si="31">BC5+1</f>
        <v>5</v>
      </c>
      <c r="BE5" s="23">
        <f t="shared" ref="BE5" si="32">BD5+1</f>
        <v>6</v>
      </c>
      <c r="BF5" s="23">
        <f t="shared" ref="BF5" si="33">BE5+1</f>
        <v>7</v>
      </c>
      <c r="BG5" s="23">
        <f t="shared" ref="BG5" si="34">BF5+1</f>
        <v>8</v>
      </c>
      <c r="BH5" s="23">
        <f t="shared" ref="BH5" si="35">BG5+1</f>
        <v>9</v>
      </c>
    </row>
    <row r="6" spans="2:60" x14ac:dyDescent="0.25">
      <c r="B6" s="25" t="s">
        <v>103</v>
      </c>
      <c r="C6" s="25" t="s">
        <v>6</v>
      </c>
      <c r="D6" s="25" t="s">
        <v>104</v>
      </c>
      <c r="E6" s="124">
        <v>1</v>
      </c>
      <c r="F6" s="124">
        <v>1</v>
      </c>
      <c r="G6" s="124">
        <v>1</v>
      </c>
      <c r="H6" s="124">
        <v>1</v>
      </c>
      <c r="I6" s="124">
        <v>1</v>
      </c>
      <c r="J6" s="124">
        <v>3.1830000000000001E-3</v>
      </c>
      <c r="K6" s="24"/>
      <c r="L6" s="25" t="s">
        <v>103</v>
      </c>
      <c r="M6" s="25" t="s">
        <v>6</v>
      </c>
      <c r="N6" s="25" t="s">
        <v>104</v>
      </c>
      <c r="O6" s="124">
        <v>1</v>
      </c>
      <c r="P6" s="124">
        <v>1</v>
      </c>
      <c r="Q6" s="124">
        <v>1</v>
      </c>
      <c r="R6" s="124">
        <v>1</v>
      </c>
      <c r="S6" s="124">
        <v>1</v>
      </c>
      <c r="T6" s="124">
        <v>1</v>
      </c>
      <c r="V6" s="25" t="s">
        <v>103</v>
      </c>
      <c r="W6" s="25" t="s">
        <v>6</v>
      </c>
      <c r="X6" s="25" t="s">
        <v>104</v>
      </c>
      <c r="Y6" s="124">
        <v>1</v>
      </c>
      <c r="Z6" s="124">
        <v>1</v>
      </c>
      <c r="AA6" s="124">
        <v>1</v>
      </c>
      <c r="AB6" s="124">
        <v>1</v>
      </c>
      <c r="AC6" s="124">
        <v>1</v>
      </c>
      <c r="AD6" s="124">
        <v>1</v>
      </c>
      <c r="AF6" s="25" t="s">
        <v>103</v>
      </c>
      <c r="AG6" s="25" t="s">
        <v>6</v>
      </c>
      <c r="AH6" s="25" t="s">
        <v>104</v>
      </c>
      <c r="AI6" s="124">
        <v>1</v>
      </c>
      <c r="AJ6" s="124">
        <v>1</v>
      </c>
      <c r="AK6" s="124">
        <v>1</v>
      </c>
      <c r="AL6" s="124">
        <v>1</v>
      </c>
      <c r="AM6" s="124">
        <v>1</v>
      </c>
      <c r="AN6" s="124">
        <v>1</v>
      </c>
      <c r="AP6" s="25" t="s">
        <v>103</v>
      </c>
      <c r="AQ6" s="25" t="s">
        <v>6</v>
      </c>
      <c r="AR6" s="25" t="s">
        <v>104</v>
      </c>
      <c r="AS6" s="124">
        <v>1</v>
      </c>
      <c r="AT6" s="124">
        <v>1</v>
      </c>
      <c r="AU6" s="124">
        <v>1</v>
      </c>
      <c r="AV6" s="124">
        <v>1</v>
      </c>
      <c r="AW6" s="124">
        <v>1</v>
      </c>
      <c r="AX6" s="124">
        <v>1</v>
      </c>
      <c r="AZ6" s="25" t="s">
        <v>103</v>
      </c>
      <c r="BA6" s="25" t="s">
        <v>6</v>
      </c>
      <c r="BB6" s="25" t="s">
        <v>104</v>
      </c>
      <c r="BC6" s="124">
        <v>1</v>
      </c>
      <c r="BD6" s="124">
        <v>1</v>
      </c>
      <c r="BE6" s="124">
        <v>1</v>
      </c>
      <c r="BF6" s="124">
        <v>1</v>
      </c>
      <c r="BG6" s="124">
        <v>1</v>
      </c>
      <c r="BH6" s="124">
        <v>1</v>
      </c>
    </row>
    <row r="7" spans="2:60" x14ac:dyDescent="0.25">
      <c r="B7" s="25" t="s">
        <v>105</v>
      </c>
      <c r="C7" s="25" t="s">
        <v>6</v>
      </c>
      <c r="D7" s="25" t="s">
        <v>104</v>
      </c>
      <c r="E7" s="124">
        <v>1</v>
      </c>
      <c r="F7" s="124">
        <v>1</v>
      </c>
      <c r="G7" s="124">
        <v>1</v>
      </c>
      <c r="H7" s="124">
        <v>1</v>
      </c>
      <c r="I7" s="124">
        <v>1</v>
      </c>
      <c r="J7" s="124">
        <v>0.37969999999999998</v>
      </c>
      <c r="K7" s="24"/>
      <c r="L7" s="25" t="s">
        <v>105</v>
      </c>
      <c r="M7" s="25" t="s">
        <v>6</v>
      </c>
      <c r="N7" s="25" t="s">
        <v>104</v>
      </c>
      <c r="O7" s="124">
        <v>1</v>
      </c>
      <c r="P7" s="124">
        <v>1</v>
      </c>
      <c r="Q7" s="124">
        <v>1</v>
      </c>
      <c r="R7" s="124">
        <v>1</v>
      </c>
      <c r="S7" s="124">
        <v>1</v>
      </c>
      <c r="T7" s="124">
        <v>1</v>
      </c>
      <c r="V7" s="25" t="s">
        <v>105</v>
      </c>
      <c r="W7" s="25" t="s">
        <v>6</v>
      </c>
      <c r="X7" s="25" t="s">
        <v>104</v>
      </c>
      <c r="Y7" s="124">
        <v>1</v>
      </c>
      <c r="Z7" s="124">
        <v>1</v>
      </c>
      <c r="AA7" s="124">
        <v>1</v>
      </c>
      <c r="AB7" s="124">
        <v>1</v>
      </c>
      <c r="AC7" s="124">
        <v>1</v>
      </c>
      <c r="AD7" s="124">
        <v>1</v>
      </c>
      <c r="AF7" s="25" t="s">
        <v>105</v>
      </c>
      <c r="AG7" s="25" t="s">
        <v>6</v>
      </c>
      <c r="AH7" s="25" t="s">
        <v>104</v>
      </c>
      <c r="AI7" s="124">
        <v>1</v>
      </c>
      <c r="AJ7" s="124">
        <v>1</v>
      </c>
      <c r="AK7" s="124">
        <v>1</v>
      </c>
      <c r="AL7" s="124">
        <v>1</v>
      </c>
      <c r="AM7" s="124">
        <v>1</v>
      </c>
      <c r="AN7" s="124">
        <v>1</v>
      </c>
      <c r="AP7" s="25" t="s">
        <v>105</v>
      </c>
      <c r="AQ7" s="25" t="s">
        <v>6</v>
      </c>
      <c r="AR7" s="25" t="s">
        <v>104</v>
      </c>
      <c r="AS7" s="124">
        <v>1</v>
      </c>
      <c r="AT7" s="124">
        <v>1</v>
      </c>
      <c r="AU7" s="124">
        <v>1</v>
      </c>
      <c r="AV7" s="124">
        <v>1</v>
      </c>
      <c r="AW7" s="124">
        <v>1</v>
      </c>
      <c r="AX7" s="124">
        <v>1</v>
      </c>
      <c r="AZ7" s="25" t="s">
        <v>105</v>
      </c>
      <c r="BA7" s="25" t="s">
        <v>6</v>
      </c>
      <c r="BB7" s="25" t="s">
        <v>104</v>
      </c>
      <c r="BC7" s="124">
        <v>1</v>
      </c>
      <c r="BD7" s="124">
        <v>1</v>
      </c>
      <c r="BE7" s="124">
        <v>1</v>
      </c>
      <c r="BF7" s="124">
        <v>1</v>
      </c>
      <c r="BG7" s="124">
        <v>1</v>
      </c>
      <c r="BH7" s="124">
        <v>1</v>
      </c>
    </row>
    <row r="8" spans="2:60" x14ac:dyDescent="0.25">
      <c r="B8" s="25" t="s">
        <v>63</v>
      </c>
      <c r="C8" s="25" t="s">
        <v>6</v>
      </c>
      <c r="D8" s="25" t="s">
        <v>106</v>
      </c>
      <c r="E8" s="124">
        <v>1</v>
      </c>
      <c r="F8" s="124">
        <v>1</v>
      </c>
      <c r="G8" s="124">
        <v>1</v>
      </c>
      <c r="H8" s="124">
        <v>1</v>
      </c>
      <c r="I8" s="124">
        <v>1</v>
      </c>
      <c r="J8" s="124">
        <v>60.93</v>
      </c>
      <c r="K8" s="24"/>
      <c r="L8" s="25" t="s">
        <v>63</v>
      </c>
      <c r="M8" s="25" t="s">
        <v>6</v>
      </c>
      <c r="N8" s="25" t="s">
        <v>106</v>
      </c>
      <c r="O8" s="124">
        <v>1</v>
      </c>
      <c r="P8" s="124">
        <v>1</v>
      </c>
      <c r="Q8" s="124">
        <v>1</v>
      </c>
      <c r="R8" s="124">
        <v>1</v>
      </c>
      <c r="S8" s="124">
        <v>1</v>
      </c>
      <c r="T8" s="124">
        <v>1</v>
      </c>
      <c r="V8" s="25" t="s">
        <v>63</v>
      </c>
      <c r="W8" s="25" t="s">
        <v>6</v>
      </c>
      <c r="X8" s="25" t="s">
        <v>106</v>
      </c>
      <c r="Y8" s="124">
        <v>1</v>
      </c>
      <c r="Z8" s="124">
        <v>1</v>
      </c>
      <c r="AA8" s="124">
        <v>1</v>
      </c>
      <c r="AB8" s="124">
        <v>1</v>
      </c>
      <c r="AC8" s="124">
        <v>1</v>
      </c>
      <c r="AD8" s="124">
        <v>1</v>
      </c>
      <c r="AF8" s="25" t="s">
        <v>63</v>
      </c>
      <c r="AG8" s="25" t="s">
        <v>6</v>
      </c>
      <c r="AH8" s="25" t="s">
        <v>106</v>
      </c>
      <c r="AI8" s="124">
        <v>1</v>
      </c>
      <c r="AJ8" s="124">
        <v>1</v>
      </c>
      <c r="AK8" s="124">
        <v>1</v>
      </c>
      <c r="AL8" s="124">
        <v>1</v>
      </c>
      <c r="AM8" s="124">
        <v>1</v>
      </c>
      <c r="AN8" s="124">
        <v>1</v>
      </c>
      <c r="AP8" s="25" t="s">
        <v>63</v>
      </c>
      <c r="AQ8" s="25" t="s">
        <v>6</v>
      </c>
      <c r="AR8" s="25" t="s">
        <v>106</v>
      </c>
      <c r="AS8" s="124">
        <v>1</v>
      </c>
      <c r="AT8" s="124">
        <v>1</v>
      </c>
      <c r="AU8" s="124">
        <v>1</v>
      </c>
      <c r="AV8" s="124">
        <v>1</v>
      </c>
      <c r="AW8" s="124">
        <v>1</v>
      </c>
      <c r="AX8" s="124">
        <v>1</v>
      </c>
      <c r="AZ8" s="25" t="s">
        <v>63</v>
      </c>
      <c r="BA8" s="25" t="s">
        <v>6</v>
      </c>
      <c r="BB8" s="25" t="s">
        <v>106</v>
      </c>
      <c r="BC8" s="124">
        <v>1</v>
      </c>
      <c r="BD8" s="124">
        <v>1</v>
      </c>
      <c r="BE8" s="124">
        <v>1</v>
      </c>
      <c r="BF8" s="124">
        <v>1</v>
      </c>
      <c r="BG8" s="124">
        <v>1</v>
      </c>
      <c r="BH8" s="124">
        <v>1</v>
      </c>
    </row>
    <row r="9" spans="2:60" x14ac:dyDescent="0.25">
      <c r="B9" s="25" t="s">
        <v>65</v>
      </c>
      <c r="C9" s="25" t="s">
        <v>6</v>
      </c>
      <c r="D9" s="25" t="s">
        <v>107</v>
      </c>
      <c r="E9" s="124">
        <v>1</v>
      </c>
      <c r="F9" s="124">
        <v>1</v>
      </c>
      <c r="G9" s="124">
        <v>1</v>
      </c>
      <c r="H9" s="124">
        <v>1</v>
      </c>
      <c r="I9" s="124">
        <v>1</v>
      </c>
      <c r="J9" s="124">
        <v>2.39E-6</v>
      </c>
      <c r="K9" s="24"/>
      <c r="L9" s="25" t="s">
        <v>65</v>
      </c>
      <c r="M9" s="25" t="s">
        <v>6</v>
      </c>
      <c r="N9" s="25" t="s">
        <v>107</v>
      </c>
      <c r="O9" s="124">
        <v>1</v>
      </c>
      <c r="P9" s="124">
        <v>1</v>
      </c>
      <c r="Q9" s="124">
        <v>1</v>
      </c>
      <c r="R9" s="124">
        <v>1</v>
      </c>
      <c r="S9" s="124">
        <v>1</v>
      </c>
      <c r="T9" s="124">
        <v>1</v>
      </c>
      <c r="V9" s="25" t="s">
        <v>65</v>
      </c>
      <c r="W9" s="25" t="s">
        <v>6</v>
      </c>
      <c r="X9" s="25" t="s">
        <v>107</v>
      </c>
      <c r="Y9" s="124">
        <v>1</v>
      </c>
      <c r="Z9" s="124">
        <v>1</v>
      </c>
      <c r="AA9" s="124">
        <v>1</v>
      </c>
      <c r="AB9" s="124">
        <v>1</v>
      </c>
      <c r="AC9" s="124">
        <v>1</v>
      </c>
      <c r="AD9" s="124">
        <v>1</v>
      </c>
      <c r="AF9" s="25" t="s">
        <v>65</v>
      </c>
      <c r="AG9" s="25" t="s">
        <v>6</v>
      </c>
      <c r="AH9" s="25" t="s">
        <v>107</v>
      </c>
      <c r="AI9" s="124">
        <v>1</v>
      </c>
      <c r="AJ9" s="124">
        <v>1</v>
      </c>
      <c r="AK9" s="124">
        <v>1</v>
      </c>
      <c r="AL9" s="124">
        <v>1</v>
      </c>
      <c r="AM9" s="124">
        <v>1</v>
      </c>
      <c r="AN9" s="124">
        <v>1</v>
      </c>
      <c r="AP9" s="25" t="s">
        <v>65</v>
      </c>
      <c r="AQ9" s="25" t="s">
        <v>6</v>
      </c>
      <c r="AR9" s="25" t="s">
        <v>107</v>
      </c>
      <c r="AS9" s="124">
        <v>1</v>
      </c>
      <c r="AT9" s="124">
        <v>1</v>
      </c>
      <c r="AU9" s="124">
        <v>1</v>
      </c>
      <c r="AV9" s="124">
        <v>1</v>
      </c>
      <c r="AW9" s="124">
        <v>1</v>
      </c>
      <c r="AX9" s="124">
        <v>1</v>
      </c>
      <c r="AZ9" s="25" t="s">
        <v>65</v>
      </c>
      <c r="BA9" s="25" t="s">
        <v>6</v>
      </c>
      <c r="BB9" s="25" t="s">
        <v>107</v>
      </c>
      <c r="BC9" s="124">
        <v>1</v>
      </c>
      <c r="BD9" s="124">
        <v>1</v>
      </c>
      <c r="BE9" s="124">
        <v>1</v>
      </c>
      <c r="BF9" s="124">
        <v>1</v>
      </c>
      <c r="BG9" s="124">
        <v>1</v>
      </c>
      <c r="BH9" s="124">
        <v>1</v>
      </c>
    </row>
    <row r="10" spans="2:60" x14ac:dyDescent="0.25">
      <c r="B10" s="25" t="s">
        <v>66</v>
      </c>
      <c r="C10" s="25" t="s">
        <v>6</v>
      </c>
      <c r="D10" s="25" t="s">
        <v>108</v>
      </c>
      <c r="E10" s="124">
        <v>1</v>
      </c>
      <c r="F10" s="124">
        <v>1</v>
      </c>
      <c r="G10" s="124">
        <v>1</v>
      </c>
      <c r="H10" s="124">
        <v>1</v>
      </c>
      <c r="I10" s="124">
        <v>1</v>
      </c>
      <c r="J10" s="124">
        <v>2.7550000000000002E-2</v>
      </c>
      <c r="K10" s="24"/>
      <c r="L10" s="25" t="s">
        <v>66</v>
      </c>
      <c r="M10" s="25" t="s">
        <v>6</v>
      </c>
      <c r="N10" s="25" t="s">
        <v>108</v>
      </c>
      <c r="O10" s="124">
        <v>1</v>
      </c>
      <c r="P10" s="124">
        <v>1</v>
      </c>
      <c r="Q10" s="124">
        <v>1</v>
      </c>
      <c r="R10" s="124">
        <v>1</v>
      </c>
      <c r="S10" s="124">
        <v>1</v>
      </c>
      <c r="T10" s="124">
        <v>1</v>
      </c>
      <c r="V10" s="25" t="s">
        <v>66</v>
      </c>
      <c r="W10" s="25" t="s">
        <v>6</v>
      </c>
      <c r="X10" s="25" t="s">
        <v>108</v>
      </c>
      <c r="Y10" s="124">
        <v>1</v>
      </c>
      <c r="Z10" s="124">
        <v>1</v>
      </c>
      <c r="AA10" s="124">
        <v>1</v>
      </c>
      <c r="AB10" s="124">
        <v>1</v>
      </c>
      <c r="AC10" s="124">
        <v>1</v>
      </c>
      <c r="AD10" s="124">
        <v>1</v>
      </c>
      <c r="AF10" s="25" t="s">
        <v>66</v>
      </c>
      <c r="AG10" s="25" t="s">
        <v>6</v>
      </c>
      <c r="AH10" s="25" t="s">
        <v>108</v>
      </c>
      <c r="AI10" s="124">
        <v>1</v>
      </c>
      <c r="AJ10" s="124">
        <v>1</v>
      </c>
      <c r="AK10" s="124">
        <v>1</v>
      </c>
      <c r="AL10" s="124">
        <v>1</v>
      </c>
      <c r="AM10" s="124">
        <v>1</v>
      </c>
      <c r="AN10" s="124">
        <v>1</v>
      </c>
      <c r="AP10" s="25" t="s">
        <v>66</v>
      </c>
      <c r="AQ10" s="25" t="s">
        <v>6</v>
      </c>
      <c r="AR10" s="25" t="s">
        <v>108</v>
      </c>
      <c r="AS10" s="124">
        <v>1</v>
      </c>
      <c r="AT10" s="124">
        <v>1</v>
      </c>
      <c r="AU10" s="124">
        <v>1</v>
      </c>
      <c r="AV10" s="124">
        <v>1</v>
      </c>
      <c r="AW10" s="124">
        <v>1</v>
      </c>
      <c r="AX10" s="124">
        <v>1</v>
      </c>
      <c r="AZ10" s="25" t="s">
        <v>66</v>
      </c>
      <c r="BA10" s="25" t="s">
        <v>6</v>
      </c>
      <c r="BB10" s="25" t="s">
        <v>108</v>
      </c>
      <c r="BC10" s="124">
        <v>1</v>
      </c>
      <c r="BD10" s="124">
        <v>1</v>
      </c>
      <c r="BE10" s="124">
        <v>1</v>
      </c>
      <c r="BF10" s="124">
        <v>1</v>
      </c>
      <c r="BG10" s="124">
        <v>1</v>
      </c>
      <c r="BH10" s="124">
        <v>1</v>
      </c>
    </row>
    <row r="11" spans="2:60" x14ac:dyDescent="0.25">
      <c r="B11" s="25" t="s">
        <v>62</v>
      </c>
      <c r="C11" s="25" t="s">
        <v>6</v>
      </c>
      <c r="D11" s="25" t="s">
        <v>109</v>
      </c>
      <c r="E11" s="124">
        <v>1</v>
      </c>
      <c r="F11" s="124">
        <v>1</v>
      </c>
      <c r="G11" s="124">
        <v>1</v>
      </c>
      <c r="H11" s="124">
        <v>1</v>
      </c>
      <c r="I11" s="124">
        <v>1</v>
      </c>
      <c r="J11" s="124">
        <v>0.35460000000000003</v>
      </c>
      <c r="K11" s="24"/>
      <c r="L11" s="25" t="s">
        <v>62</v>
      </c>
      <c r="M11" s="25" t="s">
        <v>6</v>
      </c>
      <c r="N11" s="25" t="s">
        <v>109</v>
      </c>
      <c r="O11" s="124">
        <v>1</v>
      </c>
      <c r="P11" s="124">
        <v>1</v>
      </c>
      <c r="Q11" s="124">
        <v>1</v>
      </c>
      <c r="R11" s="124">
        <v>1</v>
      </c>
      <c r="S11" s="124">
        <v>1</v>
      </c>
      <c r="T11" s="124">
        <v>1</v>
      </c>
      <c r="V11" s="25" t="s">
        <v>62</v>
      </c>
      <c r="W11" s="25" t="s">
        <v>6</v>
      </c>
      <c r="X11" s="25" t="s">
        <v>109</v>
      </c>
      <c r="Y11" s="124">
        <v>1</v>
      </c>
      <c r="Z11" s="124">
        <v>1</v>
      </c>
      <c r="AA11" s="124">
        <v>1</v>
      </c>
      <c r="AB11" s="124">
        <v>1</v>
      </c>
      <c r="AC11" s="124">
        <v>1</v>
      </c>
      <c r="AD11" s="124">
        <v>1</v>
      </c>
      <c r="AF11" s="25" t="s">
        <v>62</v>
      </c>
      <c r="AG11" s="25" t="s">
        <v>6</v>
      </c>
      <c r="AH11" s="25" t="s">
        <v>109</v>
      </c>
      <c r="AI11" s="124">
        <v>1</v>
      </c>
      <c r="AJ11" s="124">
        <v>1</v>
      </c>
      <c r="AK11" s="124">
        <v>1</v>
      </c>
      <c r="AL11" s="124">
        <v>1</v>
      </c>
      <c r="AM11" s="124">
        <v>1</v>
      </c>
      <c r="AN11" s="124">
        <v>1</v>
      </c>
      <c r="AP11" s="25" t="s">
        <v>62</v>
      </c>
      <c r="AQ11" s="25" t="s">
        <v>6</v>
      </c>
      <c r="AR11" s="25" t="s">
        <v>109</v>
      </c>
      <c r="AS11" s="124">
        <v>1</v>
      </c>
      <c r="AT11" s="124">
        <v>1</v>
      </c>
      <c r="AU11" s="124">
        <v>1</v>
      </c>
      <c r="AV11" s="124">
        <v>1</v>
      </c>
      <c r="AW11" s="124">
        <v>1</v>
      </c>
      <c r="AX11" s="124">
        <v>1</v>
      </c>
      <c r="AZ11" s="25" t="s">
        <v>62</v>
      </c>
      <c r="BA11" s="25" t="s">
        <v>6</v>
      </c>
      <c r="BB11" s="25" t="s">
        <v>109</v>
      </c>
      <c r="BC11" s="124">
        <v>1</v>
      </c>
      <c r="BD11" s="124">
        <v>1</v>
      </c>
      <c r="BE11" s="124">
        <v>1</v>
      </c>
      <c r="BF11" s="124">
        <v>1</v>
      </c>
      <c r="BG11" s="124">
        <v>1</v>
      </c>
      <c r="BH11" s="124">
        <v>1</v>
      </c>
    </row>
    <row r="12" spans="2:60" x14ac:dyDescent="0.25">
      <c r="B12" s="25" t="s">
        <v>64</v>
      </c>
      <c r="C12" s="25" t="s">
        <v>6</v>
      </c>
      <c r="D12" s="25" t="s">
        <v>130</v>
      </c>
      <c r="E12" s="124">
        <v>1</v>
      </c>
      <c r="F12" s="124">
        <v>1</v>
      </c>
      <c r="G12" s="124">
        <v>1</v>
      </c>
      <c r="H12" s="124">
        <v>1</v>
      </c>
      <c r="I12" s="124">
        <v>1</v>
      </c>
      <c r="J12" s="124">
        <v>3.4729999999999997E-2</v>
      </c>
      <c r="L12" s="25" t="s">
        <v>64</v>
      </c>
      <c r="M12" s="25" t="s">
        <v>6</v>
      </c>
      <c r="N12" s="25" t="s">
        <v>130</v>
      </c>
      <c r="O12" s="124">
        <v>1</v>
      </c>
      <c r="P12" s="124">
        <v>1</v>
      </c>
      <c r="Q12" s="124">
        <v>1</v>
      </c>
      <c r="R12" s="124">
        <v>1</v>
      </c>
      <c r="S12" s="124">
        <v>1</v>
      </c>
      <c r="T12" s="124">
        <v>1</v>
      </c>
      <c r="V12" s="25" t="s">
        <v>64</v>
      </c>
      <c r="W12" s="25" t="s">
        <v>6</v>
      </c>
      <c r="X12" s="25" t="s">
        <v>130</v>
      </c>
      <c r="Y12" s="124">
        <v>1</v>
      </c>
      <c r="Z12" s="124">
        <v>1</v>
      </c>
      <c r="AA12" s="124">
        <v>1</v>
      </c>
      <c r="AB12" s="124">
        <v>1</v>
      </c>
      <c r="AC12" s="124">
        <v>1</v>
      </c>
      <c r="AD12" s="124">
        <v>1</v>
      </c>
      <c r="AF12" s="25" t="s">
        <v>64</v>
      </c>
      <c r="AG12" s="25" t="s">
        <v>6</v>
      </c>
      <c r="AH12" s="25" t="s">
        <v>130</v>
      </c>
      <c r="AI12" s="124">
        <v>1</v>
      </c>
      <c r="AJ12" s="124">
        <v>1</v>
      </c>
      <c r="AK12" s="124">
        <v>1</v>
      </c>
      <c r="AL12" s="124">
        <v>1</v>
      </c>
      <c r="AM12" s="124">
        <v>1</v>
      </c>
      <c r="AN12" s="124">
        <v>1</v>
      </c>
      <c r="AP12" s="25" t="s">
        <v>64</v>
      </c>
      <c r="AQ12" s="25" t="s">
        <v>6</v>
      </c>
      <c r="AR12" s="25" t="s">
        <v>130</v>
      </c>
      <c r="AS12" s="124">
        <v>1</v>
      </c>
      <c r="AT12" s="124">
        <v>1</v>
      </c>
      <c r="AU12" s="124">
        <v>1</v>
      </c>
      <c r="AV12" s="124">
        <v>1</v>
      </c>
      <c r="AW12" s="124">
        <v>1</v>
      </c>
      <c r="AX12" s="124">
        <v>1</v>
      </c>
      <c r="AZ12" s="25" t="s">
        <v>64</v>
      </c>
      <c r="BA12" s="25" t="s">
        <v>6</v>
      </c>
      <c r="BB12" s="25" t="s">
        <v>130</v>
      </c>
      <c r="BC12" s="124">
        <v>1</v>
      </c>
      <c r="BD12" s="124">
        <v>1</v>
      </c>
      <c r="BE12" s="124">
        <v>1</v>
      </c>
      <c r="BF12" s="124">
        <v>1</v>
      </c>
      <c r="BG12" s="124">
        <v>1</v>
      </c>
      <c r="BH12" s="124">
        <v>1</v>
      </c>
    </row>
    <row r="13" spans="2:60" x14ac:dyDescent="0.25">
      <c r="B13" s="25" t="s">
        <v>112</v>
      </c>
      <c r="C13" s="25" t="s">
        <v>6</v>
      </c>
      <c r="D13" s="25" t="s">
        <v>113</v>
      </c>
      <c r="E13" s="124">
        <v>1</v>
      </c>
      <c r="F13" s="124">
        <v>1</v>
      </c>
      <c r="G13" s="124">
        <v>1</v>
      </c>
      <c r="H13" s="124">
        <v>1</v>
      </c>
      <c r="I13" s="124">
        <v>1</v>
      </c>
      <c r="J13" s="124">
        <v>79.94</v>
      </c>
      <c r="K13" s="24"/>
      <c r="L13" s="25" t="s">
        <v>112</v>
      </c>
      <c r="M13" s="25" t="s">
        <v>6</v>
      </c>
      <c r="N13" s="25" t="s">
        <v>113</v>
      </c>
      <c r="O13" s="124">
        <v>1</v>
      </c>
      <c r="P13" s="124">
        <v>1</v>
      </c>
      <c r="Q13" s="124">
        <v>1</v>
      </c>
      <c r="R13" s="124">
        <v>1</v>
      </c>
      <c r="S13" s="124">
        <v>1</v>
      </c>
      <c r="T13" s="124">
        <v>1</v>
      </c>
      <c r="V13" s="25" t="s">
        <v>112</v>
      </c>
      <c r="W13" s="25" t="s">
        <v>6</v>
      </c>
      <c r="X13" s="25" t="s">
        <v>113</v>
      </c>
      <c r="Y13" s="124">
        <v>1</v>
      </c>
      <c r="Z13" s="124">
        <v>1</v>
      </c>
      <c r="AA13" s="124">
        <v>1</v>
      </c>
      <c r="AB13" s="124">
        <v>1</v>
      </c>
      <c r="AC13" s="124">
        <v>1</v>
      </c>
      <c r="AD13" s="124">
        <v>1</v>
      </c>
      <c r="AF13" s="25" t="s">
        <v>112</v>
      </c>
      <c r="AG13" s="25" t="s">
        <v>6</v>
      </c>
      <c r="AH13" s="25" t="s">
        <v>113</v>
      </c>
      <c r="AI13" s="124">
        <v>1</v>
      </c>
      <c r="AJ13" s="124">
        <v>1</v>
      </c>
      <c r="AK13" s="124">
        <v>1</v>
      </c>
      <c r="AL13" s="124">
        <v>1</v>
      </c>
      <c r="AM13" s="124">
        <v>1</v>
      </c>
      <c r="AN13" s="124">
        <v>1</v>
      </c>
      <c r="AP13" s="25" t="s">
        <v>112</v>
      </c>
      <c r="AQ13" s="25" t="s">
        <v>6</v>
      </c>
      <c r="AR13" s="25" t="s">
        <v>113</v>
      </c>
      <c r="AS13" s="124">
        <v>1</v>
      </c>
      <c r="AT13" s="124">
        <v>1</v>
      </c>
      <c r="AU13" s="124">
        <v>1</v>
      </c>
      <c r="AV13" s="124">
        <v>1</v>
      </c>
      <c r="AW13" s="124">
        <v>1</v>
      </c>
      <c r="AX13" s="124">
        <v>1</v>
      </c>
      <c r="AZ13" s="25" t="s">
        <v>112</v>
      </c>
      <c r="BA13" s="25" t="s">
        <v>6</v>
      </c>
      <c r="BB13" s="25" t="s">
        <v>113</v>
      </c>
      <c r="BC13" s="124">
        <v>1</v>
      </c>
      <c r="BD13" s="124">
        <v>1</v>
      </c>
      <c r="BE13" s="124">
        <v>1</v>
      </c>
      <c r="BF13" s="124">
        <v>1</v>
      </c>
      <c r="BG13" s="124">
        <v>1</v>
      </c>
      <c r="BH13" s="124">
        <v>1</v>
      </c>
    </row>
    <row r="14" spans="2:60" x14ac:dyDescent="0.25">
      <c r="B14" s="25" t="s">
        <v>114</v>
      </c>
      <c r="C14" s="25" t="s">
        <v>6</v>
      </c>
      <c r="D14" s="25" t="s">
        <v>113</v>
      </c>
      <c r="E14" s="124">
        <v>1</v>
      </c>
      <c r="F14" s="124">
        <v>1</v>
      </c>
      <c r="G14" s="124">
        <v>1</v>
      </c>
      <c r="H14" s="124">
        <v>1</v>
      </c>
      <c r="I14" s="124">
        <v>1</v>
      </c>
      <c r="J14" s="124">
        <v>0.51019999999999999</v>
      </c>
      <c r="K14" s="24"/>
      <c r="L14" s="25" t="s">
        <v>114</v>
      </c>
      <c r="M14" s="25" t="s">
        <v>6</v>
      </c>
      <c r="N14" s="25" t="s">
        <v>113</v>
      </c>
      <c r="O14" s="124">
        <v>1</v>
      </c>
      <c r="P14" s="124">
        <v>1</v>
      </c>
      <c r="Q14" s="124">
        <v>1</v>
      </c>
      <c r="R14" s="124">
        <v>1</v>
      </c>
      <c r="S14" s="124">
        <v>1</v>
      </c>
      <c r="T14" s="124">
        <v>1</v>
      </c>
      <c r="V14" s="25" t="s">
        <v>114</v>
      </c>
      <c r="W14" s="25" t="s">
        <v>6</v>
      </c>
      <c r="X14" s="25" t="s">
        <v>113</v>
      </c>
      <c r="Y14" s="124">
        <v>1</v>
      </c>
      <c r="Z14" s="124">
        <v>1</v>
      </c>
      <c r="AA14" s="124">
        <v>1</v>
      </c>
      <c r="AB14" s="124">
        <v>1</v>
      </c>
      <c r="AC14" s="124">
        <v>1</v>
      </c>
      <c r="AD14" s="124">
        <v>1</v>
      </c>
      <c r="AF14" s="25" t="s">
        <v>114</v>
      </c>
      <c r="AG14" s="25" t="s">
        <v>6</v>
      </c>
      <c r="AH14" s="25" t="s">
        <v>113</v>
      </c>
      <c r="AI14" s="124">
        <v>1</v>
      </c>
      <c r="AJ14" s="124">
        <v>1</v>
      </c>
      <c r="AK14" s="124">
        <v>1</v>
      </c>
      <c r="AL14" s="124">
        <v>1</v>
      </c>
      <c r="AM14" s="124">
        <v>1</v>
      </c>
      <c r="AN14" s="124">
        <v>1</v>
      </c>
      <c r="AP14" s="25" t="s">
        <v>114</v>
      </c>
      <c r="AQ14" s="25" t="s">
        <v>6</v>
      </c>
      <c r="AR14" s="25" t="s">
        <v>113</v>
      </c>
      <c r="AS14" s="124">
        <v>1</v>
      </c>
      <c r="AT14" s="124">
        <v>1</v>
      </c>
      <c r="AU14" s="124">
        <v>1</v>
      </c>
      <c r="AV14" s="124">
        <v>1</v>
      </c>
      <c r="AW14" s="124">
        <v>1</v>
      </c>
      <c r="AX14" s="124">
        <v>1</v>
      </c>
      <c r="AZ14" s="25" t="s">
        <v>114</v>
      </c>
      <c r="BA14" s="25" t="s">
        <v>6</v>
      </c>
      <c r="BB14" s="25" t="s">
        <v>113</v>
      </c>
      <c r="BC14" s="124">
        <v>1</v>
      </c>
      <c r="BD14" s="124">
        <v>1</v>
      </c>
      <c r="BE14" s="124">
        <v>1</v>
      </c>
      <c r="BF14" s="124">
        <v>1</v>
      </c>
      <c r="BG14" s="124">
        <v>1</v>
      </c>
      <c r="BH14" s="124">
        <v>1</v>
      </c>
    </row>
    <row r="15" spans="2:60" x14ac:dyDescent="0.25">
      <c r="B15" s="25" t="s">
        <v>115</v>
      </c>
      <c r="C15" s="25" t="s">
        <v>6</v>
      </c>
      <c r="D15" s="25" t="s">
        <v>113</v>
      </c>
      <c r="E15" s="124">
        <v>1</v>
      </c>
      <c r="F15" s="124">
        <v>1</v>
      </c>
      <c r="G15" s="124">
        <v>1</v>
      </c>
      <c r="H15" s="124">
        <v>1</v>
      </c>
      <c r="I15" s="124">
        <v>1</v>
      </c>
      <c r="J15" s="124">
        <v>3161</v>
      </c>
      <c r="K15" s="24"/>
      <c r="L15" s="25" t="s">
        <v>115</v>
      </c>
      <c r="M15" s="25" t="s">
        <v>6</v>
      </c>
      <c r="N15" s="25" t="s">
        <v>113</v>
      </c>
      <c r="O15" s="124">
        <v>1</v>
      </c>
      <c r="P15" s="124">
        <v>1</v>
      </c>
      <c r="Q15" s="124">
        <v>1</v>
      </c>
      <c r="R15" s="124">
        <v>1</v>
      </c>
      <c r="S15" s="124">
        <v>1</v>
      </c>
      <c r="T15" s="124">
        <v>1</v>
      </c>
      <c r="V15" s="25" t="s">
        <v>115</v>
      </c>
      <c r="W15" s="25" t="s">
        <v>6</v>
      </c>
      <c r="X15" s="25" t="s">
        <v>113</v>
      </c>
      <c r="Y15" s="124">
        <v>1</v>
      </c>
      <c r="Z15" s="124">
        <v>1</v>
      </c>
      <c r="AA15" s="124">
        <v>1</v>
      </c>
      <c r="AB15" s="124">
        <v>1</v>
      </c>
      <c r="AC15" s="124">
        <v>1</v>
      </c>
      <c r="AD15" s="124">
        <v>1</v>
      </c>
      <c r="AF15" s="25" t="s">
        <v>115</v>
      </c>
      <c r="AG15" s="25" t="s">
        <v>6</v>
      </c>
      <c r="AH15" s="25" t="s">
        <v>113</v>
      </c>
      <c r="AI15" s="124">
        <v>1</v>
      </c>
      <c r="AJ15" s="124">
        <v>1</v>
      </c>
      <c r="AK15" s="124">
        <v>1</v>
      </c>
      <c r="AL15" s="124">
        <v>1</v>
      </c>
      <c r="AM15" s="124">
        <v>1</v>
      </c>
      <c r="AN15" s="124">
        <v>1</v>
      </c>
      <c r="AP15" s="25" t="s">
        <v>115</v>
      </c>
      <c r="AQ15" s="25" t="s">
        <v>6</v>
      </c>
      <c r="AR15" s="25" t="s">
        <v>113</v>
      </c>
      <c r="AS15" s="124">
        <v>1</v>
      </c>
      <c r="AT15" s="124">
        <v>1</v>
      </c>
      <c r="AU15" s="124">
        <v>1</v>
      </c>
      <c r="AV15" s="124">
        <v>1</v>
      </c>
      <c r="AW15" s="124">
        <v>1</v>
      </c>
      <c r="AX15" s="124">
        <v>1</v>
      </c>
      <c r="AZ15" s="25" t="s">
        <v>115</v>
      </c>
      <c r="BA15" s="25" t="s">
        <v>6</v>
      </c>
      <c r="BB15" s="25" t="s">
        <v>113</v>
      </c>
      <c r="BC15" s="124">
        <v>1</v>
      </c>
      <c r="BD15" s="124">
        <v>1</v>
      </c>
      <c r="BE15" s="124">
        <v>1</v>
      </c>
      <c r="BF15" s="124">
        <v>1</v>
      </c>
      <c r="BG15" s="124">
        <v>1</v>
      </c>
      <c r="BH15" s="124">
        <v>1</v>
      </c>
    </row>
    <row r="16" spans="2:60" x14ac:dyDescent="0.25">
      <c r="B16" s="25" t="s">
        <v>116</v>
      </c>
      <c r="C16" s="25" t="s">
        <v>6</v>
      </c>
      <c r="D16" s="25" t="s">
        <v>113</v>
      </c>
      <c r="E16" s="124">
        <v>1</v>
      </c>
      <c r="F16" s="124">
        <v>1</v>
      </c>
      <c r="G16" s="124">
        <v>1</v>
      </c>
      <c r="H16" s="124">
        <v>1</v>
      </c>
      <c r="I16" s="124">
        <v>1</v>
      </c>
      <c r="J16" s="124">
        <v>0.1615</v>
      </c>
      <c r="K16" s="24"/>
      <c r="L16" s="25" t="s">
        <v>116</v>
      </c>
      <c r="M16" s="25" t="s">
        <v>6</v>
      </c>
      <c r="N16" s="25" t="s">
        <v>113</v>
      </c>
      <c r="O16" s="124">
        <v>1</v>
      </c>
      <c r="P16" s="124">
        <v>1</v>
      </c>
      <c r="Q16" s="124">
        <v>1</v>
      </c>
      <c r="R16" s="124">
        <v>1</v>
      </c>
      <c r="S16" s="124">
        <v>1</v>
      </c>
      <c r="T16" s="124">
        <v>1</v>
      </c>
      <c r="V16" s="25" t="s">
        <v>116</v>
      </c>
      <c r="W16" s="25" t="s">
        <v>6</v>
      </c>
      <c r="X16" s="25" t="s">
        <v>113</v>
      </c>
      <c r="Y16" s="124">
        <v>1</v>
      </c>
      <c r="Z16" s="124">
        <v>1</v>
      </c>
      <c r="AA16" s="124">
        <v>1</v>
      </c>
      <c r="AB16" s="124">
        <v>1</v>
      </c>
      <c r="AC16" s="124">
        <v>1</v>
      </c>
      <c r="AD16" s="124">
        <v>1</v>
      </c>
      <c r="AF16" s="25" t="s">
        <v>116</v>
      </c>
      <c r="AG16" s="25" t="s">
        <v>6</v>
      </c>
      <c r="AH16" s="25" t="s">
        <v>113</v>
      </c>
      <c r="AI16" s="124">
        <v>1</v>
      </c>
      <c r="AJ16" s="124">
        <v>1</v>
      </c>
      <c r="AK16" s="124">
        <v>1</v>
      </c>
      <c r="AL16" s="124">
        <v>1</v>
      </c>
      <c r="AM16" s="124">
        <v>1</v>
      </c>
      <c r="AN16" s="124">
        <v>1</v>
      </c>
      <c r="AP16" s="25" t="s">
        <v>116</v>
      </c>
      <c r="AQ16" s="25" t="s">
        <v>6</v>
      </c>
      <c r="AR16" s="25" t="s">
        <v>113</v>
      </c>
      <c r="AS16" s="124">
        <v>1</v>
      </c>
      <c r="AT16" s="124">
        <v>1</v>
      </c>
      <c r="AU16" s="124">
        <v>1</v>
      </c>
      <c r="AV16" s="124">
        <v>1</v>
      </c>
      <c r="AW16" s="124">
        <v>1</v>
      </c>
      <c r="AX16" s="124">
        <v>1</v>
      </c>
      <c r="AZ16" s="25" t="s">
        <v>116</v>
      </c>
      <c r="BA16" s="25" t="s">
        <v>6</v>
      </c>
      <c r="BB16" s="25" t="s">
        <v>113</v>
      </c>
      <c r="BC16" s="124">
        <v>1</v>
      </c>
      <c r="BD16" s="124">
        <v>1</v>
      </c>
      <c r="BE16" s="124">
        <v>1</v>
      </c>
      <c r="BF16" s="124">
        <v>1</v>
      </c>
      <c r="BG16" s="124">
        <v>1</v>
      </c>
      <c r="BH16" s="124">
        <v>1</v>
      </c>
    </row>
    <row r="17" spans="4:11" x14ac:dyDescent="0.25">
      <c r="D17" s="24"/>
      <c r="E17" s="24"/>
      <c r="F17" s="24"/>
      <c r="G17" s="24"/>
      <c r="H17" s="24"/>
      <c r="I17" s="24"/>
    </row>
    <row r="18" spans="4:11" x14ac:dyDescent="0.25">
      <c r="E18" s="24"/>
      <c r="F18" s="24"/>
      <c r="G18" s="24"/>
      <c r="H18" s="24"/>
      <c r="I18" s="24"/>
      <c r="J18" s="24"/>
    </row>
    <row r="19" spans="4:11" x14ac:dyDescent="0.25">
      <c r="E19" s="24"/>
      <c r="F19" s="24"/>
      <c r="G19" s="24"/>
      <c r="H19" s="24"/>
      <c r="I19" s="24"/>
      <c r="J19" s="24"/>
    </row>
    <row r="20" spans="4:11" x14ac:dyDescent="0.25">
      <c r="F20" s="24"/>
      <c r="G20" s="24"/>
      <c r="H20" s="24"/>
      <c r="I20" s="24"/>
      <c r="J20" s="24"/>
      <c r="K20" s="24"/>
    </row>
    <row r="21" spans="4:11" x14ac:dyDescent="0.25">
      <c r="D21" s="24"/>
      <c r="E21" s="24"/>
      <c r="F21" s="24"/>
      <c r="G21" s="24"/>
      <c r="H21" s="24"/>
      <c r="I21" s="24"/>
    </row>
    <row r="22" spans="4:11" x14ac:dyDescent="0.25">
      <c r="D22" s="24"/>
      <c r="E22" s="24"/>
      <c r="F22" s="24"/>
      <c r="G22" s="24"/>
      <c r="H22" s="24"/>
      <c r="I22" s="24"/>
    </row>
    <row r="23" spans="4:11" x14ac:dyDescent="0.25">
      <c r="D23" s="24"/>
      <c r="E23" s="24"/>
      <c r="F23" s="24"/>
      <c r="G23" s="24"/>
      <c r="H23" s="24"/>
      <c r="I23" s="24"/>
    </row>
    <row r="24" spans="4:11" x14ac:dyDescent="0.25">
      <c r="D24" s="24"/>
      <c r="E24" s="24"/>
      <c r="F24" s="24"/>
      <c r="G24" s="24"/>
      <c r="H24" s="24"/>
    </row>
    <row r="26" spans="4:11" s="119" customFormat="1" x14ac:dyDescent="0.25"/>
    <row r="27" spans="4:11" s="119" customFormat="1" x14ac:dyDescent="0.25"/>
    <row r="28" spans="4:11" s="119" customFormat="1" x14ac:dyDescent="0.25"/>
    <row r="47" spans="1:5" x14ac:dyDescent="0.25">
      <c r="A47" s="119"/>
      <c r="B47" s="119"/>
      <c r="C47" s="119"/>
      <c r="D47" s="119"/>
      <c r="E47" s="119"/>
    </row>
    <row r="48" spans="1:5" x14ac:dyDescent="0.25">
      <c r="A48" s="119"/>
      <c r="B48" s="119"/>
      <c r="C48" s="119"/>
      <c r="D48" s="119"/>
      <c r="E48" s="119"/>
    </row>
  </sheetData>
  <sheetProtection algorithmName="SHA-512" hashValue="tSRNM0itUC63AlV7e585NZ4knC6qUzRfRGFn0VU5j8Flkri6dehu048nL/1K0xsSYK6Il277Cs4jT8Ffc/b03g==" saltValue="ax388Hbm72L3eDqVRsKi+g==" spinCount="100000" sheet="1" objects="1" scenarios="1"/>
  <mergeCells count="6">
    <mergeCell ref="B4:J4"/>
    <mergeCell ref="L4:T4"/>
    <mergeCell ref="V4:AD4"/>
    <mergeCell ref="AF4:AN4"/>
    <mergeCell ref="AP4:AX4"/>
    <mergeCell ref="AZ4:BH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7F7CB2DE1484191CC363065533B3E" ma:contentTypeVersion="17" ma:contentTypeDescription="Een nieuw document maken." ma:contentTypeScope="" ma:versionID="7649fb5841e35504920dddd340ba685b">
  <xsd:schema xmlns:xsd="http://www.w3.org/2001/XMLSchema" xmlns:xs="http://www.w3.org/2001/XMLSchema" xmlns:p="http://schemas.microsoft.com/office/2006/metadata/properties" xmlns:ns2="0c644256-0c02-4e80-9fba-3c9687369159" xmlns:ns3="78c03370-c038-4f7e-bcc0-fe0a1d5d8263" targetNamespace="http://schemas.microsoft.com/office/2006/metadata/properties" ma:root="true" ma:fieldsID="1cd267633b2fab8cb9316411db298c3c" ns2:_="" ns3:_="">
    <xsd:import namespace="0c644256-0c02-4e80-9fba-3c9687369159"/>
    <xsd:import namespace="78c03370-c038-4f7e-bcc0-fe0a1d5d8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test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44256-0c02-4e80-9fba-3c9687369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test" ma:index="12" nillable="true" ma:displayName="test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5d82504-f5b3-4d7a-9b46-2a777264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3370-c038-4f7e-bcc0-fe0a1d5d8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3533372-3356-4e54-9f59-5e66eb266305}" ma:internalName="TaxCatchAll" ma:showField="CatchAllData" ma:web="78c03370-c038-4f7e-bcc0-fe0a1d5d8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0c644256-0c02-4e80-9fba-3c9687369159">
      <UserInfo>
        <DisplayName/>
        <AccountId xsi:nil="true"/>
        <AccountType/>
      </UserInfo>
    </test>
    <lcf76f155ced4ddcb4097134ff3c332f xmlns="0c644256-0c02-4e80-9fba-3c9687369159">
      <Terms xmlns="http://schemas.microsoft.com/office/infopath/2007/PartnerControls"/>
    </lcf76f155ced4ddcb4097134ff3c332f>
    <TaxCatchAll xmlns="78c03370-c038-4f7e-bcc0-fe0a1d5d8263" xsi:nil="true"/>
  </documentManagement>
</p:properties>
</file>

<file path=customXml/itemProps1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071AB-9C2C-4496-A186-6725B04E5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44256-0c02-4e80-9fba-3c9687369159"/>
    <ds:schemaRef ds:uri="78c03370-c038-4f7e-bcc0-fe0a1d5d8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D7448E-162D-417A-A338-1DCEEB466DBB}">
  <ds:schemaRefs>
    <ds:schemaRef ds:uri="http://schemas.openxmlformats.org/package/2006/metadata/core-properties"/>
    <ds:schemaRef ds:uri="78c03370-c038-4f7e-bcc0-fe0a1d5d8263"/>
    <ds:schemaRef ds:uri="http://purl.org/dc/dcmitype/"/>
    <ds:schemaRef ds:uri="0c644256-0c02-4e80-9fba-3c9687369159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21</vt:i4>
      </vt:variant>
    </vt:vector>
  </HeadingPairs>
  <TitlesOfParts>
    <vt:vector size="28" baseType="lpstr">
      <vt:lpstr>Toelichting</vt:lpstr>
      <vt:lpstr>Armatuurdata</vt:lpstr>
      <vt:lpstr>Techniek</vt:lpstr>
      <vt:lpstr>Maatschappelijk</vt:lpstr>
      <vt:lpstr>LCA-MKI</vt:lpstr>
      <vt:lpstr>Samenvatting</vt:lpstr>
      <vt:lpstr>bron van EPD</vt:lpstr>
      <vt:lpstr>Maatschappelijk!_Toc113271730</vt:lpstr>
      <vt:lpstr>Armatuurdata!Afdrukbereik</vt:lpstr>
      <vt:lpstr>CO_2</vt:lpstr>
      <vt:lpstr>GROENE_STROOM</vt:lpstr>
      <vt:lpstr>LCA_1</vt:lpstr>
      <vt:lpstr>LCA_2</vt:lpstr>
      <vt:lpstr>LCA_3</vt:lpstr>
      <vt:lpstr>LCA_4</vt:lpstr>
      <vt:lpstr>LCA_5</vt:lpstr>
      <vt:lpstr>LCA_6</vt:lpstr>
      <vt:lpstr>LCA_A</vt:lpstr>
      <vt:lpstr>LCA_B</vt:lpstr>
      <vt:lpstr>LCA_C</vt:lpstr>
      <vt:lpstr>LCA_D</vt:lpstr>
      <vt:lpstr>LCA_E</vt:lpstr>
      <vt:lpstr>LCA_F</vt:lpstr>
      <vt:lpstr>MKI</vt:lpstr>
      <vt:lpstr>MVO</vt:lpstr>
      <vt:lpstr>SROI</vt:lpstr>
      <vt:lpstr>test</vt:lpstr>
      <vt:lpstr>trede_CO2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Marnix Lieffijn | Hoebink OVL</cp:lastModifiedBy>
  <cp:lastPrinted>2023-01-18T07:42:16Z</cp:lastPrinted>
  <dcterms:created xsi:type="dcterms:W3CDTF">2021-05-26T12:51:50Z</dcterms:created>
  <dcterms:modified xsi:type="dcterms:W3CDTF">2023-01-19T11:44:42Z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0x0101000B47F7CB2DE1484191CC363065533B3E</vt:lpwstr>
  </property>
  <property fmtid="{D5CDD505-2E9C-101B-9397-08002B2CF9AE}" pid="3" name="MediaServiceImageTags">
    <vt:lpwstr/>
  </property>
</Properties>
</file>