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13_ncr:1_{6F52A0C9-098F-4300-A7E1-23DD4EF78909}" xr6:coauthVersionLast="47" xr6:coauthVersionMax="47" xr10:uidLastSave="{00000000-0000-0000-0000-000000000000}"/>
  <bookViews>
    <workbookView xWindow="-28920" yWindow="-120" windowWidth="29040" windowHeight="15840" tabRatio="601" firstSheet="1" activeTab="4" xr2:uid="{00000000-000D-0000-FFFF-FFFF00000000}"/>
  </bookViews>
  <sheets>
    <sheet name="A1" sheetId="1" r:id="rId1"/>
    <sheet name="A2" sheetId="2" r:id="rId2"/>
    <sheet name="A3" sheetId="3" r:id="rId3"/>
    <sheet name="A4-a" sheetId="4" r:id="rId4"/>
    <sheet name="A4-b" sheetId="5" r:id="rId5"/>
    <sheet name="A5" sheetId="6" r:id="rId6"/>
    <sheet name="A6" sheetId="7" r:id="rId7"/>
    <sheet name="A7" sheetId="8" r:id="rId8"/>
    <sheet name="A8" sheetId="9" r:id="rId9"/>
    <sheet name="A9" sheetId="10" r:id="rId10"/>
    <sheet name="A10" sheetId="11" r:id="rId11"/>
    <sheet name="A11" sheetId="12" r:id="rId12"/>
    <sheet name="A12-a" sheetId="13" r:id="rId13"/>
    <sheet name="A12-b" sheetId="14" r:id="rId14"/>
  </sheets>
  <calcPr calcId="181029"/>
</workbook>
</file>

<file path=xl/calcChain.xml><?xml version="1.0" encoding="utf-8"?>
<calcChain xmlns="http://schemas.openxmlformats.org/spreadsheetml/2006/main">
  <c r="H23" i="5" l="1"/>
  <c r="J11" i="14"/>
  <c r="L11" i="14" s="1"/>
  <c r="J10" i="14"/>
  <c r="J8" i="14"/>
  <c r="J11" i="13"/>
  <c r="L11" i="13" s="1"/>
  <c r="J10" i="13"/>
  <c r="J8" i="13"/>
  <c r="J11" i="12"/>
  <c r="J10" i="12"/>
  <c r="L11" i="12"/>
  <c r="J7" i="12"/>
  <c r="J9" i="11"/>
  <c r="L9" i="11"/>
  <c r="J18" i="10"/>
  <c r="L18" i="10" s="1"/>
  <c r="J17" i="10"/>
  <c r="J15" i="10"/>
  <c r="J14" i="9"/>
  <c r="L14" i="9" s="1"/>
  <c r="J13" i="9"/>
  <c r="J8" i="9"/>
  <c r="J29" i="8"/>
  <c r="J28" i="8"/>
  <c r="L29" i="8"/>
  <c r="J17" i="8"/>
  <c r="J32" i="7"/>
  <c r="J31" i="7"/>
  <c r="L32" i="7"/>
  <c r="J19" i="7"/>
  <c r="J12" i="6"/>
  <c r="J11" i="6"/>
  <c r="L12" i="6"/>
  <c r="J7" i="6"/>
  <c r="J24" i="3"/>
  <c r="L24" i="3" s="1"/>
  <c r="J23" i="3"/>
  <c r="J15" i="3"/>
  <c r="L24" i="2"/>
  <c r="J24" i="2"/>
  <c r="J23" i="2"/>
  <c r="J15" i="2"/>
  <c r="L24" i="1"/>
  <c r="J24" i="1"/>
  <c r="J23" i="1"/>
  <c r="J15" i="1"/>
  <c r="H9" i="14"/>
  <c r="H10" i="14" s="1"/>
  <c r="G9" i="14"/>
  <c r="C9" i="14"/>
  <c r="E7" i="14"/>
  <c r="C7" i="14"/>
  <c r="F7" i="14" s="1"/>
  <c r="H7" i="14" s="1"/>
  <c r="F6" i="14"/>
  <c r="F8" i="14" s="1"/>
  <c r="E6" i="14"/>
  <c r="C6" i="14"/>
  <c r="G9" i="13"/>
  <c r="H9" i="13" s="1"/>
  <c r="H10" i="13" s="1"/>
  <c r="C9" i="13"/>
  <c r="E7" i="13"/>
  <c r="C7" i="13"/>
  <c r="F7" i="13" s="1"/>
  <c r="H7" i="13" s="1"/>
  <c r="E6" i="13"/>
  <c r="F6" i="13" s="1"/>
  <c r="C6" i="13"/>
  <c r="G9" i="12"/>
  <c r="H9" i="12" s="1"/>
  <c r="C9" i="12"/>
  <c r="G8" i="12"/>
  <c r="C8" i="12"/>
  <c r="H8" i="12" s="1"/>
  <c r="E6" i="12"/>
  <c r="C6" i="12"/>
  <c r="F6" i="12" s="1"/>
  <c r="G8" i="11"/>
  <c r="H8" i="11" s="1"/>
  <c r="C8" i="11"/>
  <c r="H7" i="11"/>
  <c r="H9" i="11" s="1"/>
  <c r="G7" i="11"/>
  <c r="C7" i="11"/>
  <c r="G12" i="10"/>
  <c r="G10" i="10"/>
  <c r="G9" i="10"/>
  <c r="G8" i="10"/>
  <c r="G7" i="10"/>
  <c r="G6" i="10"/>
  <c r="G11" i="10"/>
  <c r="H16" i="10"/>
  <c r="H17" i="10" s="1"/>
  <c r="G16" i="10"/>
  <c r="C16" i="10"/>
  <c r="E14" i="10"/>
  <c r="C14" i="10"/>
  <c r="F14" i="10" s="1"/>
  <c r="H14" i="10" s="1"/>
  <c r="F13" i="10"/>
  <c r="H13" i="10" s="1"/>
  <c r="E13" i="10"/>
  <c r="C13" i="10"/>
  <c r="E12" i="10"/>
  <c r="F12" i="10" s="1"/>
  <c r="H12" i="10" s="1"/>
  <c r="C12" i="10"/>
  <c r="E11" i="10"/>
  <c r="C11" i="10"/>
  <c r="F11" i="10" s="1"/>
  <c r="H11" i="10" s="1"/>
  <c r="F10" i="10"/>
  <c r="H10" i="10" s="1"/>
  <c r="E10" i="10"/>
  <c r="C10" i="10"/>
  <c r="E9" i="10"/>
  <c r="F9" i="10" s="1"/>
  <c r="C9" i="10"/>
  <c r="E8" i="10"/>
  <c r="C8" i="10"/>
  <c r="F8" i="10" s="1"/>
  <c r="F7" i="10"/>
  <c r="H7" i="10" s="1"/>
  <c r="E7" i="10"/>
  <c r="C7" i="10"/>
  <c r="E6" i="10"/>
  <c r="F6" i="10" s="1"/>
  <c r="C6" i="10"/>
  <c r="G12" i="9"/>
  <c r="H12" i="9" s="1"/>
  <c r="C12" i="9"/>
  <c r="G11" i="9"/>
  <c r="C11" i="9"/>
  <c r="H11" i="9" s="1"/>
  <c r="G10" i="9"/>
  <c r="H10" i="9" s="1"/>
  <c r="C10" i="9"/>
  <c r="G9" i="9"/>
  <c r="C9" i="9"/>
  <c r="H9" i="9" s="1"/>
  <c r="E7" i="9"/>
  <c r="C7" i="9"/>
  <c r="F7" i="9" s="1"/>
  <c r="H7" i="9" s="1"/>
  <c r="E6" i="9"/>
  <c r="C6" i="9"/>
  <c r="F6" i="9" s="1"/>
  <c r="G27" i="8"/>
  <c r="C27" i="8"/>
  <c r="H27" i="8" s="1"/>
  <c r="H26" i="8"/>
  <c r="G26" i="8"/>
  <c r="C26" i="8"/>
  <c r="G25" i="8"/>
  <c r="C25" i="8"/>
  <c r="H25" i="8" s="1"/>
  <c r="H24" i="8"/>
  <c r="G24" i="8"/>
  <c r="C24" i="8"/>
  <c r="G23" i="8"/>
  <c r="C23" i="8"/>
  <c r="H23" i="8" s="1"/>
  <c r="H22" i="8"/>
  <c r="G22" i="8"/>
  <c r="C22" i="8"/>
  <c r="G21" i="8"/>
  <c r="C21" i="8"/>
  <c r="H21" i="8" s="1"/>
  <c r="H20" i="8"/>
  <c r="G20" i="8"/>
  <c r="C20" i="8"/>
  <c r="G19" i="8"/>
  <c r="C19" i="8"/>
  <c r="H19" i="8" s="1"/>
  <c r="H18" i="8"/>
  <c r="G18" i="8"/>
  <c r="C18" i="8"/>
  <c r="E16" i="8"/>
  <c r="C16" i="8"/>
  <c r="F16" i="8" s="1"/>
  <c r="H16" i="8" s="1"/>
  <c r="F15" i="8"/>
  <c r="H15" i="8" s="1"/>
  <c r="E15" i="8"/>
  <c r="C15" i="8"/>
  <c r="E14" i="8"/>
  <c r="F14" i="8" s="1"/>
  <c r="H14" i="8" s="1"/>
  <c r="C14" i="8"/>
  <c r="E13" i="8"/>
  <c r="C13" i="8"/>
  <c r="F13" i="8" s="1"/>
  <c r="H13" i="8" s="1"/>
  <c r="E12" i="8"/>
  <c r="C12" i="8"/>
  <c r="F12" i="8" s="1"/>
  <c r="H12" i="8" s="1"/>
  <c r="E11" i="8"/>
  <c r="C11" i="8"/>
  <c r="F11" i="8" s="1"/>
  <c r="H11" i="8" s="1"/>
  <c r="E10" i="8"/>
  <c r="C10" i="8"/>
  <c r="F10" i="8" s="1"/>
  <c r="H10" i="8" s="1"/>
  <c r="F9" i="8"/>
  <c r="H9" i="8" s="1"/>
  <c r="E9" i="8"/>
  <c r="C9" i="8"/>
  <c r="E8" i="8"/>
  <c r="F8" i="8" s="1"/>
  <c r="H8" i="8" s="1"/>
  <c r="C8" i="8"/>
  <c r="E7" i="8"/>
  <c r="C7" i="8"/>
  <c r="F7" i="8" s="1"/>
  <c r="H7" i="8" s="1"/>
  <c r="E6" i="8"/>
  <c r="C6" i="8"/>
  <c r="F6" i="8" s="1"/>
  <c r="H30" i="7"/>
  <c r="G30" i="7"/>
  <c r="C30" i="7"/>
  <c r="G29" i="7"/>
  <c r="C29" i="7"/>
  <c r="H29" i="7" s="1"/>
  <c r="H28" i="7"/>
  <c r="G28" i="7"/>
  <c r="C28" i="7"/>
  <c r="G27" i="7"/>
  <c r="C27" i="7"/>
  <c r="H27" i="7" s="1"/>
  <c r="H26" i="7"/>
  <c r="G26" i="7"/>
  <c r="C26" i="7"/>
  <c r="G25" i="7"/>
  <c r="C25" i="7"/>
  <c r="H25" i="7" s="1"/>
  <c r="H24" i="7"/>
  <c r="G24" i="7"/>
  <c r="C24" i="7"/>
  <c r="G23" i="7"/>
  <c r="C23" i="7"/>
  <c r="H23" i="7" s="1"/>
  <c r="H22" i="7"/>
  <c r="G22" i="7"/>
  <c r="C22" i="7"/>
  <c r="G21" i="7"/>
  <c r="C21" i="7"/>
  <c r="H21" i="7" s="1"/>
  <c r="H20" i="7"/>
  <c r="H31" i="7" s="1"/>
  <c r="G20" i="7"/>
  <c r="C20" i="7"/>
  <c r="H18" i="7"/>
  <c r="F18" i="7"/>
  <c r="E18" i="7"/>
  <c r="C18" i="7"/>
  <c r="G17" i="7"/>
  <c r="E17" i="7"/>
  <c r="F17" i="7" s="1"/>
  <c r="H17" i="7" s="1"/>
  <c r="C17" i="7"/>
  <c r="G16" i="7"/>
  <c r="E16" i="7"/>
  <c r="C16" i="7"/>
  <c r="F16" i="7" s="1"/>
  <c r="H16" i="7" s="1"/>
  <c r="G15" i="7"/>
  <c r="E15" i="7"/>
  <c r="C15" i="7"/>
  <c r="F15" i="7" s="1"/>
  <c r="H15" i="7" s="1"/>
  <c r="G14" i="7"/>
  <c r="E14" i="7"/>
  <c r="C14" i="7"/>
  <c r="F14" i="7" s="1"/>
  <c r="H14" i="7" s="1"/>
  <c r="G13" i="7"/>
  <c r="E13" i="7"/>
  <c r="C13" i="7"/>
  <c r="F13" i="7" s="1"/>
  <c r="H13" i="7" s="1"/>
  <c r="G12" i="7"/>
  <c r="F12" i="7"/>
  <c r="H12" i="7" s="1"/>
  <c r="E12" i="7"/>
  <c r="C12" i="7"/>
  <c r="G11" i="7"/>
  <c r="E11" i="7"/>
  <c r="F11" i="7" s="1"/>
  <c r="H11" i="7" s="1"/>
  <c r="C11" i="7"/>
  <c r="G10" i="7"/>
  <c r="E10" i="7"/>
  <c r="C10" i="7"/>
  <c r="F10" i="7" s="1"/>
  <c r="H10" i="7" s="1"/>
  <c r="G9" i="7"/>
  <c r="E9" i="7"/>
  <c r="C9" i="7"/>
  <c r="F9" i="7" s="1"/>
  <c r="H9" i="7" s="1"/>
  <c r="G8" i="7"/>
  <c r="E8" i="7"/>
  <c r="C8" i="7"/>
  <c r="F8" i="7" s="1"/>
  <c r="H8" i="7" s="1"/>
  <c r="G7" i="7"/>
  <c r="E7" i="7"/>
  <c r="C7" i="7"/>
  <c r="F7" i="7" s="1"/>
  <c r="H7" i="7" s="1"/>
  <c r="G6" i="7"/>
  <c r="F6" i="7"/>
  <c r="F19" i="7" s="1"/>
  <c r="E6" i="7"/>
  <c r="C6" i="7"/>
  <c r="G10" i="6"/>
  <c r="H10" i="6" s="1"/>
  <c r="C10" i="6"/>
  <c r="G9" i="6"/>
  <c r="C9" i="6"/>
  <c r="H9" i="6" s="1"/>
  <c r="G8" i="6"/>
  <c r="H8" i="6" s="1"/>
  <c r="C8" i="6"/>
  <c r="F6" i="6"/>
  <c r="F7" i="6" s="1"/>
  <c r="E6" i="6"/>
  <c r="C6" i="6"/>
  <c r="G21" i="5"/>
  <c r="C21" i="5"/>
  <c r="H21" i="5" s="1"/>
  <c r="G20" i="5"/>
  <c r="C20" i="5"/>
  <c r="H20" i="5" s="1"/>
  <c r="G19" i="5"/>
  <c r="C19" i="5"/>
  <c r="H19" i="5" s="1"/>
  <c r="G18" i="5"/>
  <c r="C18" i="5"/>
  <c r="H17" i="5"/>
  <c r="G17" i="5"/>
  <c r="C17" i="5"/>
  <c r="G16" i="5"/>
  <c r="C16" i="5"/>
  <c r="H15" i="5"/>
  <c r="G15" i="5"/>
  <c r="C15" i="5"/>
  <c r="E13" i="5"/>
  <c r="C13" i="5"/>
  <c r="E12" i="5"/>
  <c r="C12" i="5"/>
  <c r="F12" i="5" s="1"/>
  <c r="H12" i="5" s="1"/>
  <c r="E11" i="5"/>
  <c r="F11" i="5" s="1"/>
  <c r="H11" i="5" s="1"/>
  <c r="C11" i="5"/>
  <c r="E10" i="5"/>
  <c r="C10" i="5"/>
  <c r="F10" i="5" s="1"/>
  <c r="H10" i="5" s="1"/>
  <c r="E9" i="5"/>
  <c r="C9" i="5"/>
  <c r="E8" i="5"/>
  <c r="C8" i="5"/>
  <c r="E7" i="5"/>
  <c r="C7" i="5"/>
  <c r="E6" i="5"/>
  <c r="C6" i="5"/>
  <c r="F6" i="5" s="1"/>
  <c r="C22" i="4"/>
  <c r="H22" i="4" s="1"/>
  <c r="H24" i="4" s="1"/>
  <c r="H21" i="4"/>
  <c r="G21" i="4"/>
  <c r="C21" i="4"/>
  <c r="G20" i="4"/>
  <c r="C20" i="4"/>
  <c r="H20" i="4" s="1"/>
  <c r="G19" i="4"/>
  <c r="C19" i="4"/>
  <c r="H19" i="4" s="1"/>
  <c r="G18" i="4"/>
  <c r="C18" i="4"/>
  <c r="G17" i="4"/>
  <c r="C17" i="4"/>
  <c r="H17" i="4" s="1"/>
  <c r="G16" i="4"/>
  <c r="C16" i="4"/>
  <c r="H16" i="4" s="1"/>
  <c r="E14" i="4"/>
  <c r="C14" i="4"/>
  <c r="E13" i="4"/>
  <c r="C13" i="4"/>
  <c r="E12" i="4"/>
  <c r="C12" i="4"/>
  <c r="E11" i="4"/>
  <c r="C11" i="4"/>
  <c r="F11" i="4" s="1"/>
  <c r="H11" i="4" s="1"/>
  <c r="F10" i="4"/>
  <c r="H10" i="4" s="1"/>
  <c r="E10" i="4"/>
  <c r="C10" i="4"/>
  <c r="E9" i="4"/>
  <c r="C9" i="4"/>
  <c r="E8" i="4"/>
  <c r="C8" i="4"/>
  <c r="H8" i="4" s="1"/>
  <c r="E7" i="4"/>
  <c r="C7" i="4"/>
  <c r="F7" i="4" s="1"/>
  <c r="H7" i="4" s="1"/>
  <c r="E6" i="4"/>
  <c r="F6" i="4" s="1"/>
  <c r="C6" i="4"/>
  <c r="H22" i="3"/>
  <c r="G22" i="3"/>
  <c r="C22" i="3"/>
  <c r="G21" i="3"/>
  <c r="C21" i="3"/>
  <c r="H21" i="3" s="1"/>
  <c r="H20" i="3"/>
  <c r="G20" i="3"/>
  <c r="C20" i="3"/>
  <c r="G19" i="3"/>
  <c r="C19" i="3"/>
  <c r="H19" i="3" s="1"/>
  <c r="H18" i="3"/>
  <c r="G18" i="3"/>
  <c r="C18" i="3"/>
  <c r="G17" i="3"/>
  <c r="C17" i="3"/>
  <c r="H17" i="3" s="1"/>
  <c r="H16" i="3"/>
  <c r="G16" i="3"/>
  <c r="C16" i="3"/>
  <c r="E14" i="3"/>
  <c r="C14" i="3"/>
  <c r="F14" i="3" s="1"/>
  <c r="H14" i="3" s="1"/>
  <c r="F13" i="3"/>
  <c r="H13" i="3" s="1"/>
  <c r="E13" i="3"/>
  <c r="C13" i="3"/>
  <c r="E12" i="3"/>
  <c r="F12" i="3" s="1"/>
  <c r="H12" i="3" s="1"/>
  <c r="C12" i="3"/>
  <c r="E11" i="3"/>
  <c r="C11" i="3"/>
  <c r="F11" i="3" s="1"/>
  <c r="H11" i="3" s="1"/>
  <c r="E10" i="3"/>
  <c r="C10" i="3"/>
  <c r="F10" i="3" s="1"/>
  <c r="H10" i="3" s="1"/>
  <c r="E9" i="3"/>
  <c r="C9" i="3"/>
  <c r="F9" i="3" s="1"/>
  <c r="H9" i="3" s="1"/>
  <c r="E8" i="3"/>
  <c r="C8" i="3"/>
  <c r="F8" i="3" s="1"/>
  <c r="H8" i="3" s="1"/>
  <c r="F7" i="3"/>
  <c r="H7" i="3" s="1"/>
  <c r="E7" i="3"/>
  <c r="C7" i="3"/>
  <c r="E6" i="3"/>
  <c r="F6" i="3" s="1"/>
  <c r="C6" i="3"/>
  <c r="G22" i="2"/>
  <c r="C22" i="2"/>
  <c r="H22" i="2" s="1"/>
  <c r="H21" i="2"/>
  <c r="G21" i="2"/>
  <c r="C21" i="2"/>
  <c r="G20" i="2"/>
  <c r="C20" i="2"/>
  <c r="H20" i="2" s="1"/>
  <c r="H19" i="2"/>
  <c r="G19" i="2"/>
  <c r="C19" i="2"/>
  <c r="G18" i="2"/>
  <c r="C18" i="2"/>
  <c r="H18" i="2" s="1"/>
  <c r="H17" i="2"/>
  <c r="G17" i="2"/>
  <c r="C17" i="2"/>
  <c r="G16" i="2"/>
  <c r="C16" i="2"/>
  <c r="H16" i="2" s="1"/>
  <c r="H23" i="2" s="1"/>
  <c r="E14" i="2"/>
  <c r="C14" i="2"/>
  <c r="F14" i="2" s="1"/>
  <c r="H14" i="2" s="1"/>
  <c r="E13" i="2"/>
  <c r="C13" i="2"/>
  <c r="F13" i="2" s="1"/>
  <c r="H13" i="2" s="1"/>
  <c r="E12" i="2"/>
  <c r="F12" i="2" s="1"/>
  <c r="H12" i="2" s="1"/>
  <c r="C12" i="2"/>
  <c r="E11" i="2"/>
  <c r="C11" i="2"/>
  <c r="F11" i="2" s="1"/>
  <c r="H11" i="2" s="1"/>
  <c r="E10" i="2"/>
  <c r="C10" i="2"/>
  <c r="F10" i="2" s="1"/>
  <c r="H10" i="2" s="1"/>
  <c r="E9" i="2"/>
  <c r="F9" i="2" s="1"/>
  <c r="H9" i="2" s="1"/>
  <c r="C9" i="2"/>
  <c r="E8" i="2"/>
  <c r="C8" i="2"/>
  <c r="F8" i="2" s="1"/>
  <c r="H8" i="2" s="1"/>
  <c r="E7" i="2"/>
  <c r="C7" i="2"/>
  <c r="F7" i="2" s="1"/>
  <c r="H7" i="2" s="1"/>
  <c r="E6" i="2"/>
  <c r="F6" i="2" s="1"/>
  <c r="C6" i="2"/>
  <c r="G22" i="1"/>
  <c r="C22" i="1"/>
  <c r="H22" i="1" s="1"/>
  <c r="G21" i="1"/>
  <c r="C21" i="1"/>
  <c r="H21" i="1" s="1"/>
  <c r="G20" i="1"/>
  <c r="C20" i="1"/>
  <c r="H20" i="1" s="1"/>
  <c r="G19" i="1"/>
  <c r="C19" i="1"/>
  <c r="H19" i="1" s="1"/>
  <c r="G18" i="1"/>
  <c r="C18" i="1"/>
  <c r="H18" i="1" s="1"/>
  <c r="G17" i="1"/>
  <c r="C17" i="1"/>
  <c r="H17" i="1" s="1"/>
  <c r="G16" i="1"/>
  <c r="C16" i="1"/>
  <c r="H16" i="1" s="1"/>
  <c r="E14" i="1"/>
  <c r="C14" i="1"/>
  <c r="F14" i="1" s="1"/>
  <c r="H14" i="1" s="1"/>
  <c r="E13" i="1"/>
  <c r="C13" i="1"/>
  <c r="F13" i="1" s="1"/>
  <c r="H13" i="1" s="1"/>
  <c r="F12" i="1"/>
  <c r="H12" i="1" s="1"/>
  <c r="E12" i="1"/>
  <c r="C12" i="1"/>
  <c r="E11" i="1"/>
  <c r="F11" i="1" s="1"/>
  <c r="H11" i="1" s="1"/>
  <c r="C11" i="1"/>
  <c r="E10" i="1"/>
  <c r="C10" i="1"/>
  <c r="F10" i="1" s="1"/>
  <c r="H10" i="1" s="1"/>
  <c r="E9" i="1"/>
  <c r="C9" i="1"/>
  <c r="F9" i="1" s="1"/>
  <c r="H9" i="1" s="1"/>
  <c r="E8" i="1"/>
  <c r="C8" i="1"/>
  <c r="F8" i="1" s="1"/>
  <c r="H8" i="1" s="1"/>
  <c r="E7" i="1"/>
  <c r="C7" i="1"/>
  <c r="F7" i="1" s="1"/>
  <c r="F6" i="1"/>
  <c r="H6" i="1" s="1"/>
  <c r="E6" i="1"/>
  <c r="C6" i="1"/>
  <c r="F8" i="5" l="1"/>
  <c r="H8" i="5" s="1"/>
  <c r="H16" i="5"/>
  <c r="F9" i="5"/>
  <c r="H9" i="5" s="1"/>
  <c r="F13" i="5"/>
  <c r="H13" i="5" s="1"/>
  <c r="H18" i="5"/>
  <c r="F7" i="5"/>
  <c r="H7" i="5" s="1"/>
  <c r="F14" i="4"/>
  <c r="H14" i="4" s="1"/>
  <c r="F12" i="4"/>
  <c r="H12" i="4" s="1"/>
  <c r="F9" i="4"/>
  <c r="H9" i="4" s="1"/>
  <c r="F13" i="4"/>
  <c r="H13" i="4" s="1"/>
  <c r="H18" i="4"/>
  <c r="H6" i="14"/>
  <c r="H8" i="14" s="1"/>
  <c r="H11" i="14" s="1"/>
  <c r="F8" i="13"/>
  <c r="H6" i="13"/>
  <c r="H8" i="13" s="1"/>
  <c r="H11" i="13" s="1"/>
  <c r="H6" i="12"/>
  <c r="H7" i="12" s="1"/>
  <c r="F7" i="12"/>
  <c r="H10" i="12"/>
  <c r="H9" i="10"/>
  <c r="H8" i="10"/>
  <c r="F15" i="10"/>
  <c r="H6" i="10"/>
  <c r="F8" i="9"/>
  <c r="H6" i="9"/>
  <c r="H8" i="9" s="1"/>
  <c r="H13" i="9"/>
  <c r="H6" i="8"/>
  <c r="H17" i="8" s="1"/>
  <c r="F17" i="8"/>
  <c r="H28" i="8"/>
  <c r="H6" i="7"/>
  <c r="H19" i="7" s="1"/>
  <c r="H32" i="7" s="1"/>
  <c r="H11" i="6"/>
  <c r="H6" i="6"/>
  <c r="H7" i="6" s="1"/>
  <c r="H12" i="6" s="1"/>
  <c r="F14" i="5"/>
  <c r="J23" i="5"/>
  <c r="H6" i="5"/>
  <c r="F15" i="4"/>
  <c r="H6" i="4"/>
  <c r="H15" i="4" s="1"/>
  <c r="J24" i="4"/>
  <c r="H6" i="3"/>
  <c r="H15" i="3" s="1"/>
  <c r="H24" i="3" s="1"/>
  <c r="F15" i="3"/>
  <c r="H23" i="3"/>
  <c r="F15" i="2"/>
  <c r="H6" i="2"/>
  <c r="H15" i="2" s="1"/>
  <c r="H24" i="2" s="1"/>
  <c r="F15" i="1"/>
  <c r="H7" i="1"/>
  <c r="H15" i="1" s="1"/>
  <c r="H24" i="1" s="1"/>
  <c r="H23" i="1"/>
  <c r="H14" i="5" l="1"/>
  <c r="H25" i="4"/>
  <c r="J25" i="4" s="1"/>
  <c r="L25" i="4" s="1"/>
  <c r="J15" i="4"/>
  <c r="H11" i="12"/>
  <c r="H15" i="10"/>
  <c r="H18" i="10" s="1"/>
  <c r="H14" i="9"/>
  <c r="H29" i="8"/>
  <c r="H24" i="5" l="1"/>
  <c r="J24" i="5" s="1"/>
  <c r="L24" i="5" s="1"/>
  <c r="J14" i="5"/>
  <c r="F6" i="11" l="1"/>
  <c r="H6" i="11"/>
  <c r="H10" i="11"/>
</calcChain>
</file>

<file path=xl/sharedStrings.xml><?xml version="1.0" encoding="utf-8"?>
<sst xmlns="http://schemas.openxmlformats.org/spreadsheetml/2006/main" count="676" uniqueCount="96">
  <si>
    <t>Sta-op toiletlift zonder armsteunen aanbrengen, Sanmedi TL-AER-300, wit, inclusief wandcontactdoos</t>
  </si>
  <si>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</si>
  <si>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</si>
  <si>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</si>
  <si>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</si>
  <si>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</si>
  <si>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</si>
  <si>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</si>
  <si>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</si>
  <si>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</si>
  <si>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</si>
  <si>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Waterleiding afsluiten</t>
  </si>
  <si>
    <t>Closetzitting verwijderen</t>
  </si>
  <si>
    <t>Closet met sproeiföhn-installatie aanbrengen</t>
  </si>
  <si>
    <t>Bestaande waterleiding aanpassen/verleggen</t>
  </si>
  <si>
    <t>Hoofdkraan waterleiding openen en geheel onder druk brengen</t>
  </si>
  <si>
    <t>Waterleiding en afvoer controleren op waterdichtheid</t>
  </si>
  <si>
    <t>Kabelgoot (leidingkanaal) aanbrengen, inclusief bedrading en aansluiten</t>
  </si>
  <si>
    <t>m</t>
  </si>
  <si>
    <t>Wandcontactdoos aanbrengen</t>
  </si>
  <si>
    <t>Werkplek opruimen en afkomend materiaal afvoeren</t>
  </si>
  <si>
    <t>post</t>
  </si>
  <si>
    <t>Subtotaal loonkosten</t>
  </si>
  <si>
    <t>Materialkosten</t>
  </si>
  <si>
    <t>Sta-op toilet, Sanmedi Aerolet diagonale toiletlift, zonder armsteunen, type TL-AER-300 basic, kleur wit</t>
  </si>
  <si>
    <t/>
  </si>
  <si>
    <t>Plattebuissysteem, Attema type P25, kunststof, wit, 13 x 25 mm</t>
  </si>
  <si>
    <t>Installatiekabel YMvK MB 3x2,5 mm2, 0,6/1kV, Donne</t>
  </si>
  <si>
    <t>Enkele wandcontactdoos met randaarde, kunststof, creme/wit (opbouw)</t>
  </si>
  <si>
    <t>Toebehoren koperen buis ø 12 mm, gemiddeld per meter</t>
  </si>
  <si>
    <t>Koperen buis, halfhard, wanddikte 1 mm, diameter 12 mm</t>
  </si>
  <si>
    <t>Toeslag (klein) materiaal, materieel en diversen</t>
  </si>
  <si>
    <t>Subtotaal materiaalkosten</t>
  </si>
  <si>
    <t>Directe kosten</t>
  </si>
  <si>
    <t>Eindtotaal directe kosten</t>
  </si>
  <si>
    <t>Closetzitting met onderdouche en deksel aanbrengen, Pronk Ergo Comfort-Seat Regular, kunststof wit, met paneelbediening</t>
  </si>
  <si>
    <t>Closetzitting, met onderdouche, monteren</t>
  </si>
  <si>
    <t>Pronk Ergo Comfort-Seat Regular</t>
  </si>
  <si>
    <t>Closetzitting met onderdouche en wit kunststof deksel aanbrengen, Pronk Ergo Comfort-Seat AB met afstandsbediening</t>
  </si>
  <si>
    <t>Pronk Ergo Comfort-Seat AB</t>
  </si>
  <si>
    <t>Douche-föhncombinatie geïntegreerd in closet aanbrengen, Geberit AquaClean Mera Classic, t.p.v. bestaand inbouwreservoir, inclusief elektra-aansluiting</t>
  </si>
  <si>
    <t>Waterleiding afsluiten en aftappen</t>
  </si>
  <si>
    <t>Wandcloset verwijderen</t>
  </si>
  <si>
    <t>Aanpassing waterleiding en afvoer</t>
  </si>
  <si>
    <t>Closet met sproeiföhn-installatie, Geberit AquaClean Mera Classic, wandcloset, keramiek, wit</t>
  </si>
  <si>
    <t>Douche-föhncloset met staand reservoir aanbrengen, Geberit AquaClean Mera Classic, t.p.v. bestaand staande closet, inclusief elektra-aansluiting</t>
  </si>
  <si>
    <t>Closet met sproei-föhninstallatie, Geberit AquaClean Mera Classic, staand model, keramiek, wit</t>
  </si>
  <si>
    <t>Meerprijs installatiewerk, elektra, vanaf 6 m1</t>
  </si>
  <si>
    <t>PVC buis met bedrading aanbrengen</t>
  </si>
  <si>
    <t>PVC installatiebuis 5-8, Pipelife Polivolt, 16 mm, crème</t>
  </si>
  <si>
    <t>Installatiedraad VD 2,5 mm2</t>
  </si>
  <si>
    <t>Closetcombinatie met faecaliënpomp aanbrengen, staand wit, Laufen Pro closet verhoogd + 60 mm met Wisa 790 opbouwreservoir en Sanibroyeur Acces 1</t>
  </si>
  <si>
    <t>Closetsok plaatsen</t>
  </si>
  <si>
    <t>Closet voorzien van potband</t>
  </si>
  <si>
    <t>Closetpot monteren (op vloer)</t>
  </si>
  <si>
    <t>Sanibroyeur aanbrengen en aansluiten</t>
  </si>
  <si>
    <t>Laaghangend wandreservoir op maat maken en bevestigen op wand</t>
  </si>
  <si>
    <t>Waterleiding aansluiten</t>
  </si>
  <si>
    <t>Closetzitting, met deksel, op closet monteren</t>
  </si>
  <si>
    <t>Closetsok, Wisa, recht, kunststof, wit</t>
  </si>
  <si>
    <t>Closet staand, Laufen Pro Ergonomisch (verhoogd +6), vlakspoel, uitlaat  PK, keramiek, wit</t>
  </si>
  <si>
    <t>Closetzitting met deksel, Pressalit Tivoli 2, duroplast, wit</t>
  </si>
  <si>
    <t>Opbouwspoelreservoir, Wisa 790, laaghangend, kunststof, kleur wit</t>
  </si>
  <si>
    <t>Vuilwaterpompunit, Sanibroyeur Access 1, voor faecaliën, kunstsof reservoir, kleur wit</t>
  </si>
  <si>
    <t>Closet Laufen Pro Ergonomisch (verhoogd +6) aanbrengen, staand wit vlakspoel met closetzitting met deksel, inclusief aansluiten op waterleiding en riolering</t>
  </si>
  <si>
    <t>Kunststof binnenriolering aanbrengen, diameter 110 mm</t>
  </si>
  <si>
    <t>Hulpstuk kunststof binnenriolering aanbrengen, diameter 110 mm</t>
  </si>
  <si>
    <t>Koperen waterleidingbuis aanbrengen</t>
  </si>
  <si>
    <t>Hoofdkraan waterleiding openen</t>
  </si>
  <si>
    <t>Hoekstopkraan, Schell Quick, chroom, huis messing</t>
  </si>
  <si>
    <t>Closetzitting met deksel, Laufen Pro, kunststof, wit</t>
  </si>
  <si>
    <t>Koperen buis, halfhard, wanddikte 1 mm, diameter 15 mm</t>
  </si>
  <si>
    <t>Toebehoren koperen buis ø 15 mm, gemiddeld per meter</t>
  </si>
  <si>
    <t>PVC buis, Wavin binnenriolering, diameter 110 mm, Ultra-3, grijs</t>
  </si>
  <si>
    <t>PVC T-stuk 88°, 3x mof, Wavin, diameter 110 mm, grijs</t>
  </si>
  <si>
    <t>PVC bocht 88°, 2x mof, Wavin, diameter 110 mm, grijs</t>
  </si>
  <si>
    <t>Meerprijs installatiewerk, riolering, vanaf 6 m1</t>
  </si>
  <si>
    <t>Bestaande fonteincombinatie met sifon en sifonkap verwijderen</t>
  </si>
  <si>
    <t>Waterleiding en afvoer los koppelen</t>
  </si>
  <si>
    <t>Waterleiding verwijderen tot aftakking doorstromende leiding</t>
  </si>
  <si>
    <t>Fonteincombinatie met sifon en sifonkap verwijderen</t>
  </si>
  <si>
    <t>Waterleiding en afvoer afdoppen</t>
  </si>
  <si>
    <t>Waterleiding controleren op waterdichtheid</t>
  </si>
  <si>
    <t>Stucwerk en/of tegelwerk plaatselijk herstellen</t>
  </si>
  <si>
    <t>Post voor (klein) materiaal, materieel en diversen</t>
  </si>
  <si>
    <t>Preventief onderhoud t.b.v. spoel-föhnsystemen</t>
  </si>
  <si>
    <t>Preventief onderhoud</t>
  </si>
  <si>
    <t>Aarddraad aanbrengen van bestaand punt tot in meterkast, VD-draad 2,5 mm2, lengte tot 20 m1</t>
  </si>
  <si>
    <t>Aarddraad aanbrengen in bestaande leidingen, inclusief aansluiting in meterkast</t>
  </si>
  <si>
    <t>Toiletten, demontage, herstelwerk, schoonmaken en in herverstrekbare staat brengen - A1/A4a/A4b/A6/A7</t>
  </si>
  <si>
    <t>Demontage en herstelwerk</t>
  </si>
  <si>
    <t>uur</t>
  </si>
  <si>
    <t>Schoonmaken en in herverstrekbare staat brengen</t>
  </si>
  <si>
    <t>Toiletten, demontage, herstelwerk, schoonmaken en in herverstrekbare staat brengen - A2/A3</t>
  </si>
  <si>
    <t>onvoorziene kosten</t>
  </si>
  <si>
    <t>Onvoorziene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</si>
</sst>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selection activeCell="F25" sqref="F25"/>
    </sheetView>
  </sheetViews>
  <sheetFormatPr defaultRowHeight="15"/>
  <cols>
    <col min="1" max="1" width="17.85546875" customWidth="1"/>
    <col min="2" max="2" width="91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0" width="9.140625" style="5"/>
    <col min="12" max="12" width="9.140625" style="5"/>
  </cols>
  <sheetData>
    <row r="1" spans="1:10">
      <c r="A1" s="1" t="s">
        <v>0</v>
      </c>
    </row>
    <row r="3" spans="1:10">
      <c r="A3">
        <v>1</v>
      </c>
      <c r="B3" t="s">
        <v>1</v>
      </c>
    </row>
    <row r="5" spans="1:10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0">
      <c r="A6" s="1" t="s">
        <v>10</v>
      </c>
      <c r="B6" t="s">
        <v>11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4" si="0">C6*E6</f>
        <v>0.1</v>
      </c>
      <c r="G6" s="2">
        <v>52.2</v>
      </c>
      <c r="H6" s="2">
        <f t="shared" ref="H6:H14" si="1">F6*G6</f>
        <v>5.2200000000000006</v>
      </c>
    </row>
    <row r="7" spans="1:10">
      <c r="B7" t="s">
        <v>12</v>
      </c>
      <c r="C7" s="2">
        <f>A3/1*1000/1000</f>
        <v>1</v>
      </c>
      <c r="D7" t="s">
        <v>1</v>
      </c>
      <c r="E7" s="3">
        <f>1000/10000</f>
        <v>0.1</v>
      </c>
      <c r="F7" s="2">
        <f t="shared" si="0"/>
        <v>0.1</v>
      </c>
      <c r="G7" s="2">
        <v>52.2</v>
      </c>
      <c r="H7" s="2">
        <f t="shared" si="1"/>
        <v>5.2200000000000006</v>
      </c>
    </row>
    <row r="8" spans="1:10">
      <c r="B8" t="s">
        <v>13</v>
      </c>
      <c r="C8" s="2">
        <f>A3/1*1000/1000</f>
        <v>1</v>
      </c>
      <c r="D8" t="s">
        <v>1</v>
      </c>
      <c r="E8" s="3">
        <f>25000/10000</f>
        <v>2.5</v>
      </c>
      <c r="F8" s="2">
        <f t="shared" si="0"/>
        <v>2.5</v>
      </c>
      <c r="G8" s="2">
        <v>52.2</v>
      </c>
      <c r="H8" s="2">
        <f t="shared" si="1"/>
        <v>130.5</v>
      </c>
    </row>
    <row r="9" spans="1:10">
      <c r="B9" t="s">
        <v>14</v>
      </c>
      <c r="C9" s="2">
        <f>A3/1*1000/1000</f>
        <v>1</v>
      </c>
      <c r="D9" t="s">
        <v>1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10">
      <c r="B10" t="s">
        <v>15</v>
      </c>
      <c r="C10" s="2">
        <f>A3/1*1000/1000</f>
        <v>1</v>
      </c>
      <c r="D10" t="s">
        <v>1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0">
      <c r="B11" t="s">
        <v>16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v>52.2</v>
      </c>
      <c r="H11" s="2">
        <f t="shared" si="1"/>
        <v>5.2200000000000006</v>
      </c>
    </row>
    <row r="12" spans="1:10">
      <c r="B12" t="s">
        <v>17</v>
      </c>
      <c r="C12" s="2">
        <f>A3/1*6000/1000</f>
        <v>6</v>
      </c>
      <c r="D12" t="s">
        <v>18</v>
      </c>
      <c r="E12" s="3">
        <f>3000/10000</f>
        <v>0.3</v>
      </c>
      <c r="F12" s="2">
        <f t="shared" si="0"/>
        <v>1.7999999999999998</v>
      </c>
      <c r="G12" s="2">
        <v>52.2</v>
      </c>
      <c r="H12" s="2">
        <f t="shared" si="1"/>
        <v>93.96</v>
      </c>
    </row>
    <row r="13" spans="1:10">
      <c r="B13" t="s">
        <v>19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v>52.2</v>
      </c>
      <c r="H13" s="2">
        <f t="shared" si="1"/>
        <v>15.66</v>
      </c>
    </row>
    <row r="14" spans="1:10">
      <c r="B14" t="s">
        <v>20</v>
      </c>
      <c r="C14" s="2">
        <f>A3/1*1000/1000</f>
        <v>1</v>
      </c>
      <c r="D14" t="s">
        <v>21</v>
      </c>
      <c r="E14" s="3">
        <f>2000/10000</f>
        <v>0.2</v>
      </c>
      <c r="F14" s="2">
        <f t="shared" si="0"/>
        <v>0.2</v>
      </c>
      <c r="G14" s="2">
        <v>48.72</v>
      </c>
      <c r="H14" s="2">
        <f t="shared" si="1"/>
        <v>9.7439999999999998</v>
      </c>
    </row>
    <row r="15" spans="1:10">
      <c r="B15" s="1" t="s">
        <v>22</v>
      </c>
      <c r="F15" s="4">
        <f>SUM(F6:F14)</f>
        <v>5.95</v>
      </c>
      <c r="H15" s="4">
        <f>SUM(H6:H14)</f>
        <v>309.89400000000001</v>
      </c>
      <c r="J15" s="5">
        <f>H15*1.17</f>
        <v>362.57597999999996</v>
      </c>
    </row>
    <row r="16" spans="1:10">
      <c r="A16" s="1" t="s">
        <v>23</v>
      </c>
      <c r="B16" t="s">
        <v>24</v>
      </c>
      <c r="C16" s="2">
        <f>A3/1*1</f>
        <v>1</v>
      </c>
      <c r="D16" t="s">
        <v>1</v>
      </c>
      <c r="E16" s="3" t="s">
        <v>25</v>
      </c>
      <c r="F16" s="2" t="s">
        <v>25</v>
      </c>
      <c r="G16" s="2">
        <f>(402225/100)</f>
        <v>4022.25</v>
      </c>
      <c r="H16" s="2">
        <f t="shared" ref="H16:H22" si="2">C16*G16</f>
        <v>4022.25</v>
      </c>
    </row>
    <row r="17" spans="1:12">
      <c r="B17" t="s">
        <v>26</v>
      </c>
      <c r="C17" s="2">
        <f>A3/1*6</f>
        <v>6</v>
      </c>
      <c r="D17" t="s">
        <v>18</v>
      </c>
      <c r="E17" s="3" t="s">
        <v>25</v>
      </c>
      <c r="F17" s="2" t="s">
        <v>25</v>
      </c>
      <c r="G17" s="2">
        <f>(293/100)</f>
        <v>2.93</v>
      </c>
      <c r="H17" s="2">
        <f t="shared" si="2"/>
        <v>17.580000000000002</v>
      </c>
    </row>
    <row r="18" spans="1:12">
      <c r="B18" t="s">
        <v>27</v>
      </c>
      <c r="C18" s="2">
        <f>A3/1*(75/10)</f>
        <v>7.5</v>
      </c>
      <c r="D18" t="s">
        <v>18</v>
      </c>
      <c r="E18" s="3" t="s">
        <v>25</v>
      </c>
      <c r="F18" s="2" t="s">
        <v>25</v>
      </c>
      <c r="G18" s="2">
        <f>(321/100)</f>
        <v>3.21</v>
      </c>
      <c r="H18" s="2">
        <f t="shared" si="2"/>
        <v>24.074999999999999</v>
      </c>
    </row>
    <row r="19" spans="1:12">
      <c r="B19" t="s">
        <v>28</v>
      </c>
      <c r="C19" s="2">
        <f>A3/1*1</f>
        <v>1</v>
      </c>
      <c r="D19" t="s">
        <v>1</v>
      </c>
      <c r="E19" s="3" t="s">
        <v>25</v>
      </c>
      <c r="F19" s="2" t="s">
        <v>25</v>
      </c>
      <c r="G19" s="2">
        <f>(618/100)</f>
        <v>6.18</v>
      </c>
      <c r="H19" s="2">
        <f t="shared" si="2"/>
        <v>6.18</v>
      </c>
    </row>
    <row r="20" spans="1:12">
      <c r="B20" t="s">
        <v>29</v>
      </c>
      <c r="C20" s="2">
        <f>A3/1*1</f>
        <v>1</v>
      </c>
      <c r="D20" t="s">
        <v>18</v>
      </c>
      <c r="E20" s="3" t="s">
        <v>25</v>
      </c>
      <c r="F20" s="2" t="s">
        <v>25</v>
      </c>
      <c r="G20" s="2">
        <f>(1045/100)</f>
        <v>10.45</v>
      </c>
      <c r="H20" s="2">
        <f t="shared" si="2"/>
        <v>10.45</v>
      </c>
    </row>
    <row r="21" spans="1:12">
      <c r="B21" t="s">
        <v>30</v>
      </c>
      <c r="C21" s="2">
        <f>A3/1*1</f>
        <v>1</v>
      </c>
      <c r="D21" t="s">
        <v>18</v>
      </c>
      <c r="E21" s="3" t="s">
        <v>25</v>
      </c>
      <c r="F21" s="2" t="s">
        <v>25</v>
      </c>
      <c r="G21" s="2">
        <f>(1306/100)</f>
        <v>13.06</v>
      </c>
      <c r="H21" s="2">
        <f t="shared" si="2"/>
        <v>13.06</v>
      </c>
    </row>
    <row r="22" spans="1:12">
      <c r="B22" t="s">
        <v>31</v>
      </c>
      <c r="C22" s="2">
        <f>A3/1*1</f>
        <v>1</v>
      </c>
      <c r="D22" t="s">
        <v>21</v>
      </c>
      <c r="E22" s="3" t="s">
        <v>25</v>
      </c>
      <c r="F22" s="2" t="s">
        <v>25</v>
      </c>
      <c r="G22" s="2">
        <f>25</f>
        <v>25</v>
      </c>
      <c r="H22" s="2">
        <f t="shared" si="2"/>
        <v>25</v>
      </c>
    </row>
    <row r="23" spans="1:12">
      <c r="B23" s="1" t="s">
        <v>32</v>
      </c>
      <c r="H23" s="4">
        <f>SUM(H16:H22)</f>
        <v>4118.5949999999993</v>
      </c>
      <c r="J23" s="5">
        <f t="shared" ref="J23:J24" si="3">H23*1.17</f>
        <v>4818.7561499999993</v>
      </c>
    </row>
    <row r="24" spans="1:12">
      <c r="A24" s="1" t="s">
        <v>33</v>
      </c>
      <c r="B24" s="1" t="s">
        <v>34</v>
      </c>
      <c r="H24" s="4">
        <f>H15+H23</f>
        <v>4428.4889999999996</v>
      </c>
      <c r="J24" s="5">
        <f t="shared" si="3"/>
        <v>5181.3321299999989</v>
      </c>
      <c r="L24" s="5">
        <f>J24*1.21</f>
        <v>6269.4118772999982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A50F-5C5F-46F3-94C0-1049F0D49F1A}">
  <dimension ref="A1:L24"/>
  <sheetViews>
    <sheetView workbookViewId="0">
      <selection activeCell="J18" activeCellId="2" sqref="J15 J17 J18"/>
    </sheetView>
  </sheetViews>
  <sheetFormatPr defaultRowHeight="15"/>
  <cols>
    <col min="1" max="1" width="17.85546875" customWidth="1"/>
    <col min="2" max="2" width="57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77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41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4" si="0">C6*E6</f>
        <v>0.1</v>
      </c>
      <c r="G6" s="2">
        <f t="shared" ref="G6:G10" si="1">52200/1000</f>
        <v>52.2</v>
      </c>
      <c r="H6" s="2">
        <f t="shared" ref="H6:H14" si="2">F6*G6</f>
        <v>5.2200000000000006</v>
      </c>
    </row>
    <row r="7" spans="1:12">
      <c r="B7" t="s">
        <v>78</v>
      </c>
      <c r="C7" s="2">
        <f>A3/1*1000/1000</f>
        <v>1</v>
      </c>
      <c r="D7" t="s">
        <v>1</v>
      </c>
      <c r="E7" s="3">
        <f>1500/10000</f>
        <v>0.15</v>
      </c>
      <c r="F7" s="2">
        <f t="shared" si="0"/>
        <v>0.15</v>
      </c>
      <c r="G7" s="2">
        <f t="shared" si="1"/>
        <v>52.2</v>
      </c>
      <c r="H7" s="2">
        <f t="shared" si="2"/>
        <v>7.83</v>
      </c>
    </row>
    <row r="8" spans="1:12">
      <c r="B8" t="s">
        <v>79</v>
      </c>
      <c r="C8" s="2">
        <f>A3/1*1000/1000</f>
        <v>1</v>
      </c>
      <c r="D8" t="s">
        <v>1</v>
      </c>
      <c r="E8" s="3">
        <f>2500/10000</f>
        <v>0.25</v>
      </c>
      <c r="F8" s="2">
        <f t="shared" si="0"/>
        <v>0.25</v>
      </c>
      <c r="G8" s="2">
        <f t="shared" si="1"/>
        <v>52.2</v>
      </c>
      <c r="H8" s="2">
        <f t="shared" si="2"/>
        <v>13.05</v>
      </c>
    </row>
    <row r="9" spans="1:12">
      <c r="B9" t="s">
        <v>80</v>
      </c>
      <c r="C9" s="2">
        <f>A3/1*1000/1000</f>
        <v>1</v>
      </c>
      <c r="D9" t="s">
        <v>1</v>
      </c>
      <c r="E9" s="3">
        <f>2000/10000</f>
        <v>0.2</v>
      </c>
      <c r="F9" s="2">
        <f t="shared" si="0"/>
        <v>0.2</v>
      </c>
      <c r="G9" s="2">
        <f t="shared" si="1"/>
        <v>52.2</v>
      </c>
      <c r="H9" s="2">
        <f t="shared" si="2"/>
        <v>10.440000000000001</v>
      </c>
    </row>
    <row r="10" spans="1:12">
      <c r="B10" t="s">
        <v>81</v>
      </c>
      <c r="C10" s="2">
        <f>A3/1*1000/1000</f>
        <v>1</v>
      </c>
      <c r="D10" t="s">
        <v>1</v>
      </c>
      <c r="E10" s="3">
        <f>1500/10000</f>
        <v>0.15</v>
      </c>
      <c r="F10" s="2">
        <f t="shared" si="0"/>
        <v>0.15</v>
      </c>
      <c r="G10" s="2">
        <f t="shared" si="1"/>
        <v>52.2</v>
      </c>
      <c r="H10" s="2">
        <f t="shared" si="2"/>
        <v>7.83</v>
      </c>
    </row>
    <row r="11" spans="1:12">
      <c r="B11" t="s">
        <v>15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f>52200/1000</f>
        <v>52.2</v>
      </c>
      <c r="H11" s="2">
        <f t="shared" si="2"/>
        <v>5.2200000000000006</v>
      </c>
    </row>
    <row r="12" spans="1:12">
      <c r="B12" t="s">
        <v>82</v>
      </c>
      <c r="C12" s="2">
        <f>A3/1*1000/1000</f>
        <v>1</v>
      </c>
      <c r="D12" t="s">
        <v>1</v>
      </c>
      <c r="E12" s="3">
        <f>1000/10000</f>
        <v>0.1</v>
      </c>
      <c r="F12" s="2">
        <f t="shared" si="0"/>
        <v>0.1</v>
      </c>
      <c r="G12" s="2">
        <f>52200/1000</f>
        <v>52.2</v>
      </c>
      <c r="H12" s="2">
        <f t="shared" si="2"/>
        <v>5.2200000000000006</v>
      </c>
    </row>
    <row r="13" spans="1:12">
      <c r="B13" t="s">
        <v>83</v>
      </c>
      <c r="C13" s="2">
        <f>A3/1*1000/1000</f>
        <v>1</v>
      </c>
      <c r="D13" t="s">
        <v>21</v>
      </c>
      <c r="E13" s="3">
        <f>3500/10000</f>
        <v>0.35</v>
      </c>
      <c r="F13" s="2">
        <f t="shared" si="0"/>
        <v>0.35</v>
      </c>
      <c r="G13" s="2">
        <v>48.72</v>
      </c>
      <c r="H13" s="2">
        <f t="shared" si="2"/>
        <v>17.052</v>
      </c>
    </row>
    <row r="14" spans="1:12">
      <c r="B14" t="s">
        <v>20</v>
      </c>
      <c r="C14" s="2">
        <f>A3/1*1000/1000</f>
        <v>1</v>
      </c>
      <c r="D14" t="s">
        <v>21</v>
      </c>
      <c r="E14" s="3">
        <f>1500/10000</f>
        <v>0.15</v>
      </c>
      <c r="F14" s="2">
        <f t="shared" si="0"/>
        <v>0.15</v>
      </c>
      <c r="G14" s="2">
        <v>48.72</v>
      </c>
      <c r="H14" s="2">
        <f t="shared" si="2"/>
        <v>7.3079999999999998</v>
      </c>
    </row>
    <row r="15" spans="1:12">
      <c r="B15" s="1" t="s">
        <v>22</v>
      </c>
      <c r="F15" s="4">
        <f>SUM(F6:F14)</f>
        <v>1.5499999999999998</v>
      </c>
      <c r="H15" s="4">
        <f>SUM(H6:H14)</f>
        <v>79.169999999999987</v>
      </c>
      <c r="J15" s="5">
        <f>H15*1.17</f>
        <v>92.628899999999973</v>
      </c>
      <c r="L15" s="2"/>
    </row>
    <row r="16" spans="1:12">
      <c r="A16" s="1" t="s">
        <v>23</v>
      </c>
      <c r="B16" t="s">
        <v>84</v>
      </c>
      <c r="C16" s="2">
        <f>A3/1*1</f>
        <v>1</v>
      </c>
      <c r="D16" t="s">
        <v>21</v>
      </c>
      <c r="E16" s="3" t="s">
        <v>25</v>
      </c>
      <c r="F16" s="2" t="s">
        <v>25</v>
      </c>
      <c r="G16" s="2">
        <f>15</f>
        <v>15</v>
      </c>
      <c r="H16" s="2">
        <f>C16*G16</f>
        <v>15</v>
      </c>
      <c r="L16" s="2"/>
    </row>
    <row r="17" spans="1:12">
      <c r="B17" s="1" t="s">
        <v>32</v>
      </c>
      <c r="H17" s="4">
        <f>SUM(H16:H16)</f>
        <v>15</v>
      </c>
      <c r="J17" s="5">
        <f>H17*1.17</f>
        <v>17.549999999999997</v>
      </c>
      <c r="L17" s="2"/>
    </row>
    <row r="18" spans="1:12">
      <c r="A18" s="1" t="s">
        <v>33</v>
      </c>
      <c r="B18" s="1" t="s">
        <v>34</v>
      </c>
      <c r="H18" s="4">
        <f>H15+H17</f>
        <v>94.169999999999987</v>
      </c>
      <c r="J18" s="5">
        <f>H18*1.17</f>
        <v>110.17889999999998</v>
      </c>
      <c r="L18" s="5">
        <f>J18*1.21</f>
        <v>133.31646899999998</v>
      </c>
    </row>
    <row r="19" spans="1:12">
      <c r="L19" s="2"/>
    </row>
    <row r="20" spans="1:12">
      <c r="L20" s="2"/>
    </row>
    <row r="21" spans="1:12">
      <c r="L21" s="2"/>
    </row>
    <row r="22" spans="1:12">
      <c r="L22" s="2"/>
    </row>
    <row r="23" spans="1:12">
      <c r="J23" s="5"/>
      <c r="L23" s="2"/>
    </row>
    <row r="24" spans="1:12">
      <c r="J24" s="5"/>
      <c r="L24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A1FB-61C3-466D-9C36-3FF4111C09C2}">
  <dimension ref="A1:L17"/>
  <sheetViews>
    <sheetView workbookViewId="0">
      <selection activeCell="J10" sqref="J10"/>
    </sheetView>
  </sheetViews>
  <sheetFormatPr defaultRowHeight="15"/>
  <cols>
    <col min="1" max="1" width="17.85546875" customWidth="1"/>
    <col min="2" max="2" width="44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85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s="1" t="s">
        <v>22</v>
      </c>
      <c r="F6" s="4" t="str">
        <f ca="1">SUM(F5:F6)</f>
        <v/>
      </c>
      <c r="H6" s="4" t="str">
        <f ca="1">SUM(H5:H6)</f>
        <v/>
      </c>
    </row>
    <row r="7" spans="1:12">
      <c r="A7" s="1" t="s">
        <v>23</v>
      </c>
      <c r="B7" t="s">
        <v>86</v>
      </c>
      <c r="C7" s="2">
        <f>A3/1*1</f>
        <v>1</v>
      </c>
      <c r="D7" t="s">
        <v>1</v>
      </c>
      <c r="E7" s="3" t="s">
        <v>25</v>
      </c>
      <c r="F7" s="2" t="s">
        <v>25</v>
      </c>
      <c r="G7" s="2">
        <f>120</f>
        <v>120</v>
      </c>
      <c r="H7" s="2">
        <f>C7*G7</f>
        <v>120</v>
      </c>
    </row>
    <row r="8" spans="1:12">
      <c r="B8" t="s">
        <v>84</v>
      </c>
      <c r="C8" s="2">
        <f>A3/1*1</f>
        <v>1</v>
      </c>
      <c r="D8" t="s">
        <v>21</v>
      </c>
      <c r="E8" s="3" t="s">
        <v>25</v>
      </c>
      <c r="F8" s="2" t="s">
        <v>25</v>
      </c>
      <c r="G8" s="2">
        <f>15</f>
        <v>15</v>
      </c>
      <c r="H8" s="2">
        <f>C8*G8</f>
        <v>15</v>
      </c>
    </row>
    <row r="9" spans="1:12">
      <c r="B9" s="1" t="s">
        <v>32</v>
      </c>
      <c r="H9" s="4">
        <f>SUM(H7:H8)</f>
        <v>135</v>
      </c>
      <c r="J9" s="5">
        <f>H9*1.17</f>
        <v>157.94999999999999</v>
      </c>
      <c r="L9" s="5">
        <f>J9*1.21</f>
        <v>191.11949999999999</v>
      </c>
    </row>
    <row r="10" spans="1:12">
      <c r="A10" s="1" t="s">
        <v>33</v>
      </c>
      <c r="B10" s="1" t="s">
        <v>34</v>
      </c>
      <c r="H10" s="4" t="str">
        <f ca="1">H6+H9</f>
        <v/>
      </c>
      <c r="L10" s="2"/>
    </row>
    <row r="11" spans="1:12">
      <c r="L11" s="2"/>
    </row>
    <row r="12" spans="1:12">
      <c r="L12" s="2"/>
    </row>
    <row r="13" spans="1:12">
      <c r="L13" s="2"/>
    </row>
    <row r="14" spans="1:12">
      <c r="L14" s="2"/>
    </row>
    <row r="15" spans="1:12">
      <c r="L15" s="2"/>
    </row>
    <row r="16" spans="1:12">
      <c r="L16" s="2"/>
    </row>
    <row r="17" spans="10:12">
      <c r="J17" s="5"/>
      <c r="L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8635-CB1F-4474-8937-F3E7880490D3}">
  <dimension ref="A1:L14"/>
  <sheetViews>
    <sheetView workbookViewId="0">
      <selection activeCell="J10" sqref="J10:J11"/>
    </sheetView>
  </sheetViews>
  <sheetFormatPr defaultRowHeight="15"/>
  <cols>
    <col min="1" max="1" width="17.85546875" customWidth="1"/>
    <col min="2" max="2" width="71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87</v>
      </c>
    </row>
    <row r="3" spans="1:12">
      <c r="A3">
        <v>20</v>
      </c>
      <c r="B3" t="s">
        <v>18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88</v>
      </c>
      <c r="C6" s="2">
        <f>A3/20*1000/1000</f>
        <v>1</v>
      </c>
      <c r="D6" t="s">
        <v>1</v>
      </c>
      <c r="E6" s="3">
        <f>25000/10000</f>
        <v>2.5</v>
      </c>
      <c r="F6" s="2">
        <f>C6*E6</f>
        <v>2.5</v>
      </c>
      <c r="G6" s="2">
        <v>52.2</v>
      </c>
      <c r="H6" s="2">
        <f>F6*G6</f>
        <v>130.5</v>
      </c>
    </row>
    <row r="7" spans="1:12">
      <c r="B7" s="1" t="s">
        <v>22</v>
      </c>
      <c r="F7" s="4">
        <f>SUM(F6:F6)</f>
        <v>2.5</v>
      </c>
      <c r="H7" s="4">
        <f>SUM(H6:H6)</f>
        <v>130.5</v>
      </c>
      <c r="J7" s="5">
        <f>H7*1.17</f>
        <v>152.685</v>
      </c>
      <c r="L7" s="2"/>
    </row>
    <row r="8" spans="1:12">
      <c r="A8" s="1" t="s">
        <v>23</v>
      </c>
      <c r="B8" t="s">
        <v>50</v>
      </c>
      <c r="C8" s="2">
        <f>A3/20*20</f>
        <v>20</v>
      </c>
      <c r="D8" t="s">
        <v>18</v>
      </c>
      <c r="E8" s="3" t="s">
        <v>25</v>
      </c>
      <c r="F8" s="2" t="s">
        <v>25</v>
      </c>
      <c r="G8" s="2">
        <f>(115/100)</f>
        <v>1.1499999999999999</v>
      </c>
      <c r="H8" s="2">
        <f>C8*G8</f>
        <v>23</v>
      </c>
      <c r="L8" s="2"/>
    </row>
    <row r="9" spans="1:12">
      <c r="B9" t="s">
        <v>31</v>
      </c>
      <c r="C9" s="2">
        <f>A3/20*1</f>
        <v>1</v>
      </c>
      <c r="D9" t="s">
        <v>21</v>
      </c>
      <c r="E9" s="3" t="s">
        <v>25</v>
      </c>
      <c r="F9" s="2" t="s">
        <v>25</v>
      </c>
      <c r="G9" s="2">
        <f>5</f>
        <v>5</v>
      </c>
      <c r="H9" s="2">
        <f>C9*G9</f>
        <v>5</v>
      </c>
      <c r="L9" s="2"/>
    </row>
    <row r="10" spans="1:12">
      <c r="B10" s="1" t="s">
        <v>32</v>
      </c>
      <c r="H10" s="4">
        <f>SUM(H8:H9)</f>
        <v>28</v>
      </c>
      <c r="J10" s="5">
        <f t="shared" ref="J10:J11" si="0">H10*1.17</f>
        <v>32.76</v>
      </c>
      <c r="L10" s="2"/>
    </row>
    <row r="11" spans="1:12">
      <c r="A11" s="1" t="s">
        <v>33</v>
      </c>
      <c r="B11" s="1" t="s">
        <v>34</v>
      </c>
      <c r="H11" s="4">
        <f>H7+H10</f>
        <v>158.5</v>
      </c>
      <c r="J11" s="5">
        <f t="shared" si="0"/>
        <v>185.44499999999999</v>
      </c>
      <c r="L11" s="5">
        <f>J11*1.21</f>
        <v>224.38844999999998</v>
      </c>
    </row>
    <row r="12" spans="1:12">
      <c r="L12" s="2"/>
    </row>
    <row r="13" spans="1:12">
      <c r="L13" s="2"/>
    </row>
    <row r="14" spans="1:12">
      <c r="L1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C4E-2836-4A75-812D-7C220A102078}">
  <dimension ref="A1:L17"/>
  <sheetViews>
    <sheetView workbookViewId="0">
      <selection activeCell="J16" sqref="J16:M19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89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90</v>
      </c>
      <c r="C6" s="2">
        <f>A3/1*1250/1000</f>
        <v>1.25</v>
      </c>
      <c r="D6" t="s">
        <v>91</v>
      </c>
      <c r="E6" s="3">
        <f>10000/10000</f>
        <v>1</v>
      </c>
      <c r="F6" s="2">
        <f>C6*E6</f>
        <v>1.25</v>
      </c>
      <c r="G6" s="2">
        <v>48.72</v>
      </c>
      <c r="H6" s="2">
        <f>F6*G6</f>
        <v>60.9</v>
      </c>
    </row>
    <row r="7" spans="1:12">
      <c r="B7" t="s">
        <v>92</v>
      </c>
      <c r="C7" s="2">
        <f>A3/1*2250/1000</f>
        <v>2.25</v>
      </c>
      <c r="D7" t="s">
        <v>91</v>
      </c>
      <c r="E7" s="3">
        <f>10000/10000</f>
        <v>1</v>
      </c>
      <c r="F7" s="2">
        <f>C7*E7</f>
        <v>2.25</v>
      </c>
      <c r="G7" s="2">
        <v>48.72</v>
      </c>
      <c r="H7" s="2">
        <f>F7*G7</f>
        <v>109.62</v>
      </c>
    </row>
    <row r="8" spans="1:12">
      <c r="B8" s="1" t="s">
        <v>22</v>
      </c>
      <c r="F8" s="4">
        <f>SUM(F6:F7)</f>
        <v>3.5</v>
      </c>
      <c r="H8" s="4">
        <f>SUM(H6:H7)</f>
        <v>170.52</v>
      </c>
      <c r="J8" s="5">
        <f>H8*1.17</f>
        <v>199.50839999999999</v>
      </c>
      <c r="L8" s="2"/>
    </row>
    <row r="9" spans="1:12">
      <c r="A9" s="1" t="s">
        <v>23</v>
      </c>
      <c r="B9" t="s">
        <v>31</v>
      </c>
      <c r="C9" s="2">
        <f>A3/1*1</f>
        <v>1</v>
      </c>
      <c r="D9" t="s">
        <v>21</v>
      </c>
      <c r="E9" s="3" t="s">
        <v>25</v>
      </c>
      <c r="F9" s="2" t="s">
        <v>25</v>
      </c>
      <c r="G9" s="2">
        <f>50</f>
        <v>50</v>
      </c>
      <c r="H9" s="2">
        <f>C9*G9</f>
        <v>50</v>
      </c>
      <c r="L9" s="2"/>
    </row>
    <row r="10" spans="1:12">
      <c r="B10" s="1" t="s">
        <v>32</v>
      </c>
      <c r="H10" s="4">
        <f>SUM(H9:H9)</f>
        <v>50</v>
      </c>
      <c r="J10" s="5">
        <f>H10*1.17</f>
        <v>58.5</v>
      </c>
      <c r="L10" s="2"/>
    </row>
    <row r="11" spans="1:12">
      <c r="A11" s="1" t="s">
        <v>33</v>
      </c>
      <c r="B11" s="1" t="s">
        <v>34</v>
      </c>
      <c r="H11" s="4">
        <f>H8+H10</f>
        <v>220.52</v>
      </c>
      <c r="J11" s="5">
        <f>H11*1.17</f>
        <v>258.00839999999999</v>
      </c>
      <c r="L11" s="5">
        <f>J11*1.21</f>
        <v>312.19016399999998</v>
      </c>
    </row>
    <row r="12" spans="1:12">
      <c r="L12" s="2"/>
    </row>
    <row r="13" spans="1:12">
      <c r="L13" s="2"/>
    </row>
    <row r="14" spans="1:12">
      <c r="L14" s="2"/>
    </row>
    <row r="15" spans="1:12">
      <c r="L15" s="2"/>
    </row>
    <row r="16" spans="1:12">
      <c r="J16" s="5"/>
      <c r="L16" s="2"/>
    </row>
    <row r="17" spans="10:12">
      <c r="J17" s="5"/>
      <c r="L17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8F06-CBEE-42DD-B40E-C177DE44C427}">
  <dimension ref="A1:L17"/>
  <sheetViews>
    <sheetView workbookViewId="0">
      <selection activeCell="D30" sqref="D30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93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90</v>
      </c>
      <c r="C6" s="2">
        <f>A3/1*350/1000</f>
        <v>0.35</v>
      </c>
      <c r="D6" t="s">
        <v>91</v>
      </c>
      <c r="E6" s="3">
        <f>10000/10000</f>
        <v>1</v>
      </c>
      <c r="F6" s="2">
        <f>C6*E6</f>
        <v>0.35</v>
      </c>
      <c r="G6" s="2">
        <v>48.72</v>
      </c>
      <c r="H6" s="2">
        <f>F6*G6</f>
        <v>17.052</v>
      </c>
    </row>
    <row r="7" spans="1:12">
      <c r="B7" t="s">
        <v>92</v>
      </c>
      <c r="C7" s="2">
        <f>A3/1*750/1000</f>
        <v>0.75</v>
      </c>
      <c r="D7" t="s">
        <v>91</v>
      </c>
      <c r="E7" s="3">
        <f>10000/10000</f>
        <v>1</v>
      </c>
      <c r="F7" s="2">
        <f>C7*E7</f>
        <v>0.75</v>
      </c>
      <c r="G7" s="2">
        <v>48.72</v>
      </c>
      <c r="H7" s="2">
        <f>F7*G7</f>
        <v>36.54</v>
      </c>
    </row>
    <row r="8" spans="1:12">
      <c r="B8" s="1" t="s">
        <v>22</v>
      </c>
      <c r="F8" s="4">
        <f>SUM(F6:F7)</f>
        <v>1.1000000000000001</v>
      </c>
      <c r="H8" s="4">
        <f>SUM(H6:H7)</f>
        <v>53.591999999999999</v>
      </c>
      <c r="J8" s="5">
        <f>H8*1.17</f>
        <v>62.702639999999995</v>
      </c>
      <c r="L8" s="2"/>
    </row>
    <row r="9" spans="1:12">
      <c r="A9" s="1" t="s">
        <v>23</v>
      </c>
      <c r="B9" t="s">
        <v>31</v>
      </c>
      <c r="C9" s="2">
        <f>A3/1*1</f>
        <v>1</v>
      </c>
      <c r="D9" t="s">
        <v>21</v>
      </c>
      <c r="E9" s="3" t="s">
        <v>25</v>
      </c>
      <c r="F9" s="2" t="s">
        <v>25</v>
      </c>
      <c r="G9" s="2">
        <f>10</f>
        <v>10</v>
      </c>
      <c r="H9" s="2">
        <f>C9*G9</f>
        <v>10</v>
      </c>
      <c r="L9" s="2"/>
    </row>
    <row r="10" spans="1:12">
      <c r="B10" s="1" t="s">
        <v>32</v>
      </c>
      <c r="H10" s="4">
        <f>SUM(H9:H9)</f>
        <v>10</v>
      </c>
      <c r="J10" s="5">
        <f>H10*1.17</f>
        <v>11.7</v>
      </c>
      <c r="L10" s="2"/>
    </row>
    <row r="11" spans="1:12">
      <c r="A11" s="1" t="s">
        <v>33</v>
      </c>
      <c r="B11" s="1" t="s">
        <v>34</v>
      </c>
      <c r="H11" s="4">
        <f>H8+H10</f>
        <v>63.591999999999999</v>
      </c>
      <c r="J11" s="5">
        <f>H11*1.17</f>
        <v>74.402639999999991</v>
      </c>
      <c r="L11" s="5">
        <f>J11*1.21</f>
        <v>90.027194399999985</v>
      </c>
    </row>
    <row r="12" spans="1:12">
      <c r="L12" s="2"/>
    </row>
    <row r="13" spans="1:12">
      <c r="L13" s="2"/>
    </row>
    <row r="14" spans="1:12">
      <c r="L14" s="2"/>
    </row>
    <row r="15" spans="1:12">
      <c r="L15" s="2"/>
    </row>
    <row r="16" spans="1:12">
      <c r="J16" s="5"/>
      <c r="L16" s="2"/>
    </row>
    <row r="17" spans="10:12">
      <c r="J17" s="5"/>
      <c r="L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0259-77AC-4509-87BA-69A9268EE385}">
  <dimension ref="A1:L24"/>
  <sheetViews>
    <sheetView workbookViewId="0">
      <selection activeCell="L24" sqref="L24"/>
    </sheetView>
  </sheetViews>
  <sheetFormatPr defaultRowHeight="15"/>
  <cols>
    <col min="1" max="1" width="17.85546875" customWidth="1"/>
    <col min="2" max="2" width="6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2" max="12" width="9.140625" style="2"/>
  </cols>
  <sheetData>
    <row r="1" spans="1:10">
      <c r="A1" s="1" t="s">
        <v>35</v>
      </c>
    </row>
    <row r="3" spans="1:10">
      <c r="A3">
        <v>1</v>
      </c>
      <c r="B3" t="s">
        <v>1</v>
      </c>
    </row>
    <row r="5" spans="1:10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0">
      <c r="A6" s="1" t="s">
        <v>10</v>
      </c>
      <c r="B6" t="s">
        <v>11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4" si="0">C6*E6</f>
        <v>0.1</v>
      </c>
      <c r="G6" s="2">
        <v>52.2</v>
      </c>
      <c r="H6" s="2">
        <f t="shared" ref="H6:H14" si="1">F6*G6</f>
        <v>5.2200000000000006</v>
      </c>
    </row>
    <row r="7" spans="1:10">
      <c r="B7" t="s">
        <v>12</v>
      </c>
      <c r="C7" s="2">
        <f>A3/1*1000/1000</f>
        <v>1</v>
      </c>
      <c r="D7" t="s">
        <v>1</v>
      </c>
      <c r="E7" s="3">
        <f>1000/10000</f>
        <v>0.1</v>
      </c>
      <c r="F7" s="2">
        <f t="shared" si="0"/>
        <v>0.1</v>
      </c>
      <c r="G7" s="2">
        <v>52.2</v>
      </c>
      <c r="H7" s="2">
        <f t="shared" si="1"/>
        <v>5.2200000000000006</v>
      </c>
    </row>
    <row r="8" spans="1:10">
      <c r="B8" t="s">
        <v>36</v>
      </c>
      <c r="C8" s="2">
        <f>A3/1*1000/1000</f>
        <v>1</v>
      </c>
      <c r="D8" t="s">
        <v>1</v>
      </c>
      <c r="E8" s="3">
        <f>6000/10000</f>
        <v>0.6</v>
      </c>
      <c r="F8" s="2">
        <f t="shared" si="0"/>
        <v>0.6</v>
      </c>
      <c r="G8" s="2">
        <v>52.2</v>
      </c>
      <c r="H8" s="2">
        <f t="shared" si="1"/>
        <v>31.32</v>
      </c>
    </row>
    <row r="9" spans="1:10">
      <c r="B9" t="s">
        <v>14</v>
      </c>
      <c r="C9" s="2">
        <f>A3/1*1000/1000</f>
        <v>1</v>
      </c>
      <c r="D9" t="s">
        <v>1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10">
      <c r="B10" t="s">
        <v>15</v>
      </c>
      <c r="C10" s="2">
        <f>A3/1*1000/1000</f>
        <v>1</v>
      </c>
      <c r="D10" t="s">
        <v>1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0">
      <c r="B11" t="s">
        <v>16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v>52.2</v>
      </c>
      <c r="H11" s="2">
        <f t="shared" si="1"/>
        <v>5.2200000000000006</v>
      </c>
    </row>
    <row r="12" spans="1:10">
      <c r="B12" t="s">
        <v>17</v>
      </c>
      <c r="C12" s="2">
        <f>A3/1*6000/1000</f>
        <v>6</v>
      </c>
      <c r="D12" t="s">
        <v>18</v>
      </c>
      <c r="E12" s="3">
        <f>3000/10000</f>
        <v>0.3</v>
      </c>
      <c r="F12" s="2">
        <f t="shared" si="0"/>
        <v>1.7999999999999998</v>
      </c>
      <c r="G12" s="2">
        <v>52.2</v>
      </c>
      <c r="H12" s="2">
        <f t="shared" si="1"/>
        <v>93.96</v>
      </c>
    </row>
    <row r="13" spans="1:10">
      <c r="B13" t="s">
        <v>19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v>52.2</v>
      </c>
      <c r="H13" s="2">
        <f t="shared" si="1"/>
        <v>15.66</v>
      </c>
    </row>
    <row r="14" spans="1:10">
      <c r="B14" t="s">
        <v>20</v>
      </c>
      <c r="C14" s="2">
        <f>A3/1*1000/1000</f>
        <v>1</v>
      </c>
      <c r="D14" t="s">
        <v>21</v>
      </c>
      <c r="E14" s="3">
        <f>2000/10000</f>
        <v>0.2</v>
      </c>
      <c r="F14" s="2">
        <f t="shared" si="0"/>
        <v>0.2</v>
      </c>
      <c r="G14" s="2">
        <v>48.72</v>
      </c>
      <c r="H14" s="2">
        <f t="shared" si="1"/>
        <v>9.7439999999999998</v>
      </c>
    </row>
    <row r="15" spans="1:10">
      <c r="B15" s="1" t="s">
        <v>22</v>
      </c>
      <c r="F15" s="4">
        <f>SUM(F6:F14)</f>
        <v>4.05</v>
      </c>
      <c r="H15" s="4">
        <f>SUM(H6:H14)</f>
        <v>210.714</v>
      </c>
      <c r="J15" s="5">
        <f>H15*1.17</f>
        <v>246.53537999999998</v>
      </c>
    </row>
    <row r="16" spans="1:10">
      <c r="A16" s="1" t="s">
        <v>23</v>
      </c>
      <c r="B16" t="s">
        <v>37</v>
      </c>
      <c r="C16" s="2">
        <f>A3/1*1</f>
        <v>1</v>
      </c>
      <c r="D16" t="s">
        <v>1</v>
      </c>
      <c r="E16" s="3" t="s">
        <v>25</v>
      </c>
      <c r="F16" s="2" t="s">
        <v>25</v>
      </c>
      <c r="G16" s="2">
        <f>1043</f>
        <v>1043</v>
      </c>
      <c r="H16" s="2">
        <f t="shared" ref="H16:H22" si="2">C16*G16</f>
        <v>1043</v>
      </c>
    </row>
    <row r="17" spans="1:12">
      <c r="B17" t="s">
        <v>26</v>
      </c>
      <c r="C17" s="2">
        <f>A3/1*6</f>
        <v>6</v>
      </c>
      <c r="D17" t="s">
        <v>18</v>
      </c>
      <c r="E17" s="3" t="s">
        <v>25</v>
      </c>
      <c r="F17" s="2" t="s">
        <v>25</v>
      </c>
      <c r="G17" s="2">
        <f>(293/100)</f>
        <v>2.93</v>
      </c>
      <c r="H17" s="2">
        <f t="shared" si="2"/>
        <v>17.580000000000002</v>
      </c>
    </row>
    <row r="18" spans="1:12">
      <c r="B18" t="s">
        <v>27</v>
      </c>
      <c r="C18" s="2">
        <f>A3/1*(75/10)</f>
        <v>7.5</v>
      </c>
      <c r="D18" t="s">
        <v>18</v>
      </c>
      <c r="E18" s="3" t="s">
        <v>25</v>
      </c>
      <c r="F18" s="2" t="s">
        <v>25</v>
      </c>
      <c r="G18" s="2">
        <f>(321/100)</f>
        <v>3.21</v>
      </c>
      <c r="H18" s="2">
        <f t="shared" si="2"/>
        <v>24.074999999999999</v>
      </c>
    </row>
    <row r="19" spans="1:12">
      <c r="B19" t="s">
        <v>28</v>
      </c>
      <c r="C19" s="2">
        <f>A3/1*1</f>
        <v>1</v>
      </c>
      <c r="D19" t="s">
        <v>1</v>
      </c>
      <c r="E19" s="3" t="s">
        <v>25</v>
      </c>
      <c r="F19" s="2" t="s">
        <v>25</v>
      </c>
      <c r="G19" s="2">
        <f>(618/100)</f>
        <v>6.18</v>
      </c>
      <c r="H19" s="2">
        <f t="shared" si="2"/>
        <v>6.18</v>
      </c>
    </row>
    <row r="20" spans="1:12">
      <c r="B20" t="s">
        <v>30</v>
      </c>
      <c r="C20" s="2">
        <f>A3/1*1</f>
        <v>1</v>
      </c>
      <c r="D20" t="s">
        <v>18</v>
      </c>
      <c r="E20" s="3" t="s">
        <v>25</v>
      </c>
      <c r="F20" s="2" t="s">
        <v>25</v>
      </c>
      <c r="G20" s="2">
        <f>(1306/100)</f>
        <v>13.06</v>
      </c>
      <c r="H20" s="2">
        <f t="shared" si="2"/>
        <v>13.06</v>
      </c>
    </row>
    <row r="21" spans="1:12">
      <c r="B21" t="s">
        <v>29</v>
      </c>
      <c r="C21" s="2">
        <f>A3/1*1</f>
        <v>1</v>
      </c>
      <c r="D21" t="s">
        <v>18</v>
      </c>
      <c r="E21" s="3" t="s">
        <v>25</v>
      </c>
      <c r="F21" s="2" t="s">
        <v>25</v>
      </c>
      <c r="G21" s="2">
        <f>(1045/100)</f>
        <v>10.45</v>
      </c>
      <c r="H21" s="2">
        <f t="shared" si="2"/>
        <v>10.45</v>
      </c>
    </row>
    <row r="22" spans="1:12">
      <c r="B22" t="s">
        <v>31</v>
      </c>
      <c r="C22" s="2">
        <f>A3/1*1</f>
        <v>1</v>
      </c>
      <c r="D22" t="s">
        <v>21</v>
      </c>
      <c r="E22" s="3" t="s">
        <v>25</v>
      </c>
      <c r="F22" s="2" t="s">
        <v>25</v>
      </c>
      <c r="G22" s="2">
        <f>25</f>
        <v>25</v>
      </c>
      <c r="H22" s="2">
        <f t="shared" si="2"/>
        <v>25</v>
      </c>
    </row>
    <row r="23" spans="1:12">
      <c r="B23" s="1" t="s">
        <v>32</v>
      </c>
      <c r="H23" s="4">
        <f>SUM(H16:H22)</f>
        <v>1139.345</v>
      </c>
      <c r="J23" s="5">
        <f>H23*1.17</f>
        <v>1333.0336499999999</v>
      </c>
    </row>
    <row r="24" spans="1:12">
      <c r="A24" s="1" t="s">
        <v>33</v>
      </c>
      <c r="B24" s="1" t="s">
        <v>34</v>
      </c>
      <c r="H24" s="4">
        <f>H15+H23</f>
        <v>1350.059</v>
      </c>
      <c r="J24" s="5">
        <f>H24*1.17</f>
        <v>1579.5690299999999</v>
      </c>
      <c r="L24" s="5">
        <f>J24*1.21</f>
        <v>1911.2785262999998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C288-0826-4876-A89C-5F726452D3A9}">
  <dimension ref="A1:L24"/>
  <sheetViews>
    <sheetView workbookViewId="0">
      <selection activeCell="J24" activeCellId="2" sqref="J15 J23 J24"/>
    </sheetView>
  </sheetViews>
  <sheetFormatPr defaultRowHeight="15"/>
  <cols>
    <col min="1" max="1" width="17.85546875" customWidth="1"/>
    <col min="2" max="2" width="6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38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11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4" si="0">C6*E6</f>
        <v>0.1</v>
      </c>
      <c r="G6" s="2">
        <v>52.2</v>
      </c>
      <c r="H6" s="2">
        <f t="shared" ref="H6:H14" si="1">F6*G6</f>
        <v>5.2200000000000006</v>
      </c>
    </row>
    <row r="7" spans="1:12">
      <c r="B7" t="s">
        <v>12</v>
      </c>
      <c r="C7" s="2">
        <f>A3/1*1000/1000</f>
        <v>1</v>
      </c>
      <c r="D7" t="s">
        <v>1</v>
      </c>
      <c r="E7" s="3">
        <f>1000/10000</f>
        <v>0.1</v>
      </c>
      <c r="F7" s="2">
        <f t="shared" si="0"/>
        <v>0.1</v>
      </c>
      <c r="G7" s="2">
        <v>52.2</v>
      </c>
      <c r="H7" s="2">
        <f t="shared" si="1"/>
        <v>5.2200000000000006</v>
      </c>
    </row>
    <row r="8" spans="1:12">
      <c r="B8" t="s">
        <v>36</v>
      </c>
      <c r="C8" s="2">
        <f>A3/1*1000/1000</f>
        <v>1</v>
      </c>
      <c r="D8" t="s">
        <v>1</v>
      </c>
      <c r="E8" s="3">
        <f>6000/10000</f>
        <v>0.6</v>
      </c>
      <c r="F8" s="2">
        <f t="shared" si="0"/>
        <v>0.6</v>
      </c>
      <c r="G8" s="2">
        <v>52.2</v>
      </c>
      <c r="H8" s="2">
        <f t="shared" si="1"/>
        <v>31.32</v>
      </c>
    </row>
    <row r="9" spans="1:12">
      <c r="B9" t="s">
        <v>14</v>
      </c>
      <c r="C9" s="2">
        <f>A3/1*1000/1000</f>
        <v>1</v>
      </c>
      <c r="D9" t="s">
        <v>1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12">
      <c r="B10" t="s">
        <v>15</v>
      </c>
      <c r="C10" s="2">
        <f>A3/1*1000/1000</f>
        <v>1</v>
      </c>
      <c r="D10" t="s">
        <v>1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2">
      <c r="B11" t="s">
        <v>16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v>52.2</v>
      </c>
      <c r="H11" s="2">
        <f t="shared" si="1"/>
        <v>5.2200000000000006</v>
      </c>
    </row>
    <row r="12" spans="1:12">
      <c r="B12" t="s">
        <v>17</v>
      </c>
      <c r="C12" s="2">
        <f>A3/1*6000/1000</f>
        <v>6</v>
      </c>
      <c r="D12" t="s">
        <v>18</v>
      </c>
      <c r="E12" s="3">
        <f>3000/10000</f>
        <v>0.3</v>
      </c>
      <c r="F12" s="2">
        <f t="shared" si="0"/>
        <v>1.7999999999999998</v>
      </c>
      <c r="G12" s="2">
        <v>52.2</v>
      </c>
      <c r="H12" s="2">
        <f t="shared" si="1"/>
        <v>93.96</v>
      </c>
    </row>
    <row r="13" spans="1:12">
      <c r="B13" t="s">
        <v>19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v>52.2</v>
      </c>
      <c r="H13" s="2">
        <f t="shared" si="1"/>
        <v>15.66</v>
      </c>
    </row>
    <row r="14" spans="1:12">
      <c r="B14" t="s">
        <v>20</v>
      </c>
      <c r="C14" s="2">
        <f>A3/1*1000/1000</f>
        <v>1</v>
      </c>
      <c r="D14" t="s">
        <v>21</v>
      </c>
      <c r="E14" s="3">
        <f>2000/10000</f>
        <v>0.2</v>
      </c>
      <c r="F14" s="2">
        <f t="shared" si="0"/>
        <v>0.2</v>
      </c>
      <c r="G14" s="2">
        <v>52.2</v>
      </c>
      <c r="H14" s="2">
        <f t="shared" si="1"/>
        <v>10.440000000000001</v>
      </c>
    </row>
    <row r="15" spans="1:12">
      <c r="B15" s="1" t="s">
        <v>22</v>
      </c>
      <c r="F15" s="4">
        <f>SUM(F6:F14)</f>
        <v>4.05</v>
      </c>
      <c r="H15" s="4">
        <f>SUM(H6:H14)</f>
        <v>211.41</v>
      </c>
      <c r="J15" s="5">
        <f>H15*1.17</f>
        <v>247.34969999999998</v>
      </c>
      <c r="L15" s="2"/>
    </row>
    <row r="16" spans="1:12">
      <c r="A16" s="1" t="s">
        <v>23</v>
      </c>
      <c r="B16" t="s">
        <v>39</v>
      </c>
      <c r="C16" s="2">
        <f>A3/1*1</f>
        <v>1</v>
      </c>
      <c r="D16" t="s">
        <v>1</v>
      </c>
      <c r="E16" s="3" t="s">
        <v>25</v>
      </c>
      <c r="F16" s="2" t="s">
        <v>25</v>
      </c>
      <c r="G16" s="2">
        <f>1292</f>
        <v>1292</v>
      </c>
      <c r="H16" s="2">
        <f t="shared" ref="H16:H22" si="2">C16*G16</f>
        <v>1292</v>
      </c>
      <c r="L16" s="2"/>
    </row>
    <row r="17" spans="1:12">
      <c r="B17" t="s">
        <v>26</v>
      </c>
      <c r="C17" s="2">
        <f>A3/1*6</f>
        <v>6</v>
      </c>
      <c r="D17" t="s">
        <v>18</v>
      </c>
      <c r="E17" s="3" t="s">
        <v>25</v>
      </c>
      <c r="F17" s="2" t="s">
        <v>25</v>
      </c>
      <c r="G17" s="2">
        <f>(293/100)</f>
        <v>2.93</v>
      </c>
      <c r="H17" s="2">
        <f t="shared" si="2"/>
        <v>17.580000000000002</v>
      </c>
      <c r="L17" s="2"/>
    </row>
    <row r="18" spans="1:12">
      <c r="B18" t="s">
        <v>27</v>
      </c>
      <c r="C18" s="2">
        <f>A3/1*(75/10)</f>
        <v>7.5</v>
      </c>
      <c r="D18" t="s">
        <v>18</v>
      </c>
      <c r="E18" s="3" t="s">
        <v>25</v>
      </c>
      <c r="F18" s="2" t="s">
        <v>25</v>
      </c>
      <c r="G18" s="2">
        <f>(321/100)</f>
        <v>3.21</v>
      </c>
      <c r="H18" s="2">
        <f t="shared" si="2"/>
        <v>24.074999999999999</v>
      </c>
      <c r="L18" s="2"/>
    </row>
    <row r="19" spans="1:12">
      <c r="B19" t="s">
        <v>28</v>
      </c>
      <c r="C19" s="2">
        <f>A3/1*1</f>
        <v>1</v>
      </c>
      <c r="D19" t="s">
        <v>1</v>
      </c>
      <c r="E19" s="3" t="s">
        <v>25</v>
      </c>
      <c r="F19" s="2" t="s">
        <v>25</v>
      </c>
      <c r="G19" s="2">
        <f>(618/100)</f>
        <v>6.18</v>
      </c>
      <c r="H19" s="2">
        <f t="shared" si="2"/>
        <v>6.18</v>
      </c>
      <c r="L19" s="2"/>
    </row>
    <row r="20" spans="1:12">
      <c r="B20" t="s">
        <v>30</v>
      </c>
      <c r="C20" s="2">
        <f>A3/1*1</f>
        <v>1</v>
      </c>
      <c r="D20" t="s">
        <v>18</v>
      </c>
      <c r="E20" s="3" t="s">
        <v>25</v>
      </c>
      <c r="F20" s="2" t="s">
        <v>25</v>
      </c>
      <c r="G20" s="2">
        <f>(1306/100)</f>
        <v>13.06</v>
      </c>
      <c r="H20" s="2">
        <f t="shared" si="2"/>
        <v>13.06</v>
      </c>
      <c r="L20" s="2"/>
    </row>
    <row r="21" spans="1:12">
      <c r="B21" t="s">
        <v>29</v>
      </c>
      <c r="C21" s="2">
        <f>A3/1*1</f>
        <v>1</v>
      </c>
      <c r="D21" t="s">
        <v>18</v>
      </c>
      <c r="E21" s="3" t="s">
        <v>25</v>
      </c>
      <c r="F21" s="2" t="s">
        <v>25</v>
      </c>
      <c r="G21" s="2">
        <f>(1045/100)</f>
        <v>10.45</v>
      </c>
      <c r="H21" s="2">
        <f t="shared" si="2"/>
        <v>10.45</v>
      </c>
      <c r="L21" s="2"/>
    </row>
    <row r="22" spans="1:12">
      <c r="B22" t="s">
        <v>31</v>
      </c>
      <c r="C22" s="2">
        <f>A3/1*1</f>
        <v>1</v>
      </c>
      <c r="D22" t="s">
        <v>21</v>
      </c>
      <c r="E22" s="3" t="s">
        <v>25</v>
      </c>
      <c r="F22" s="2" t="s">
        <v>25</v>
      </c>
      <c r="G22" s="2">
        <f>25</f>
        <v>25</v>
      </c>
      <c r="H22" s="2">
        <f t="shared" si="2"/>
        <v>25</v>
      </c>
      <c r="L22" s="2"/>
    </row>
    <row r="23" spans="1:12">
      <c r="B23" s="1" t="s">
        <v>32</v>
      </c>
      <c r="H23" s="4">
        <f>SUM(H16:H22)</f>
        <v>1388.345</v>
      </c>
      <c r="J23" s="5">
        <f>H23*1.17</f>
        <v>1624.36365</v>
      </c>
      <c r="L23" s="2"/>
    </row>
    <row r="24" spans="1:12">
      <c r="A24" s="1" t="s">
        <v>33</v>
      </c>
      <c r="B24" s="1" t="s">
        <v>34</v>
      </c>
      <c r="H24" s="4">
        <f>H15+H23</f>
        <v>1599.7550000000001</v>
      </c>
      <c r="J24" s="5">
        <f>H24*1.17</f>
        <v>1871.71335</v>
      </c>
      <c r="L24" s="5">
        <f>J24*1.21</f>
        <v>2264.7731534999998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5EA9-67D9-431D-BD32-6FF14F2F6F13}">
  <dimension ref="A1:L25"/>
  <sheetViews>
    <sheetView workbookViewId="0">
      <selection activeCell="H24" sqref="H24"/>
    </sheetView>
  </sheetViews>
  <sheetFormatPr defaultRowHeight="15"/>
  <cols>
    <col min="1" max="1" width="17.85546875" customWidth="1"/>
    <col min="2" max="2" width="83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40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41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4" si="0">C6*E6</f>
        <v>0.1</v>
      </c>
      <c r="G6" s="2">
        <v>52.2</v>
      </c>
      <c r="H6" s="2">
        <f t="shared" ref="H6:H14" si="1">F6*G6</f>
        <v>5.2200000000000006</v>
      </c>
    </row>
    <row r="7" spans="1:12">
      <c r="B7" t="s">
        <v>42</v>
      </c>
      <c r="C7" s="2">
        <f>A3/1*1000/1000</f>
        <v>1</v>
      </c>
      <c r="D7" t="s">
        <v>1</v>
      </c>
      <c r="E7" s="3">
        <f>5000/10000</f>
        <v>0.5</v>
      </c>
      <c r="F7" s="2">
        <f t="shared" si="0"/>
        <v>0.5</v>
      </c>
      <c r="G7" s="2">
        <v>52.2</v>
      </c>
      <c r="H7" s="2">
        <f t="shared" si="1"/>
        <v>26.1</v>
      </c>
    </row>
    <row r="8" spans="1:12">
      <c r="B8" t="s">
        <v>13</v>
      </c>
      <c r="C8" s="2">
        <f>A3/1*1000/1000</f>
        <v>1</v>
      </c>
      <c r="D8" t="s">
        <v>1</v>
      </c>
      <c r="E8" s="3">
        <f>25000/10000</f>
        <v>2.5</v>
      </c>
      <c r="F8" s="2">
        <v>2.5499999999999998</v>
      </c>
      <c r="G8" s="2">
        <v>52.2</v>
      </c>
      <c r="H8" s="2">
        <f t="shared" si="1"/>
        <v>133.10999999999999</v>
      </c>
    </row>
    <row r="9" spans="1:12">
      <c r="B9" t="s">
        <v>43</v>
      </c>
      <c r="C9" s="2">
        <f>A3/1*1000/1000</f>
        <v>1</v>
      </c>
      <c r="D9" t="s">
        <v>1</v>
      </c>
      <c r="E9" s="3">
        <f>12500/10000</f>
        <v>1.25</v>
      </c>
      <c r="F9" s="2">
        <f t="shared" si="0"/>
        <v>1.25</v>
      </c>
      <c r="G9" s="2">
        <v>52.2</v>
      </c>
      <c r="H9" s="2">
        <f t="shared" si="1"/>
        <v>65.25</v>
      </c>
    </row>
    <row r="10" spans="1:12">
      <c r="B10" t="s">
        <v>15</v>
      </c>
      <c r="C10" s="2">
        <f>A3/1*1000/1000</f>
        <v>1</v>
      </c>
      <c r="D10" t="s">
        <v>1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2">
      <c r="B11" t="s">
        <v>16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v>52.2</v>
      </c>
      <c r="H11" s="2">
        <f t="shared" si="1"/>
        <v>5.2200000000000006</v>
      </c>
    </row>
    <row r="12" spans="1:12">
      <c r="B12" t="s">
        <v>17</v>
      </c>
      <c r="C12" s="2">
        <f>A3/1*6000/1000</f>
        <v>6</v>
      </c>
      <c r="D12" t="s">
        <v>18</v>
      </c>
      <c r="E12" s="3">
        <f>3000/10000</f>
        <v>0.3</v>
      </c>
      <c r="F12" s="2">
        <f t="shared" si="0"/>
        <v>1.7999999999999998</v>
      </c>
      <c r="G12" s="2">
        <v>52.2</v>
      </c>
      <c r="H12" s="2">
        <f t="shared" si="1"/>
        <v>93.96</v>
      </c>
    </row>
    <row r="13" spans="1:12">
      <c r="B13" t="s">
        <v>19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v>52.2</v>
      </c>
      <c r="H13" s="2">
        <f t="shared" si="1"/>
        <v>15.66</v>
      </c>
    </row>
    <row r="14" spans="1:12">
      <c r="B14" t="s">
        <v>20</v>
      </c>
      <c r="C14" s="2">
        <f>A3/1*1000/1000</f>
        <v>1</v>
      </c>
      <c r="D14" t="s">
        <v>21</v>
      </c>
      <c r="E14" s="3">
        <f>2000/10000</f>
        <v>0.2</v>
      </c>
      <c r="F14" s="2">
        <f t="shared" si="0"/>
        <v>0.2</v>
      </c>
      <c r="G14" s="2">
        <v>48.72</v>
      </c>
      <c r="H14" s="2">
        <f t="shared" si="1"/>
        <v>9.7439999999999998</v>
      </c>
    </row>
    <row r="15" spans="1:12">
      <c r="B15" s="1" t="s">
        <v>22</v>
      </c>
      <c r="F15" s="4">
        <f>SUM(F6:F14)</f>
        <v>6.8999999999999995</v>
      </c>
      <c r="H15" s="4">
        <f>SUM(H6:H14)</f>
        <v>359.48400000000004</v>
      </c>
      <c r="J15" s="5">
        <f>H15*1.17</f>
        <v>420.59628000000004</v>
      </c>
      <c r="L15" s="2"/>
    </row>
    <row r="16" spans="1:12">
      <c r="A16" s="1" t="s">
        <v>23</v>
      </c>
      <c r="B16" t="s">
        <v>44</v>
      </c>
      <c r="C16" s="2">
        <f>A3/1*1</f>
        <v>1</v>
      </c>
      <c r="D16" t="s">
        <v>1</v>
      </c>
      <c r="E16" s="3" t="s">
        <v>25</v>
      </c>
      <c r="F16" s="2" t="s">
        <v>25</v>
      </c>
      <c r="G16" s="2">
        <f>(30157/10)</f>
        <v>3015.7</v>
      </c>
      <c r="H16" s="2">
        <f t="shared" ref="H16:H22" si="2">C16*G16</f>
        <v>3015.7</v>
      </c>
      <c r="L16" s="2"/>
    </row>
    <row r="17" spans="1:12">
      <c r="B17" t="s">
        <v>26</v>
      </c>
      <c r="C17" s="2">
        <f>A3/1*6</f>
        <v>6</v>
      </c>
      <c r="D17" t="s">
        <v>18</v>
      </c>
      <c r="E17" s="3" t="s">
        <v>25</v>
      </c>
      <c r="F17" s="2" t="s">
        <v>25</v>
      </c>
      <c r="G17" s="2">
        <f>(293/100)</f>
        <v>2.93</v>
      </c>
      <c r="H17" s="2">
        <f t="shared" si="2"/>
        <v>17.580000000000002</v>
      </c>
      <c r="L17" s="2"/>
    </row>
    <row r="18" spans="1:12">
      <c r="B18" t="s">
        <v>28</v>
      </c>
      <c r="C18" s="2">
        <f>A3/1*1</f>
        <v>1</v>
      </c>
      <c r="D18" t="s">
        <v>1</v>
      </c>
      <c r="E18" s="3" t="s">
        <v>25</v>
      </c>
      <c r="F18" s="2" t="s">
        <v>25</v>
      </c>
      <c r="G18" s="2">
        <f>(618/100)</f>
        <v>6.18</v>
      </c>
      <c r="H18" s="2">
        <f t="shared" si="2"/>
        <v>6.18</v>
      </c>
      <c r="L18" s="2"/>
    </row>
    <row r="19" spans="1:12">
      <c r="B19" t="s">
        <v>27</v>
      </c>
      <c r="C19" s="2">
        <f>A3/1*(75/10)</f>
        <v>7.5</v>
      </c>
      <c r="D19" t="s">
        <v>18</v>
      </c>
      <c r="E19" s="3" t="s">
        <v>25</v>
      </c>
      <c r="F19" s="2" t="s">
        <v>25</v>
      </c>
      <c r="G19" s="2">
        <f>(321/100)</f>
        <v>3.21</v>
      </c>
      <c r="H19" s="2">
        <f t="shared" si="2"/>
        <v>24.074999999999999</v>
      </c>
      <c r="L19" s="2"/>
    </row>
    <row r="20" spans="1:12">
      <c r="B20" t="s">
        <v>30</v>
      </c>
      <c r="C20" s="2">
        <f>A3/1*1</f>
        <v>1</v>
      </c>
      <c r="D20" t="s">
        <v>18</v>
      </c>
      <c r="E20" s="3" t="s">
        <v>25</v>
      </c>
      <c r="F20" s="2" t="s">
        <v>25</v>
      </c>
      <c r="G20" s="2">
        <f>(1306/100)</f>
        <v>13.06</v>
      </c>
      <c r="H20" s="2">
        <f t="shared" si="2"/>
        <v>13.06</v>
      </c>
      <c r="L20" s="2"/>
    </row>
    <row r="21" spans="1:12">
      <c r="B21" t="s">
        <v>29</v>
      </c>
      <c r="C21" s="2">
        <f>A3/1*1</f>
        <v>1</v>
      </c>
      <c r="D21" t="s">
        <v>18</v>
      </c>
      <c r="E21" s="3" t="s">
        <v>25</v>
      </c>
      <c r="F21" s="2" t="s">
        <v>25</v>
      </c>
      <c r="G21" s="2">
        <f>(1045/100)</f>
        <v>10.45</v>
      </c>
      <c r="H21" s="2">
        <f t="shared" si="2"/>
        <v>10.45</v>
      </c>
      <c r="L21" s="2"/>
    </row>
    <row r="22" spans="1:12">
      <c r="B22" t="s">
        <v>31</v>
      </c>
      <c r="C22" s="2">
        <f>A3/1*1</f>
        <v>1</v>
      </c>
      <c r="D22" t="s">
        <v>21</v>
      </c>
      <c r="E22" s="3" t="s">
        <v>25</v>
      </c>
      <c r="F22" s="2" t="s">
        <v>25</v>
      </c>
      <c r="G22" s="2">
        <v>40</v>
      </c>
      <c r="H22" s="2">
        <f t="shared" si="2"/>
        <v>40</v>
      </c>
      <c r="L22" s="2"/>
    </row>
    <row r="23" spans="1:12">
      <c r="B23" t="s">
        <v>94</v>
      </c>
      <c r="C23" s="2"/>
      <c r="E23" s="3"/>
      <c r="F23" s="2"/>
      <c r="G23" s="2">
        <v>59.14</v>
      </c>
      <c r="H23" s="2">
        <v>59.14</v>
      </c>
      <c r="L23" s="2"/>
    </row>
    <row r="24" spans="1:12">
      <c r="B24" s="1" t="s">
        <v>32</v>
      </c>
      <c r="H24" s="4">
        <f>SUM(H16:H23)</f>
        <v>3186.184999999999</v>
      </c>
      <c r="J24" s="5">
        <f>H24*1.17</f>
        <v>3727.8364499999984</v>
      </c>
      <c r="L24" s="2"/>
    </row>
    <row r="25" spans="1:12">
      <c r="A25" s="1" t="s">
        <v>33</v>
      </c>
      <c r="B25" s="1" t="s">
        <v>34</v>
      </c>
      <c r="H25" s="4">
        <f>H15+H24</f>
        <v>3545.668999999999</v>
      </c>
      <c r="J25" s="5">
        <f>H25*1.17</f>
        <v>4148.4327299999986</v>
      </c>
      <c r="L25" s="5">
        <f>J25*1.21</f>
        <v>5019.6036032999982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A9A6-9CA1-4645-8919-1881DF41C59F}">
  <dimension ref="A1:L24"/>
  <sheetViews>
    <sheetView tabSelected="1" workbookViewId="0">
      <selection activeCell="I22" sqref="I22"/>
    </sheetView>
  </sheetViews>
  <sheetFormatPr defaultRowHeight="15"/>
  <cols>
    <col min="1" max="1" width="17.85546875" customWidth="1"/>
    <col min="2" max="2" width="8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45</v>
      </c>
    </row>
    <row r="3" spans="1:12">
      <c r="A3">
        <v>1</v>
      </c>
      <c r="B3" t="s">
        <v>1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41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3" si="0">C6*E6</f>
        <v>0.1</v>
      </c>
      <c r="G6" s="2">
        <v>52.2</v>
      </c>
      <c r="H6" s="2">
        <f t="shared" ref="H6:H13" si="1">F6*G6</f>
        <v>5.2200000000000006</v>
      </c>
    </row>
    <row r="7" spans="1:12">
      <c r="B7" t="s">
        <v>42</v>
      </c>
      <c r="C7" s="2">
        <f>A3/1*1000/1000</f>
        <v>1</v>
      </c>
      <c r="D7" t="s">
        <v>1</v>
      </c>
      <c r="E7" s="3">
        <f>5000/10000</f>
        <v>0.5</v>
      </c>
      <c r="F7" s="2">
        <f t="shared" si="0"/>
        <v>0.5</v>
      </c>
      <c r="G7" s="2">
        <v>52.2</v>
      </c>
      <c r="H7" s="2">
        <f t="shared" si="1"/>
        <v>26.1</v>
      </c>
    </row>
    <row r="8" spans="1:12">
      <c r="B8" t="s">
        <v>13</v>
      </c>
      <c r="C8" s="2">
        <f>A3/1*1000/1000</f>
        <v>1</v>
      </c>
      <c r="D8" t="s">
        <v>1</v>
      </c>
      <c r="E8" s="3">
        <f>25000/10000</f>
        <v>2.5</v>
      </c>
      <c r="F8" s="2">
        <f t="shared" si="0"/>
        <v>2.5</v>
      </c>
      <c r="G8" s="2">
        <v>52.2</v>
      </c>
      <c r="H8" s="2">
        <f t="shared" si="1"/>
        <v>130.5</v>
      </c>
    </row>
    <row r="9" spans="1:12">
      <c r="B9" t="s">
        <v>43</v>
      </c>
      <c r="C9" s="2">
        <f>A3/1*1000/1000</f>
        <v>1</v>
      </c>
      <c r="D9" t="s">
        <v>1</v>
      </c>
      <c r="E9" s="3">
        <f>12500/10000</f>
        <v>1.25</v>
      </c>
      <c r="F9" s="2">
        <f t="shared" si="0"/>
        <v>1.25</v>
      </c>
      <c r="G9" s="2">
        <v>52.2</v>
      </c>
      <c r="H9" s="2">
        <f t="shared" si="1"/>
        <v>65.25</v>
      </c>
    </row>
    <row r="10" spans="1:12">
      <c r="B10" t="s">
        <v>15</v>
      </c>
      <c r="C10" s="2">
        <f>A3/1*1000/1000</f>
        <v>1</v>
      </c>
      <c r="D10" t="s">
        <v>1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2">
      <c r="B11" t="s">
        <v>16</v>
      </c>
      <c r="C11" s="2">
        <f>A3/1*1000/1000</f>
        <v>1</v>
      </c>
      <c r="D11" t="s">
        <v>1</v>
      </c>
      <c r="E11" s="3">
        <f>1000/10000</f>
        <v>0.1</v>
      </c>
      <c r="F11" s="2">
        <f t="shared" si="0"/>
        <v>0.1</v>
      </c>
      <c r="G11" s="2">
        <v>52.2</v>
      </c>
      <c r="H11" s="2">
        <f t="shared" si="1"/>
        <v>5.2200000000000006</v>
      </c>
    </row>
    <row r="12" spans="1:12">
      <c r="B12" t="s">
        <v>17</v>
      </c>
      <c r="C12" s="2">
        <f>A3/1*6000/1000</f>
        <v>6</v>
      </c>
      <c r="D12" t="s">
        <v>18</v>
      </c>
      <c r="E12" s="3">
        <f>3000/10000</f>
        <v>0.3</v>
      </c>
      <c r="F12" s="2">
        <f t="shared" si="0"/>
        <v>1.7999999999999998</v>
      </c>
      <c r="G12" s="2">
        <v>52.2</v>
      </c>
      <c r="H12" s="2">
        <f t="shared" si="1"/>
        <v>93.96</v>
      </c>
    </row>
    <row r="13" spans="1:12">
      <c r="B13" t="s">
        <v>19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v>52.2</v>
      </c>
      <c r="H13" s="2">
        <f t="shared" si="1"/>
        <v>15.66</v>
      </c>
    </row>
    <row r="14" spans="1:12">
      <c r="B14" s="1" t="s">
        <v>22</v>
      </c>
      <c r="F14" s="4">
        <f>SUM(F6:F13)</f>
        <v>6.6499999999999986</v>
      </c>
      <c r="H14" s="4">
        <f>SUM(H6:H13)</f>
        <v>347.13</v>
      </c>
      <c r="J14" s="5">
        <f>H14*1.17</f>
        <v>406.14209999999997</v>
      </c>
      <c r="L14" s="2"/>
    </row>
    <row r="15" spans="1:12">
      <c r="A15" s="1" t="s">
        <v>23</v>
      </c>
      <c r="B15" t="s">
        <v>46</v>
      </c>
      <c r="C15" s="2">
        <f>A3/1*1</f>
        <v>1</v>
      </c>
      <c r="D15" t="s">
        <v>1</v>
      </c>
      <c r="E15" s="3" t="s">
        <v>25</v>
      </c>
      <c r="F15" s="2" t="s">
        <v>25</v>
      </c>
      <c r="G15" s="2">
        <f>(380909/100)</f>
        <v>3809.09</v>
      </c>
      <c r="H15" s="2">
        <f t="shared" ref="H15:H21" si="2">C15*G15</f>
        <v>3809.09</v>
      </c>
      <c r="L15" s="2"/>
    </row>
    <row r="16" spans="1:12">
      <c r="B16" t="s">
        <v>26</v>
      </c>
      <c r="C16" s="2">
        <f>A3/1*6</f>
        <v>6</v>
      </c>
      <c r="D16" t="s">
        <v>18</v>
      </c>
      <c r="E16" s="3" t="s">
        <v>25</v>
      </c>
      <c r="F16" s="2" t="s">
        <v>25</v>
      </c>
      <c r="G16" s="2">
        <f>(293/100)</f>
        <v>2.93</v>
      </c>
      <c r="H16" s="2">
        <f t="shared" si="2"/>
        <v>17.580000000000002</v>
      </c>
      <c r="L16" s="2"/>
    </row>
    <row r="17" spans="1:12">
      <c r="B17" t="s">
        <v>27</v>
      </c>
      <c r="C17" s="2">
        <f>A3/1*(75/10)</f>
        <v>7.5</v>
      </c>
      <c r="D17" t="s">
        <v>18</v>
      </c>
      <c r="E17" s="3" t="s">
        <v>25</v>
      </c>
      <c r="F17" s="2" t="s">
        <v>25</v>
      </c>
      <c r="G17" s="2">
        <f>(321/100)</f>
        <v>3.21</v>
      </c>
      <c r="H17" s="2">
        <f t="shared" si="2"/>
        <v>24.074999999999999</v>
      </c>
      <c r="L17" s="2"/>
    </row>
    <row r="18" spans="1:12">
      <c r="B18" t="s">
        <v>28</v>
      </c>
      <c r="C18" s="2">
        <f>A3/1*1</f>
        <v>1</v>
      </c>
      <c r="D18" t="s">
        <v>1</v>
      </c>
      <c r="E18" s="3" t="s">
        <v>25</v>
      </c>
      <c r="F18" s="2" t="s">
        <v>25</v>
      </c>
      <c r="G18" s="2">
        <f>(618/100)</f>
        <v>6.18</v>
      </c>
      <c r="H18" s="2">
        <f t="shared" si="2"/>
        <v>6.18</v>
      </c>
      <c r="L18" s="2"/>
    </row>
    <row r="19" spans="1:12">
      <c r="B19" t="s">
        <v>30</v>
      </c>
      <c r="C19" s="2">
        <f>A3/1*2</f>
        <v>2</v>
      </c>
      <c r="D19" t="s">
        <v>18</v>
      </c>
      <c r="E19" s="3" t="s">
        <v>25</v>
      </c>
      <c r="F19" s="2" t="s">
        <v>25</v>
      </c>
      <c r="G19" s="2">
        <f>(1306/100)</f>
        <v>13.06</v>
      </c>
      <c r="H19" s="2">
        <f t="shared" si="2"/>
        <v>26.12</v>
      </c>
      <c r="L19" s="2"/>
    </row>
    <row r="20" spans="1:12">
      <c r="B20" t="s">
        <v>29</v>
      </c>
      <c r="C20" s="2">
        <f>A3/1*2</f>
        <v>2</v>
      </c>
      <c r="D20" t="s">
        <v>18</v>
      </c>
      <c r="E20" s="3" t="s">
        <v>25</v>
      </c>
      <c r="F20" s="2" t="s">
        <v>25</v>
      </c>
      <c r="G20" s="2">
        <f>(1045/100)</f>
        <v>10.45</v>
      </c>
      <c r="H20" s="2">
        <f t="shared" si="2"/>
        <v>20.9</v>
      </c>
      <c r="L20" s="2"/>
    </row>
    <row r="21" spans="1:12">
      <c r="B21" t="s">
        <v>31</v>
      </c>
      <c r="C21" s="2">
        <f>A3/1*1</f>
        <v>1</v>
      </c>
      <c r="D21" t="s">
        <v>21</v>
      </c>
      <c r="E21" s="3" t="s">
        <v>25</v>
      </c>
      <c r="F21" s="2" t="s">
        <v>25</v>
      </c>
      <c r="G21" s="2">
        <f>30</f>
        <v>30</v>
      </c>
      <c r="H21" s="2">
        <f t="shared" si="2"/>
        <v>30</v>
      </c>
      <c r="L21" s="2"/>
    </row>
    <row r="22" spans="1:12">
      <c r="B22" t="s">
        <v>95</v>
      </c>
      <c r="C22" s="2"/>
      <c r="E22" s="3"/>
      <c r="F22" s="2"/>
      <c r="G22" s="2">
        <v>71.06</v>
      </c>
      <c r="H22" s="2">
        <v>71.06</v>
      </c>
      <c r="L22" s="2"/>
    </row>
    <row r="23" spans="1:12">
      <c r="B23" s="1" t="s">
        <v>32</v>
      </c>
      <c r="H23" s="4">
        <f>SUM(H15:H22)</f>
        <v>4005.0049999999997</v>
      </c>
      <c r="J23" s="5">
        <f>H23*1.17</f>
        <v>4685.855849999999</v>
      </c>
      <c r="L23" s="2"/>
    </row>
    <row r="24" spans="1:12">
      <c r="A24" s="1" t="s">
        <v>33</v>
      </c>
      <c r="B24" s="1" t="s">
        <v>34</v>
      </c>
      <c r="H24" s="4">
        <f>H14+H23</f>
        <v>4352.1349999999993</v>
      </c>
      <c r="J24" s="5">
        <f>H24*1.17</f>
        <v>5091.997949999999</v>
      </c>
      <c r="L24" s="5">
        <f>J24*1.21</f>
        <v>6161.3175194999985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77B6-2E0A-4A95-A869-E47343909FFD}">
  <dimension ref="A1:L14"/>
  <sheetViews>
    <sheetView workbookViewId="0">
      <selection activeCell="J12" activeCellId="2" sqref="J7 J11 J12"/>
    </sheetView>
  </sheetViews>
  <sheetFormatPr defaultRowHeight="15"/>
  <cols>
    <col min="1" max="1" width="17.85546875" customWidth="1"/>
    <col min="2" max="2" width="49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47</v>
      </c>
    </row>
    <row r="3" spans="1:12">
      <c r="A3">
        <v>6</v>
      </c>
      <c r="B3" t="s">
        <v>18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48</v>
      </c>
      <c r="C6" s="2">
        <f>A3/6*6000/1000</f>
        <v>6</v>
      </c>
      <c r="D6" t="s">
        <v>18</v>
      </c>
      <c r="E6" s="3">
        <f>3500/10000</f>
        <v>0.35</v>
      </c>
      <c r="F6" s="2">
        <f>C6*E6</f>
        <v>2.0999999999999996</v>
      </c>
      <c r="G6" s="2">
        <v>52.2</v>
      </c>
      <c r="H6" s="2">
        <f>F6*G6</f>
        <v>109.61999999999999</v>
      </c>
    </row>
    <row r="7" spans="1:12">
      <c r="B7" s="1" t="s">
        <v>22</v>
      </c>
      <c r="F7" s="4">
        <f>SUM(F6:F6)</f>
        <v>2.0999999999999996</v>
      </c>
      <c r="H7" s="4">
        <f>SUM(H6:H6)</f>
        <v>109.61999999999999</v>
      </c>
      <c r="J7" s="5">
        <f>H7*1.17</f>
        <v>128.25539999999998</v>
      </c>
      <c r="L7" s="2"/>
    </row>
    <row r="8" spans="1:12">
      <c r="A8" s="1" t="s">
        <v>23</v>
      </c>
      <c r="B8" t="s">
        <v>49</v>
      </c>
      <c r="C8" s="2">
        <f>A3/6*6</f>
        <v>6</v>
      </c>
      <c r="D8" t="s">
        <v>18</v>
      </c>
      <c r="E8" s="3" t="s">
        <v>25</v>
      </c>
      <c r="F8" s="2" t="s">
        <v>25</v>
      </c>
      <c r="G8" s="2">
        <f>(148/100)</f>
        <v>1.48</v>
      </c>
      <c r="H8" s="2">
        <f>C8*G8</f>
        <v>8.879999999999999</v>
      </c>
      <c r="L8" s="2"/>
    </row>
    <row r="9" spans="1:12">
      <c r="B9" t="s">
        <v>50</v>
      </c>
      <c r="C9" s="2">
        <f>A3/6*18</f>
        <v>18</v>
      </c>
      <c r="D9" t="s">
        <v>18</v>
      </c>
      <c r="E9" s="3" t="s">
        <v>25</v>
      </c>
      <c r="F9" s="2" t="s">
        <v>25</v>
      </c>
      <c r="G9" s="2">
        <f>(115/100)</f>
        <v>1.1499999999999999</v>
      </c>
      <c r="H9" s="2">
        <f>C9*G9</f>
        <v>20.7</v>
      </c>
      <c r="L9" s="2"/>
    </row>
    <row r="10" spans="1:12">
      <c r="B10" t="s">
        <v>31</v>
      </c>
      <c r="C10" s="2">
        <f>A3/6*1</f>
        <v>1</v>
      </c>
      <c r="D10" t="s">
        <v>21</v>
      </c>
      <c r="E10" s="3" t="s">
        <v>25</v>
      </c>
      <c r="F10" s="2" t="s">
        <v>25</v>
      </c>
      <c r="G10" s="2">
        <f>10</f>
        <v>10</v>
      </c>
      <c r="H10" s="2">
        <f>C10*G10</f>
        <v>10</v>
      </c>
      <c r="L10" s="2"/>
    </row>
    <row r="11" spans="1:12">
      <c r="B11" s="1" t="s">
        <v>32</v>
      </c>
      <c r="H11" s="4">
        <f>SUM(H8:H10)</f>
        <v>39.58</v>
      </c>
      <c r="J11" s="5">
        <f t="shared" ref="J11:J12" si="0">H11*1.17</f>
        <v>46.308599999999998</v>
      </c>
      <c r="L11" s="2"/>
    </row>
    <row r="12" spans="1:12">
      <c r="A12" s="1" t="s">
        <v>33</v>
      </c>
      <c r="B12" s="1" t="s">
        <v>34</v>
      </c>
      <c r="H12" s="4">
        <f>H7+H11</f>
        <v>149.19999999999999</v>
      </c>
      <c r="J12" s="5">
        <f t="shared" si="0"/>
        <v>174.56399999999996</v>
      </c>
      <c r="L12" s="5">
        <f>J12*1.21</f>
        <v>211.22243999999995</v>
      </c>
    </row>
    <row r="13" spans="1:12">
      <c r="L13" s="2"/>
    </row>
    <row r="14" spans="1:12">
      <c r="L1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331F-126C-4057-BE2D-33D45873B3E7}">
  <dimension ref="A1:L32"/>
  <sheetViews>
    <sheetView workbookViewId="0">
      <selection activeCell="L32" sqref="L32"/>
    </sheetView>
  </sheetViews>
  <sheetFormatPr defaultRowHeight="15"/>
  <cols>
    <col min="1" max="1" width="17.85546875" customWidth="1"/>
    <col min="2" max="2" width="80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51</v>
      </c>
    </row>
    <row r="3" spans="1:8">
      <c r="A3">
        <v>1</v>
      </c>
      <c r="B3" t="s">
        <v>1</v>
      </c>
    </row>
    <row r="5" spans="1:8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1" t="s">
        <v>10</v>
      </c>
      <c r="B6" t="s">
        <v>11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8" si="0">C6*E6</f>
        <v>0.1</v>
      </c>
      <c r="G6" s="2">
        <f t="shared" ref="G6:G17" si="1">52200/1000</f>
        <v>52.2</v>
      </c>
      <c r="H6" s="2">
        <f t="shared" ref="H6:H18" si="2">F6*G6</f>
        <v>5.2200000000000006</v>
      </c>
    </row>
    <row r="7" spans="1:8">
      <c r="B7" t="s">
        <v>52</v>
      </c>
      <c r="C7" s="2">
        <f>A3/1*1000/1000</f>
        <v>1</v>
      </c>
      <c r="D7" t="s">
        <v>1</v>
      </c>
      <c r="E7" s="3">
        <f>1000/10000</f>
        <v>0.1</v>
      </c>
      <c r="F7" s="2">
        <f t="shared" si="0"/>
        <v>0.1</v>
      </c>
      <c r="G7" s="2">
        <f t="shared" si="1"/>
        <v>52.2</v>
      </c>
      <c r="H7" s="2">
        <f t="shared" si="2"/>
        <v>5.2200000000000006</v>
      </c>
    </row>
    <row r="8" spans="1:8">
      <c r="B8" t="s">
        <v>53</v>
      </c>
      <c r="C8" s="2">
        <f>A3/1*1000/1000</f>
        <v>1</v>
      </c>
      <c r="D8" t="s">
        <v>1</v>
      </c>
      <c r="E8" s="3">
        <f>1000/10000</f>
        <v>0.1</v>
      </c>
      <c r="F8" s="2">
        <f t="shared" si="0"/>
        <v>0.1</v>
      </c>
      <c r="G8" s="2">
        <f t="shared" si="1"/>
        <v>52.2</v>
      </c>
      <c r="H8" s="2">
        <f t="shared" si="2"/>
        <v>5.2200000000000006</v>
      </c>
    </row>
    <row r="9" spans="1:8">
      <c r="B9" t="s">
        <v>54</v>
      </c>
      <c r="C9" s="2">
        <f>A3/1*1000/1000</f>
        <v>1</v>
      </c>
      <c r="D9" t="s">
        <v>1</v>
      </c>
      <c r="E9" s="3">
        <f>7500/10000</f>
        <v>0.75</v>
      </c>
      <c r="F9" s="2">
        <f t="shared" si="0"/>
        <v>0.75</v>
      </c>
      <c r="G9" s="2">
        <f t="shared" si="1"/>
        <v>52.2</v>
      </c>
      <c r="H9" s="2">
        <f t="shared" si="2"/>
        <v>39.150000000000006</v>
      </c>
    </row>
    <row r="10" spans="1:8">
      <c r="B10" t="s">
        <v>55</v>
      </c>
      <c r="C10" s="2">
        <f>A3/1*1000/1000</f>
        <v>1</v>
      </c>
      <c r="D10" t="s">
        <v>1</v>
      </c>
      <c r="E10" s="3">
        <f>6000/10000</f>
        <v>0.6</v>
      </c>
      <c r="F10" s="2">
        <f t="shared" si="0"/>
        <v>0.6</v>
      </c>
      <c r="G10" s="2">
        <f t="shared" si="1"/>
        <v>52.2</v>
      </c>
      <c r="H10" s="2">
        <f t="shared" si="2"/>
        <v>31.32</v>
      </c>
    </row>
    <row r="11" spans="1:8">
      <c r="B11" t="s">
        <v>56</v>
      </c>
      <c r="C11" s="2">
        <f>A3/1*1000/1000</f>
        <v>1</v>
      </c>
      <c r="D11" t="s">
        <v>1</v>
      </c>
      <c r="E11" s="3">
        <f>6000/10000</f>
        <v>0.6</v>
      </c>
      <c r="F11" s="2">
        <f t="shared" si="0"/>
        <v>0.6</v>
      </c>
      <c r="G11" s="2">
        <f t="shared" si="1"/>
        <v>52.2</v>
      </c>
      <c r="H11" s="2">
        <f t="shared" si="2"/>
        <v>31.32</v>
      </c>
    </row>
    <row r="12" spans="1:8">
      <c r="B12" t="s">
        <v>57</v>
      </c>
      <c r="C12" s="2">
        <f>A3/1*1000/1000</f>
        <v>1</v>
      </c>
      <c r="D12" t="s">
        <v>1</v>
      </c>
      <c r="E12" s="3">
        <f>2000/10000</f>
        <v>0.2</v>
      </c>
      <c r="F12" s="2">
        <f t="shared" si="0"/>
        <v>0.2</v>
      </c>
      <c r="G12" s="2">
        <f t="shared" si="1"/>
        <v>52.2</v>
      </c>
      <c r="H12" s="2">
        <f t="shared" si="2"/>
        <v>10.440000000000001</v>
      </c>
    </row>
    <row r="13" spans="1:8">
      <c r="B13" t="s">
        <v>58</v>
      </c>
      <c r="C13" s="2">
        <f>A3/1*1000/1000</f>
        <v>1</v>
      </c>
      <c r="D13" t="s">
        <v>1</v>
      </c>
      <c r="E13" s="3">
        <f>3000/10000</f>
        <v>0.3</v>
      </c>
      <c r="F13" s="2">
        <f t="shared" si="0"/>
        <v>0.3</v>
      </c>
      <c r="G13" s="2">
        <f t="shared" si="1"/>
        <v>52.2</v>
      </c>
      <c r="H13" s="2">
        <f t="shared" si="2"/>
        <v>15.66</v>
      </c>
    </row>
    <row r="14" spans="1:8">
      <c r="B14" t="s">
        <v>15</v>
      </c>
      <c r="C14" s="2">
        <f>A3/1*1000/1000</f>
        <v>1</v>
      </c>
      <c r="D14" t="s">
        <v>1</v>
      </c>
      <c r="E14" s="3">
        <f>1000/10000</f>
        <v>0.1</v>
      </c>
      <c r="F14" s="2">
        <f t="shared" si="0"/>
        <v>0.1</v>
      </c>
      <c r="G14" s="2">
        <f t="shared" si="1"/>
        <v>52.2</v>
      </c>
      <c r="H14" s="2">
        <f t="shared" si="2"/>
        <v>5.2200000000000006</v>
      </c>
    </row>
    <row r="15" spans="1:8">
      <c r="B15" t="s">
        <v>16</v>
      </c>
      <c r="C15" s="2">
        <f>A3/1*1000/1000</f>
        <v>1</v>
      </c>
      <c r="D15" t="s">
        <v>1</v>
      </c>
      <c r="E15" s="3">
        <f>1000/10000</f>
        <v>0.1</v>
      </c>
      <c r="F15" s="2">
        <f t="shared" si="0"/>
        <v>0.1</v>
      </c>
      <c r="G15" s="2">
        <f t="shared" si="1"/>
        <v>52.2</v>
      </c>
      <c r="H15" s="2">
        <f t="shared" si="2"/>
        <v>5.2200000000000006</v>
      </c>
    </row>
    <row r="16" spans="1:8">
      <c r="B16" t="s">
        <v>17</v>
      </c>
      <c r="C16" s="2">
        <f>A3/1*3000/1000</f>
        <v>3</v>
      </c>
      <c r="D16" t="s">
        <v>18</v>
      </c>
      <c r="E16" s="3">
        <f>3000/10000</f>
        <v>0.3</v>
      </c>
      <c r="F16" s="2">
        <f t="shared" si="0"/>
        <v>0.89999999999999991</v>
      </c>
      <c r="G16" s="2">
        <f t="shared" si="1"/>
        <v>52.2</v>
      </c>
      <c r="H16" s="2">
        <f t="shared" si="2"/>
        <v>46.98</v>
      </c>
    </row>
    <row r="17" spans="1:12">
      <c r="B17" t="s">
        <v>19</v>
      </c>
      <c r="C17" s="2">
        <f>A3/1*1000/1000</f>
        <v>1</v>
      </c>
      <c r="D17" t="s">
        <v>1</v>
      </c>
      <c r="E17" s="3">
        <f>3000/10000</f>
        <v>0.3</v>
      </c>
      <c r="F17" s="2">
        <f t="shared" si="0"/>
        <v>0.3</v>
      </c>
      <c r="G17" s="2">
        <f t="shared" si="1"/>
        <v>52.2</v>
      </c>
      <c r="H17" s="2">
        <f t="shared" si="2"/>
        <v>15.66</v>
      </c>
    </row>
    <row r="18" spans="1:12">
      <c r="B18" t="s">
        <v>20</v>
      </c>
      <c r="C18" s="2">
        <f>A3/1*1000/1000</f>
        <v>1</v>
      </c>
      <c r="D18" t="s">
        <v>21</v>
      </c>
      <c r="E18" s="3">
        <f>2000/10000</f>
        <v>0.2</v>
      </c>
      <c r="F18" s="2">
        <f t="shared" si="0"/>
        <v>0.2</v>
      </c>
      <c r="G18" s="2">
        <v>48.72</v>
      </c>
      <c r="H18" s="2">
        <f t="shared" si="2"/>
        <v>9.7439999999999998</v>
      </c>
    </row>
    <row r="19" spans="1:12">
      <c r="B19" s="1" t="s">
        <v>22</v>
      </c>
      <c r="F19" s="4">
        <f>SUM(F6:F18)</f>
        <v>4.3500000000000005</v>
      </c>
      <c r="H19" s="4">
        <f>SUM(H6:H18)</f>
        <v>226.374</v>
      </c>
      <c r="J19" s="5">
        <f>H19*1.17</f>
        <v>264.85757999999998</v>
      </c>
      <c r="L19" s="2"/>
    </row>
    <row r="20" spans="1:12">
      <c r="A20" s="1" t="s">
        <v>23</v>
      </c>
      <c r="B20" t="s">
        <v>59</v>
      </c>
      <c r="C20" s="2">
        <f>A3/1*1</f>
        <v>1</v>
      </c>
      <c r="D20" t="s">
        <v>1</v>
      </c>
      <c r="E20" s="3" t="s">
        <v>25</v>
      </c>
      <c r="F20" s="2" t="s">
        <v>25</v>
      </c>
      <c r="G20" s="2">
        <f>(743/100)</f>
        <v>7.43</v>
      </c>
      <c r="H20" s="2">
        <f t="shared" ref="H20:H30" si="3">C20*G20</f>
        <v>7.43</v>
      </c>
      <c r="L20" s="2"/>
    </row>
    <row r="21" spans="1:12">
      <c r="B21" t="s">
        <v>60</v>
      </c>
      <c r="C21" s="2">
        <f>A3/1*1</f>
        <v>1</v>
      </c>
      <c r="D21" t="s">
        <v>1</v>
      </c>
      <c r="E21" s="3" t="s">
        <v>25</v>
      </c>
      <c r="F21" s="2" t="s">
        <v>25</v>
      </c>
      <c r="G21" s="2">
        <f>(18576/100)</f>
        <v>185.76</v>
      </c>
      <c r="H21" s="2">
        <f t="shared" si="3"/>
        <v>185.76</v>
      </c>
      <c r="L21" s="2"/>
    </row>
    <row r="22" spans="1:12">
      <c r="B22" t="s">
        <v>61</v>
      </c>
      <c r="C22" s="2">
        <f>A3/1*1</f>
        <v>1</v>
      </c>
      <c r="D22" t="s">
        <v>1</v>
      </c>
      <c r="E22" s="3" t="s">
        <v>25</v>
      </c>
      <c r="F22" s="2" t="s">
        <v>25</v>
      </c>
      <c r="G22" s="2">
        <f>(8045/100)</f>
        <v>80.45</v>
      </c>
      <c r="H22" s="2">
        <f t="shared" si="3"/>
        <v>80.45</v>
      </c>
      <c r="L22" s="2"/>
    </row>
    <row r="23" spans="1:12">
      <c r="B23" t="s">
        <v>62</v>
      </c>
      <c r="C23" s="2">
        <f>A3/1*1</f>
        <v>1</v>
      </c>
      <c r="D23" t="s">
        <v>1</v>
      </c>
      <c r="E23" s="3" t="s">
        <v>25</v>
      </c>
      <c r="F23" s="2" t="s">
        <v>25</v>
      </c>
      <c r="G23" s="2">
        <f>(8166/100)</f>
        <v>81.66</v>
      </c>
      <c r="H23" s="2">
        <f t="shared" si="3"/>
        <v>81.66</v>
      </c>
      <c r="L23" s="2"/>
    </row>
    <row r="24" spans="1:12">
      <c r="B24" t="s">
        <v>63</v>
      </c>
      <c r="C24" s="2">
        <f>A3/1*1</f>
        <v>1</v>
      </c>
      <c r="D24" t="s">
        <v>1</v>
      </c>
      <c r="E24" s="3" t="s">
        <v>25</v>
      </c>
      <c r="F24" s="2" t="s">
        <v>25</v>
      </c>
      <c r="G24" s="2">
        <f>(64678/100)</f>
        <v>646.78</v>
      </c>
      <c r="H24" s="2">
        <f t="shared" si="3"/>
        <v>646.78</v>
      </c>
      <c r="L24" s="2"/>
    </row>
    <row r="25" spans="1:12">
      <c r="B25" t="s">
        <v>28</v>
      </c>
      <c r="C25" s="2">
        <f>A3/1*1</f>
        <v>1</v>
      </c>
      <c r="D25" t="s">
        <v>1</v>
      </c>
      <c r="E25" s="3" t="s">
        <v>25</v>
      </c>
      <c r="F25" s="2" t="s">
        <v>25</v>
      </c>
      <c r="G25" s="2">
        <f>(618/100)</f>
        <v>6.18</v>
      </c>
      <c r="H25" s="2">
        <f t="shared" si="3"/>
        <v>6.18</v>
      </c>
      <c r="L25" s="2"/>
    </row>
    <row r="26" spans="1:12">
      <c r="B26" t="s">
        <v>26</v>
      </c>
      <c r="C26" s="2">
        <f>A3/1*3</f>
        <v>3</v>
      </c>
      <c r="D26" t="s">
        <v>18</v>
      </c>
      <c r="E26" s="3" t="s">
        <v>25</v>
      </c>
      <c r="F26" s="2" t="s">
        <v>25</v>
      </c>
      <c r="G26" s="2">
        <f>(293/100)</f>
        <v>2.93</v>
      </c>
      <c r="H26" s="2">
        <f t="shared" si="3"/>
        <v>8.7900000000000009</v>
      </c>
      <c r="L26" s="2"/>
    </row>
    <row r="27" spans="1:12">
      <c r="B27" t="s">
        <v>27</v>
      </c>
      <c r="C27" s="2">
        <f>A3/1*3</f>
        <v>3</v>
      </c>
      <c r="D27" t="s">
        <v>25</v>
      </c>
      <c r="E27" s="3" t="s">
        <v>25</v>
      </c>
      <c r="F27" s="2" t="s">
        <v>25</v>
      </c>
      <c r="G27" s="2">
        <f>(321/100)</f>
        <v>3.21</v>
      </c>
      <c r="H27" s="2">
        <f t="shared" si="3"/>
        <v>9.629999999999999</v>
      </c>
    </row>
    <row r="28" spans="1:12">
      <c r="B28" t="s">
        <v>30</v>
      </c>
      <c r="C28" s="2">
        <f>A3/1*1</f>
        <v>1</v>
      </c>
      <c r="D28" t="s">
        <v>18</v>
      </c>
      <c r="E28" s="3" t="s">
        <v>25</v>
      </c>
      <c r="F28" s="2" t="s">
        <v>25</v>
      </c>
      <c r="G28" s="2">
        <f>(1306/100)</f>
        <v>13.06</v>
      </c>
      <c r="H28" s="2">
        <f t="shared" si="3"/>
        <v>13.06</v>
      </c>
    </row>
    <row r="29" spans="1:12">
      <c r="B29" t="s">
        <v>29</v>
      </c>
      <c r="C29" s="2">
        <f>A3/1*1</f>
        <v>1</v>
      </c>
      <c r="D29" t="s">
        <v>18</v>
      </c>
      <c r="E29" s="3" t="s">
        <v>25</v>
      </c>
      <c r="F29" s="2" t="s">
        <v>25</v>
      </c>
      <c r="G29" s="2">
        <f>(1045/100)</f>
        <v>10.45</v>
      </c>
      <c r="H29" s="2">
        <f t="shared" si="3"/>
        <v>10.45</v>
      </c>
    </row>
    <row r="30" spans="1:12">
      <c r="B30" t="s">
        <v>31</v>
      </c>
      <c r="C30" s="2">
        <f>A3/1*1</f>
        <v>1</v>
      </c>
      <c r="D30" t="s">
        <v>21</v>
      </c>
      <c r="E30" s="3" t="s">
        <v>25</v>
      </c>
      <c r="F30" s="2" t="s">
        <v>25</v>
      </c>
      <c r="G30" s="2">
        <f>25</f>
        <v>25</v>
      </c>
      <c r="H30" s="2">
        <f t="shared" si="3"/>
        <v>25</v>
      </c>
    </row>
    <row r="31" spans="1:12">
      <c r="B31" s="1" t="s">
        <v>32</v>
      </c>
      <c r="H31" s="4">
        <f>SUM(H20:H30)</f>
        <v>1075.1899999999998</v>
      </c>
      <c r="J31" s="5">
        <f t="shared" ref="J31:J32" si="4">H31*1.17</f>
        <v>1257.9722999999997</v>
      </c>
      <c r="L31" s="2"/>
    </row>
    <row r="32" spans="1:12">
      <c r="A32" s="1" t="s">
        <v>33</v>
      </c>
      <c r="B32" s="1" t="s">
        <v>34</v>
      </c>
      <c r="H32" s="4">
        <f>H19+H31</f>
        <v>1301.5639999999999</v>
      </c>
      <c r="J32" s="5">
        <f t="shared" si="4"/>
        <v>1522.8298799999998</v>
      </c>
      <c r="L32" s="5">
        <f>J32*1.21</f>
        <v>1842.6241547999996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CA47-7F90-4937-92AD-4A7DEA5F298A}">
  <dimension ref="A1:L29"/>
  <sheetViews>
    <sheetView topLeftCell="A4" workbookViewId="0">
      <selection activeCell="J17" activeCellId="1" sqref="J28:J29 J17"/>
    </sheetView>
  </sheetViews>
  <sheetFormatPr defaultRowHeight="15"/>
  <cols>
    <col min="1" max="1" width="17.85546875" customWidth="1"/>
    <col min="2" max="2" width="80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64</v>
      </c>
    </row>
    <row r="3" spans="1:8">
      <c r="A3">
        <v>1</v>
      </c>
      <c r="B3" t="s">
        <v>1</v>
      </c>
    </row>
    <row r="5" spans="1:8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1" t="s">
        <v>10</v>
      </c>
      <c r="B6" t="s">
        <v>11</v>
      </c>
      <c r="C6" s="2">
        <f>A3/1*1000/1000</f>
        <v>1</v>
      </c>
      <c r="D6" t="s">
        <v>1</v>
      </c>
      <c r="E6" s="3">
        <f>1000/10000</f>
        <v>0.1</v>
      </c>
      <c r="F6" s="2">
        <f t="shared" ref="F6:F16" si="0">C6*E6</f>
        <v>0.1</v>
      </c>
      <c r="G6" s="2">
        <v>52.2</v>
      </c>
      <c r="H6" s="2">
        <f t="shared" ref="H6:H16" si="1">F6*G6</f>
        <v>5.2200000000000006</v>
      </c>
    </row>
    <row r="7" spans="1:8">
      <c r="B7" t="s">
        <v>52</v>
      </c>
      <c r="C7" s="2">
        <f>A3/1*1000/1000</f>
        <v>1</v>
      </c>
      <c r="D7" t="s">
        <v>1</v>
      </c>
      <c r="E7" s="3">
        <f>1000/10000</f>
        <v>0.1</v>
      </c>
      <c r="F7" s="2">
        <f t="shared" si="0"/>
        <v>0.1</v>
      </c>
      <c r="G7" s="2">
        <v>52.2</v>
      </c>
      <c r="H7" s="2">
        <f t="shared" si="1"/>
        <v>5.2200000000000006</v>
      </c>
    </row>
    <row r="8" spans="1:8">
      <c r="B8" t="s">
        <v>53</v>
      </c>
      <c r="C8" s="2">
        <f>A3/1*1000/1000</f>
        <v>1</v>
      </c>
      <c r="D8" t="s">
        <v>1</v>
      </c>
      <c r="E8" s="3">
        <f>1000/10000</f>
        <v>0.1</v>
      </c>
      <c r="F8" s="2">
        <f t="shared" si="0"/>
        <v>0.1</v>
      </c>
      <c r="G8" s="2">
        <v>52.2</v>
      </c>
      <c r="H8" s="2">
        <f t="shared" si="1"/>
        <v>5.2200000000000006</v>
      </c>
    </row>
    <row r="9" spans="1:8">
      <c r="B9" t="s">
        <v>54</v>
      </c>
      <c r="C9" s="2">
        <f>A3/1*1000/1000</f>
        <v>1</v>
      </c>
      <c r="D9" t="s">
        <v>1</v>
      </c>
      <c r="E9" s="3">
        <f>7500/10000</f>
        <v>0.75</v>
      </c>
      <c r="F9" s="2">
        <f t="shared" si="0"/>
        <v>0.75</v>
      </c>
      <c r="G9" s="2">
        <v>52.2</v>
      </c>
      <c r="H9" s="2">
        <f t="shared" si="1"/>
        <v>39.150000000000006</v>
      </c>
    </row>
    <row r="10" spans="1:8">
      <c r="B10" t="s">
        <v>65</v>
      </c>
      <c r="C10" s="2">
        <f>A3/1*3000/1000</f>
        <v>3</v>
      </c>
      <c r="D10" t="s">
        <v>18</v>
      </c>
      <c r="E10" s="3">
        <f>4900/10000</f>
        <v>0.49</v>
      </c>
      <c r="F10" s="2">
        <f t="shared" si="0"/>
        <v>1.47</v>
      </c>
      <c r="G10" s="2">
        <v>52.2</v>
      </c>
      <c r="H10" s="2">
        <f t="shared" si="1"/>
        <v>76.734000000000009</v>
      </c>
    </row>
    <row r="11" spans="1:8">
      <c r="B11" t="s">
        <v>66</v>
      </c>
      <c r="C11" s="2">
        <f>A3/1*2000/1000</f>
        <v>2</v>
      </c>
      <c r="D11" t="s">
        <v>1</v>
      </c>
      <c r="E11" s="3">
        <f>2000/10000</f>
        <v>0.2</v>
      </c>
      <c r="F11" s="2">
        <f t="shared" si="0"/>
        <v>0.4</v>
      </c>
      <c r="G11" s="2">
        <v>52.2</v>
      </c>
      <c r="H11" s="2">
        <f t="shared" si="1"/>
        <v>20.880000000000003</v>
      </c>
    </row>
    <row r="12" spans="1:8">
      <c r="B12" t="s">
        <v>67</v>
      </c>
      <c r="C12" s="2">
        <f>A3/1*3000/1000</f>
        <v>3</v>
      </c>
      <c r="D12" t="s">
        <v>18</v>
      </c>
      <c r="E12" s="3">
        <f>3600/10000</f>
        <v>0.36</v>
      </c>
      <c r="F12" s="2">
        <f t="shared" si="0"/>
        <v>1.08</v>
      </c>
      <c r="G12" s="2">
        <v>52.2</v>
      </c>
      <c r="H12" s="2">
        <f t="shared" si="1"/>
        <v>56.376000000000005</v>
      </c>
    </row>
    <row r="13" spans="1:8">
      <c r="B13" t="s">
        <v>57</v>
      </c>
      <c r="C13" s="2">
        <f>A3/1*1000/1000</f>
        <v>1</v>
      </c>
      <c r="D13" t="s">
        <v>1</v>
      </c>
      <c r="E13" s="3">
        <f>2000/10000</f>
        <v>0.2</v>
      </c>
      <c r="F13" s="2">
        <f t="shared" si="0"/>
        <v>0.2</v>
      </c>
      <c r="G13" s="2">
        <v>52.2</v>
      </c>
      <c r="H13" s="2">
        <f t="shared" si="1"/>
        <v>10.440000000000001</v>
      </c>
    </row>
    <row r="14" spans="1:8">
      <c r="B14" t="s">
        <v>58</v>
      </c>
      <c r="C14" s="2">
        <f>A3/1*1000/1000</f>
        <v>1</v>
      </c>
      <c r="D14" t="s">
        <v>1</v>
      </c>
      <c r="E14" s="3">
        <f>3000/10000</f>
        <v>0.3</v>
      </c>
      <c r="F14" s="2">
        <f t="shared" si="0"/>
        <v>0.3</v>
      </c>
      <c r="G14" s="2">
        <v>52.2</v>
      </c>
      <c r="H14" s="2">
        <f t="shared" si="1"/>
        <v>15.66</v>
      </c>
    </row>
    <row r="15" spans="1:8">
      <c r="B15" t="s">
        <v>68</v>
      </c>
      <c r="C15" s="2">
        <f>A3/1*1000/1000</f>
        <v>1</v>
      </c>
      <c r="D15" t="s">
        <v>1</v>
      </c>
      <c r="E15" s="3">
        <f>500/10000</f>
        <v>0.05</v>
      </c>
      <c r="F15" s="2">
        <f t="shared" si="0"/>
        <v>0.05</v>
      </c>
      <c r="G15" s="2">
        <v>52.2</v>
      </c>
      <c r="H15" s="2">
        <f t="shared" si="1"/>
        <v>2.6100000000000003</v>
      </c>
    </row>
    <row r="16" spans="1:8">
      <c r="B16" t="s">
        <v>16</v>
      </c>
      <c r="C16" s="2">
        <f>A3/1*1000/1000</f>
        <v>1</v>
      </c>
      <c r="D16" t="s">
        <v>1</v>
      </c>
      <c r="E16" s="3">
        <f>1000/10000</f>
        <v>0.1</v>
      </c>
      <c r="F16" s="2">
        <f t="shared" si="0"/>
        <v>0.1</v>
      </c>
      <c r="G16" s="2">
        <v>52.2</v>
      </c>
      <c r="H16" s="2">
        <f t="shared" si="1"/>
        <v>5.2200000000000006</v>
      </c>
    </row>
    <row r="17" spans="1:12">
      <c r="B17" s="1" t="s">
        <v>22</v>
      </c>
      <c r="F17" s="4">
        <f>SUM(F6:F16)</f>
        <v>4.6499999999999995</v>
      </c>
      <c r="H17" s="4">
        <f>SUM(H6:H16)</f>
        <v>242.73000000000002</v>
      </c>
      <c r="J17" s="5">
        <f>H17*1.17</f>
        <v>283.9941</v>
      </c>
      <c r="L17" s="2"/>
    </row>
    <row r="18" spans="1:12">
      <c r="A18" s="1" t="s">
        <v>23</v>
      </c>
      <c r="B18" t="s">
        <v>59</v>
      </c>
      <c r="C18" s="2">
        <f>A3/1*1</f>
        <v>1</v>
      </c>
      <c r="D18" t="s">
        <v>1</v>
      </c>
      <c r="E18" s="3" t="s">
        <v>25</v>
      </c>
      <c r="F18" s="2" t="s">
        <v>25</v>
      </c>
      <c r="G18" s="2">
        <f>(743/100)</f>
        <v>7.43</v>
      </c>
      <c r="H18" s="2">
        <f t="shared" ref="H18:H27" si="2">C18*G18</f>
        <v>7.43</v>
      </c>
      <c r="L18" s="2"/>
    </row>
    <row r="19" spans="1:12">
      <c r="B19" t="s">
        <v>60</v>
      </c>
      <c r="C19" s="2">
        <f>A3/1*1</f>
        <v>1</v>
      </c>
      <c r="D19" t="s">
        <v>1</v>
      </c>
      <c r="E19" s="3" t="s">
        <v>25</v>
      </c>
      <c r="F19" s="2" t="s">
        <v>25</v>
      </c>
      <c r="G19" s="2">
        <f>(18576/100)</f>
        <v>185.76</v>
      </c>
      <c r="H19" s="2">
        <f t="shared" si="2"/>
        <v>185.76</v>
      </c>
      <c r="L19" s="2"/>
    </row>
    <row r="20" spans="1:12">
      <c r="B20" t="s">
        <v>69</v>
      </c>
      <c r="C20" s="2">
        <f>A3/1*1</f>
        <v>1</v>
      </c>
      <c r="D20" t="s">
        <v>1</v>
      </c>
      <c r="E20" s="3" t="s">
        <v>25</v>
      </c>
      <c r="F20" s="2" t="s">
        <v>25</v>
      </c>
      <c r="G20" s="2">
        <f>(4399/100)</f>
        <v>43.99</v>
      </c>
      <c r="H20" s="2">
        <f t="shared" si="2"/>
        <v>43.99</v>
      </c>
      <c r="L20" s="2"/>
    </row>
    <row r="21" spans="1:12">
      <c r="B21" t="s">
        <v>70</v>
      </c>
      <c r="C21" s="2">
        <f>A3/1*1</f>
        <v>1</v>
      </c>
      <c r="D21" t="s">
        <v>1</v>
      </c>
      <c r="E21" s="3" t="s">
        <v>25</v>
      </c>
      <c r="F21" s="2" t="s">
        <v>25</v>
      </c>
      <c r="G21" s="2">
        <f>(6006/100)</f>
        <v>60.06</v>
      </c>
      <c r="H21" s="2">
        <f t="shared" si="2"/>
        <v>60.06</v>
      </c>
      <c r="L21" s="2"/>
    </row>
    <row r="22" spans="1:12">
      <c r="B22" t="s">
        <v>71</v>
      </c>
      <c r="C22" s="2">
        <f>A3/1*3</f>
        <v>3</v>
      </c>
      <c r="D22" t="s">
        <v>18</v>
      </c>
      <c r="E22" s="3" t="s">
        <v>25</v>
      </c>
      <c r="F22" s="2" t="s">
        <v>25</v>
      </c>
      <c r="G22" s="2">
        <f>(1611/100)</f>
        <v>16.11</v>
      </c>
      <c r="H22" s="2">
        <f t="shared" si="2"/>
        <v>48.33</v>
      </c>
      <c r="L22" s="2"/>
    </row>
    <row r="23" spans="1:12">
      <c r="B23" t="s">
        <v>72</v>
      </c>
      <c r="C23" s="2">
        <f>A3/1*3</f>
        <v>3</v>
      </c>
      <c r="D23" t="s">
        <v>18</v>
      </c>
      <c r="E23" s="3" t="s">
        <v>25</v>
      </c>
      <c r="F23" s="2" t="s">
        <v>25</v>
      </c>
      <c r="G23" s="2">
        <f>(1289/100)</f>
        <v>12.89</v>
      </c>
      <c r="H23" s="2">
        <f t="shared" si="2"/>
        <v>38.67</v>
      </c>
      <c r="L23" s="2"/>
    </row>
    <row r="24" spans="1:12">
      <c r="B24" t="s">
        <v>73</v>
      </c>
      <c r="C24" s="2">
        <f>A3/1*3</f>
        <v>3</v>
      </c>
      <c r="D24" t="s">
        <v>18</v>
      </c>
      <c r="E24" s="3" t="s">
        <v>25</v>
      </c>
      <c r="F24" s="2" t="s">
        <v>25</v>
      </c>
      <c r="G24" s="2">
        <f>(1197/100)</f>
        <v>11.97</v>
      </c>
      <c r="H24" s="2">
        <f t="shared" si="2"/>
        <v>35.910000000000004</v>
      </c>
      <c r="L24" s="2"/>
    </row>
    <row r="25" spans="1:12">
      <c r="B25" t="s">
        <v>74</v>
      </c>
      <c r="C25" s="2">
        <f>A3/1*1</f>
        <v>1</v>
      </c>
      <c r="D25" t="s">
        <v>1</v>
      </c>
      <c r="E25" s="3" t="s">
        <v>25</v>
      </c>
      <c r="F25" s="2" t="s">
        <v>25</v>
      </c>
      <c r="G25" s="2">
        <f>(705/100)</f>
        <v>7.05</v>
      </c>
      <c r="H25" s="2">
        <f t="shared" si="2"/>
        <v>7.05</v>
      </c>
    </row>
    <row r="26" spans="1:12">
      <c r="B26" t="s">
        <v>75</v>
      </c>
      <c r="C26" s="2">
        <f>A3/1*1</f>
        <v>1</v>
      </c>
      <c r="D26" t="s">
        <v>1</v>
      </c>
      <c r="E26" s="3" t="s">
        <v>25</v>
      </c>
      <c r="F26" s="2" t="s">
        <v>25</v>
      </c>
      <c r="G26" s="2">
        <f>(622/100)</f>
        <v>6.22</v>
      </c>
      <c r="H26" s="2">
        <f t="shared" si="2"/>
        <v>6.22</v>
      </c>
    </row>
    <row r="27" spans="1:12">
      <c r="B27" t="s">
        <v>31</v>
      </c>
      <c r="C27" s="2">
        <f>A3/1*1</f>
        <v>1</v>
      </c>
      <c r="D27" t="s">
        <v>21</v>
      </c>
      <c r="E27" s="3" t="s">
        <v>25</v>
      </c>
      <c r="F27" s="2" t="s">
        <v>25</v>
      </c>
      <c r="G27" s="2">
        <f>10</f>
        <v>10</v>
      </c>
      <c r="H27" s="2">
        <f t="shared" si="2"/>
        <v>10</v>
      </c>
    </row>
    <row r="28" spans="1:12">
      <c r="B28" s="1" t="s">
        <v>32</v>
      </c>
      <c r="H28" s="4">
        <f>SUM(H18:H27)</f>
        <v>443.42000000000007</v>
      </c>
      <c r="J28" s="5">
        <f t="shared" ref="J28:J29" si="3">H28*1.17</f>
        <v>518.80140000000006</v>
      </c>
      <c r="L28" s="2"/>
    </row>
    <row r="29" spans="1:12">
      <c r="A29" s="1" t="s">
        <v>33</v>
      </c>
      <c r="B29" s="1" t="s">
        <v>34</v>
      </c>
      <c r="H29" s="4">
        <f>H17+H28</f>
        <v>686.15000000000009</v>
      </c>
      <c r="J29" s="5">
        <f t="shared" si="3"/>
        <v>802.79550000000006</v>
      </c>
      <c r="L29" s="5">
        <f>J29*1.21</f>
        <v>971.38255500000002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5BD0-FEC5-434F-BFAF-CD7595716413}">
  <dimension ref="A1:L15"/>
  <sheetViews>
    <sheetView workbookViewId="0">
      <selection activeCell="J8" activeCellId="1" sqref="J13:J14 J8"/>
    </sheetView>
  </sheetViews>
  <sheetFormatPr defaultRowHeight="15"/>
  <cols>
    <col min="1" max="1" width="17.85546875" customWidth="1"/>
    <col min="2" max="2" width="59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76</v>
      </c>
    </row>
    <row r="3" spans="1:12">
      <c r="A3">
        <v>3</v>
      </c>
      <c r="B3" t="s">
        <v>18</v>
      </c>
    </row>
    <row r="5" spans="1:1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12">
      <c r="A6" s="1" t="s">
        <v>10</v>
      </c>
      <c r="B6" t="s">
        <v>65</v>
      </c>
      <c r="C6" s="2">
        <f>A3/3*3000/1000</f>
        <v>3</v>
      </c>
      <c r="D6" t="s">
        <v>18</v>
      </c>
      <c r="E6" s="3">
        <f>4900/10000</f>
        <v>0.49</v>
      </c>
      <c r="F6" s="2">
        <f>C6*E6</f>
        <v>1.47</v>
      </c>
      <c r="G6" s="2">
        <v>52.2</v>
      </c>
      <c r="H6" s="2">
        <f>F6*G6</f>
        <v>76.734000000000009</v>
      </c>
    </row>
    <row r="7" spans="1:12">
      <c r="B7" t="s">
        <v>66</v>
      </c>
      <c r="C7" s="2">
        <f>A3/3*3000/1000</f>
        <v>3</v>
      </c>
      <c r="D7" t="s">
        <v>1</v>
      </c>
      <c r="E7" s="3">
        <f>2000/10000</f>
        <v>0.2</v>
      </c>
      <c r="F7" s="2">
        <f>C7*E7</f>
        <v>0.60000000000000009</v>
      </c>
      <c r="G7" s="2">
        <v>52.2</v>
      </c>
      <c r="H7" s="2">
        <f>F7*G7</f>
        <v>31.320000000000007</v>
      </c>
    </row>
    <row r="8" spans="1:12">
      <c r="B8" s="1" t="s">
        <v>22</v>
      </c>
      <c r="F8" s="4">
        <f>SUM(F6:F7)</f>
        <v>2.0700000000000003</v>
      </c>
      <c r="H8" s="4">
        <f>SUM(H6:H7)</f>
        <v>108.05400000000002</v>
      </c>
      <c r="J8" s="5">
        <f>H8*1.17</f>
        <v>126.42318000000002</v>
      </c>
      <c r="L8" s="2"/>
    </row>
    <row r="9" spans="1:12">
      <c r="A9" s="1" t="s">
        <v>23</v>
      </c>
      <c r="B9" t="s">
        <v>73</v>
      </c>
      <c r="C9" s="2">
        <f>A3/3*3</f>
        <v>3</v>
      </c>
      <c r="D9" t="s">
        <v>18</v>
      </c>
      <c r="E9" s="3" t="s">
        <v>25</v>
      </c>
      <c r="F9" s="2" t="s">
        <v>25</v>
      </c>
      <c r="G9" s="2">
        <f>(1197/100)</f>
        <v>11.97</v>
      </c>
      <c r="H9" s="2">
        <f>C9*G9</f>
        <v>35.910000000000004</v>
      </c>
      <c r="L9" s="2"/>
    </row>
    <row r="10" spans="1:12">
      <c r="B10" t="s">
        <v>74</v>
      </c>
      <c r="C10" s="2">
        <f>A3/3*1</f>
        <v>1</v>
      </c>
      <c r="D10" t="s">
        <v>1</v>
      </c>
      <c r="E10" s="3" t="s">
        <v>25</v>
      </c>
      <c r="F10" s="2" t="s">
        <v>25</v>
      </c>
      <c r="G10" s="2">
        <f>(705/100)</f>
        <v>7.05</v>
      </c>
      <c r="H10" s="2">
        <f>C10*G10</f>
        <v>7.05</v>
      </c>
      <c r="L10" s="2"/>
    </row>
    <row r="11" spans="1:12">
      <c r="B11" t="s">
        <v>75</v>
      </c>
      <c r="C11" s="2">
        <f>A3/3*2</f>
        <v>2</v>
      </c>
      <c r="D11" t="s">
        <v>1</v>
      </c>
      <c r="E11" s="3" t="s">
        <v>25</v>
      </c>
      <c r="F11" s="2" t="s">
        <v>25</v>
      </c>
      <c r="G11" s="2">
        <f>(622/100)</f>
        <v>6.22</v>
      </c>
      <c r="H11" s="2">
        <f>C11*G11</f>
        <v>12.44</v>
      </c>
      <c r="L11" s="2"/>
    </row>
    <row r="12" spans="1:12">
      <c r="B12" t="s">
        <v>31</v>
      </c>
      <c r="C12" s="2">
        <f>A3/3*1</f>
        <v>1</v>
      </c>
      <c r="D12" t="s">
        <v>21</v>
      </c>
      <c r="E12" s="3" t="s">
        <v>25</v>
      </c>
      <c r="F12" s="2" t="s">
        <v>25</v>
      </c>
      <c r="G12" s="2">
        <f>10</f>
        <v>10</v>
      </c>
      <c r="H12" s="2">
        <f>C12*G12</f>
        <v>10</v>
      </c>
      <c r="L12" s="2"/>
    </row>
    <row r="13" spans="1:12">
      <c r="B13" s="1" t="s">
        <v>32</v>
      </c>
      <c r="H13" s="4">
        <f>SUM(H9:H12)</f>
        <v>65.400000000000006</v>
      </c>
      <c r="J13" s="5">
        <f t="shared" ref="J13:J14" si="0">H13*1.17</f>
        <v>76.518000000000001</v>
      </c>
      <c r="L13" s="2"/>
    </row>
    <row r="14" spans="1:12">
      <c r="A14" s="1" t="s">
        <v>33</v>
      </c>
      <c r="B14" s="1" t="s">
        <v>34</v>
      </c>
      <c r="H14" s="4">
        <f>H8+H13</f>
        <v>173.45400000000001</v>
      </c>
      <c r="J14" s="5">
        <f t="shared" si="0"/>
        <v>202.94118</v>
      </c>
      <c r="L14" s="5">
        <f>J14*1.21</f>
        <v>245.55882779999999</v>
      </c>
    </row>
    <row r="15" spans="1:12">
      <c r="L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A1</vt:lpstr>
      <vt:lpstr>A2</vt:lpstr>
      <vt:lpstr>A3</vt:lpstr>
      <vt:lpstr>A4-a</vt:lpstr>
      <vt:lpstr>A4-b</vt:lpstr>
      <vt:lpstr>A5</vt:lpstr>
      <vt:lpstr>A6</vt:lpstr>
      <vt:lpstr>A7</vt:lpstr>
      <vt:lpstr>A8</vt:lpstr>
      <vt:lpstr>A9</vt:lpstr>
      <vt:lpstr>A10</vt:lpstr>
      <vt:lpstr>A11</vt:lpstr>
      <vt:lpstr>A12-a</vt:lpstr>
      <vt:lpstr>A12-b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2023-04-26T13:29:15Z</dcterms:modified>
</cp:coreProperties>
</file>