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jn documenten\L&amp;C Consult\Regio Gooi en Vechtstreek\"/>
    </mc:Choice>
  </mc:AlternateContent>
  <xr:revisionPtr revIDLastSave="0" documentId="8_{9BA486EB-0243-4D9B-97DA-488E3F58527F}" xr6:coauthVersionLast="47" xr6:coauthVersionMax="47" xr10:uidLastSave="{00000000-0000-0000-0000-000000000000}"/>
  <bookViews>
    <workbookView xWindow="-120" yWindow="-120" windowWidth="29040" windowHeight="15840" tabRatio="601" activeTab="2" xr2:uid="{00000000-000D-0000-FFFF-FFFF00000000}"/>
  </bookViews>
  <sheets>
    <sheet name="F1" sheetId="86" r:id="rId1"/>
    <sheet name="F2" sheetId="87" r:id="rId2"/>
    <sheet name="F3" sheetId="88" r:id="rId3"/>
    <sheet name="F4" sheetId="89" r:id="rId4"/>
    <sheet name="F5" sheetId="90" r:id="rId5"/>
    <sheet name="F6" sheetId="91" r:id="rId6"/>
    <sheet name="F7" sheetId="92" r:id="rId7"/>
    <sheet name="F8" sheetId="93" r:id="rId8"/>
    <sheet name="F9" sheetId="94" r:id="rId9"/>
    <sheet name="F10" sheetId="95" r:id="rId10"/>
    <sheet name="F11" sheetId="96" r:id="rId11"/>
    <sheet name="F12" sheetId="97" r:id="rId12"/>
    <sheet name="F13" sheetId="98" r:id="rId13"/>
    <sheet name="F14" sheetId="99" r:id="rId14"/>
    <sheet name="F15" sheetId="100" r:id="rId15"/>
    <sheet name="F16" sheetId="101" r:id="rId16"/>
    <sheet name="F17" sheetId="102" r:id="rId17"/>
    <sheet name="F18" sheetId="103" r:id="rId18"/>
    <sheet name="F19" sheetId="104" r:id="rId19"/>
    <sheet name="F20" sheetId="105" r:id="rId20"/>
    <sheet name="F21" sheetId="106" r:id="rId21"/>
    <sheet name="F22a" sheetId="107" r:id="rId22"/>
    <sheet name="F22b" sheetId="108" r:id="rId23"/>
  </sheets>
  <calcPr calcId="181029"/>
</workbook>
</file>

<file path=xl/calcChain.xml><?xml version="1.0" encoding="utf-8"?>
<calcChain xmlns="http://schemas.openxmlformats.org/spreadsheetml/2006/main">
  <c r="H13" i="88" l="1"/>
  <c r="J11" i="108"/>
  <c r="L11" i="108" s="1"/>
  <c r="J10" i="108"/>
  <c r="J8" i="108"/>
  <c r="G9" i="108"/>
  <c r="H9" i="108" s="1"/>
  <c r="H10" i="108" s="1"/>
  <c r="C9" i="108"/>
  <c r="G7" i="108"/>
  <c r="E7" i="108"/>
  <c r="C7" i="108"/>
  <c r="F7" i="108" s="1"/>
  <c r="H7" i="108" s="1"/>
  <c r="G6" i="108"/>
  <c r="E6" i="108"/>
  <c r="F6" i="108" s="1"/>
  <c r="C6" i="108"/>
  <c r="J8" i="106"/>
  <c r="J10" i="107"/>
  <c r="G9" i="107"/>
  <c r="C9" i="107"/>
  <c r="H9" i="107" s="1"/>
  <c r="H10" i="107" s="1"/>
  <c r="E7" i="107"/>
  <c r="C7" i="107"/>
  <c r="F7" i="107" s="1"/>
  <c r="H7" i="107" s="1"/>
  <c r="E6" i="107"/>
  <c r="C6" i="107"/>
  <c r="F6" i="107" s="1"/>
  <c r="G7" i="106"/>
  <c r="C7" i="106"/>
  <c r="H7" i="106" s="1"/>
  <c r="H8" i="106" s="1"/>
  <c r="J14" i="105"/>
  <c r="J15" i="105"/>
  <c r="L15" i="105" s="1"/>
  <c r="J8" i="105"/>
  <c r="G13" i="105"/>
  <c r="C13" i="105"/>
  <c r="H13" i="105" s="1"/>
  <c r="H12" i="105"/>
  <c r="G12" i="105"/>
  <c r="C12" i="105"/>
  <c r="G11" i="105"/>
  <c r="C11" i="105"/>
  <c r="H11" i="105" s="1"/>
  <c r="H10" i="105"/>
  <c r="G10" i="105"/>
  <c r="C10" i="105"/>
  <c r="G9" i="105"/>
  <c r="C9" i="105"/>
  <c r="H9" i="105" s="1"/>
  <c r="H14" i="105" s="1"/>
  <c r="E7" i="105"/>
  <c r="C7" i="105"/>
  <c r="F7" i="105" s="1"/>
  <c r="H7" i="105" s="1"/>
  <c r="E6" i="105"/>
  <c r="C6" i="105"/>
  <c r="F6" i="105" s="1"/>
  <c r="J14" i="104"/>
  <c r="L14" i="104" s="1"/>
  <c r="J13" i="104"/>
  <c r="J8" i="104"/>
  <c r="G12" i="104"/>
  <c r="C12" i="104"/>
  <c r="H12" i="104" s="1"/>
  <c r="G11" i="104"/>
  <c r="H11" i="104" s="1"/>
  <c r="C11" i="104"/>
  <c r="G10" i="104"/>
  <c r="C10" i="104"/>
  <c r="H10" i="104" s="1"/>
  <c r="G9" i="104"/>
  <c r="H9" i="104" s="1"/>
  <c r="C9" i="104"/>
  <c r="E7" i="104"/>
  <c r="F7" i="104" s="1"/>
  <c r="H7" i="104" s="1"/>
  <c r="C7" i="104"/>
  <c r="E6" i="104"/>
  <c r="C6" i="104"/>
  <c r="F6" i="104" s="1"/>
  <c r="J13" i="103"/>
  <c r="J14" i="103"/>
  <c r="L14" i="103" s="1"/>
  <c r="J8" i="103"/>
  <c r="H12" i="103"/>
  <c r="G12" i="103"/>
  <c r="C12" i="103"/>
  <c r="H11" i="103"/>
  <c r="G11" i="103"/>
  <c r="C11" i="103"/>
  <c r="H10" i="103"/>
  <c r="G10" i="103"/>
  <c r="C10" i="103"/>
  <c r="H9" i="103"/>
  <c r="H13" i="103" s="1"/>
  <c r="G9" i="103"/>
  <c r="C9" i="103"/>
  <c r="F7" i="103"/>
  <c r="H7" i="103" s="1"/>
  <c r="E7" i="103"/>
  <c r="C7" i="103"/>
  <c r="E6" i="103"/>
  <c r="C6" i="103"/>
  <c r="F6" i="103" s="1"/>
  <c r="J13" i="102"/>
  <c r="L13" i="102" s="1"/>
  <c r="J12" i="102"/>
  <c r="J8" i="102"/>
  <c r="G11" i="102"/>
  <c r="C11" i="102"/>
  <c r="H11" i="102" s="1"/>
  <c r="H10" i="102"/>
  <c r="G10" i="102"/>
  <c r="C10" i="102"/>
  <c r="G9" i="102"/>
  <c r="C9" i="102"/>
  <c r="H9" i="102" s="1"/>
  <c r="E7" i="102"/>
  <c r="C7" i="102"/>
  <c r="F7" i="102" s="1"/>
  <c r="H7" i="102" s="1"/>
  <c r="E6" i="102"/>
  <c r="F6" i="102" s="1"/>
  <c r="C6" i="102"/>
  <c r="J15" i="101"/>
  <c r="L15" i="101" s="1"/>
  <c r="J14" i="101"/>
  <c r="J9" i="101"/>
  <c r="G13" i="101"/>
  <c r="H13" i="101" s="1"/>
  <c r="C13" i="101"/>
  <c r="H12" i="101"/>
  <c r="G12" i="101"/>
  <c r="C12" i="101"/>
  <c r="G11" i="101"/>
  <c r="H11" i="101" s="1"/>
  <c r="C11" i="101"/>
  <c r="H10" i="101"/>
  <c r="G10" i="101"/>
  <c r="C10" i="101"/>
  <c r="F8" i="101"/>
  <c r="H8" i="101" s="1"/>
  <c r="E8" i="101"/>
  <c r="C8" i="101"/>
  <c r="E7" i="101"/>
  <c r="C7" i="101"/>
  <c r="F7" i="101" s="1"/>
  <c r="H7" i="101" s="1"/>
  <c r="E6" i="101"/>
  <c r="C6" i="101"/>
  <c r="F6" i="101" s="1"/>
  <c r="J15" i="100"/>
  <c r="L15" i="100" s="1"/>
  <c r="J14" i="100"/>
  <c r="J8" i="100"/>
  <c r="G13" i="100"/>
  <c r="C13" i="100"/>
  <c r="H13" i="100" s="1"/>
  <c r="H12" i="100"/>
  <c r="G12" i="100"/>
  <c r="C12" i="100"/>
  <c r="G11" i="100"/>
  <c r="C11" i="100"/>
  <c r="H11" i="100" s="1"/>
  <c r="H10" i="100"/>
  <c r="G10" i="100"/>
  <c r="C10" i="100"/>
  <c r="G9" i="100"/>
  <c r="C9" i="100"/>
  <c r="H9" i="100" s="1"/>
  <c r="H14" i="100" s="1"/>
  <c r="E7" i="100"/>
  <c r="C7" i="100"/>
  <c r="F7" i="100" s="1"/>
  <c r="H7" i="100" s="1"/>
  <c r="E6" i="100"/>
  <c r="C6" i="100"/>
  <c r="F6" i="100" s="1"/>
  <c r="C13" i="99"/>
  <c r="H13" i="99" s="1"/>
  <c r="H12" i="99"/>
  <c r="G12" i="99"/>
  <c r="C12" i="99"/>
  <c r="G11" i="99"/>
  <c r="C11" i="99"/>
  <c r="H11" i="99" s="1"/>
  <c r="H10" i="99"/>
  <c r="G10" i="99"/>
  <c r="C10" i="99"/>
  <c r="G9" i="99"/>
  <c r="C9" i="99"/>
  <c r="H9" i="99" s="1"/>
  <c r="E7" i="99"/>
  <c r="C7" i="99"/>
  <c r="F7" i="99" s="1"/>
  <c r="H7" i="99" s="1"/>
  <c r="C6" i="99"/>
  <c r="F6" i="99" s="1"/>
  <c r="J14" i="98"/>
  <c r="L14" i="98" s="1"/>
  <c r="J13" i="98"/>
  <c r="J8" i="98"/>
  <c r="G12" i="98"/>
  <c r="H12" i="98" s="1"/>
  <c r="C12" i="98"/>
  <c r="H11" i="98"/>
  <c r="G11" i="98"/>
  <c r="C11" i="98"/>
  <c r="G10" i="98"/>
  <c r="H10" i="98" s="1"/>
  <c r="C10" i="98"/>
  <c r="H9" i="98"/>
  <c r="G9" i="98"/>
  <c r="C9" i="98"/>
  <c r="F7" i="98"/>
  <c r="H7" i="98" s="1"/>
  <c r="E7" i="98"/>
  <c r="C7" i="98"/>
  <c r="E6" i="98"/>
  <c r="C6" i="98"/>
  <c r="F6" i="98" s="1"/>
  <c r="J14" i="97"/>
  <c r="L14" i="97" s="1"/>
  <c r="J13" i="97"/>
  <c r="J8" i="97"/>
  <c r="G12" i="97"/>
  <c r="C12" i="97"/>
  <c r="H12" i="97" s="1"/>
  <c r="H11" i="97"/>
  <c r="G11" i="97"/>
  <c r="C11" i="97"/>
  <c r="G10" i="97"/>
  <c r="C10" i="97"/>
  <c r="H10" i="97" s="1"/>
  <c r="H9" i="97"/>
  <c r="H13" i="97" s="1"/>
  <c r="G9" i="97"/>
  <c r="C9" i="97"/>
  <c r="F7" i="97"/>
  <c r="H7" i="97" s="1"/>
  <c r="E7" i="97"/>
  <c r="C7" i="97"/>
  <c r="E6" i="97"/>
  <c r="C6" i="97"/>
  <c r="F6" i="97" s="1"/>
  <c r="J14" i="96"/>
  <c r="L14" i="96" s="1"/>
  <c r="J13" i="96"/>
  <c r="J8" i="96"/>
  <c r="G12" i="96"/>
  <c r="H12" i="96" s="1"/>
  <c r="C12" i="96"/>
  <c r="H11" i="96"/>
  <c r="G11" i="96"/>
  <c r="C11" i="96"/>
  <c r="H10" i="96"/>
  <c r="G10" i="96"/>
  <c r="C10" i="96"/>
  <c r="H9" i="96"/>
  <c r="H13" i="96" s="1"/>
  <c r="G9" i="96"/>
  <c r="C9" i="96"/>
  <c r="F7" i="96"/>
  <c r="H7" i="96" s="1"/>
  <c r="E7" i="96"/>
  <c r="C7" i="96"/>
  <c r="E6" i="96"/>
  <c r="C6" i="96"/>
  <c r="F6" i="96" s="1"/>
  <c r="J14" i="95"/>
  <c r="L14" i="95" s="1"/>
  <c r="J13" i="95"/>
  <c r="J8" i="95"/>
  <c r="G12" i="95"/>
  <c r="C12" i="95"/>
  <c r="H12" i="95" s="1"/>
  <c r="H11" i="95"/>
  <c r="G11" i="95"/>
  <c r="C11" i="95"/>
  <c r="G10" i="95"/>
  <c r="C10" i="95"/>
  <c r="H10" i="95" s="1"/>
  <c r="H9" i="95"/>
  <c r="H13" i="95" s="1"/>
  <c r="G9" i="95"/>
  <c r="C9" i="95"/>
  <c r="F7" i="95"/>
  <c r="H7" i="95" s="1"/>
  <c r="E7" i="95"/>
  <c r="C7" i="95"/>
  <c r="E6" i="95"/>
  <c r="C6" i="95"/>
  <c r="F6" i="95" s="1"/>
  <c r="J10" i="94"/>
  <c r="L10" i="94" s="1"/>
  <c r="J9" i="94"/>
  <c r="J7" i="94"/>
  <c r="H8" i="94"/>
  <c r="H9" i="94" s="1"/>
  <c r="G8" i="94"/>
  <c r="C8" i="94"/>
  <c r="F6" i="94"/>
  <c r="F7" i="94" s="1"/>
  <c r="E6" i="94"/>
  <c r="C6" i="94"/>
  <c r="J10" i="93"/>
  <c r="L10" i="93" s="1"/>
  <c r="J9" i="93"/>
  <c r="J7" i="93"/>
  <c r="G8" i="93"/>
  <c r="C8" i="93"/>
  <c r="H8" i="93" s="1"/>
  <c r="H9" i="93" s="1"/>
  <c r="E6" i="93"/>
  <c r="C6" i="93"/>
  <c r="F6" i="93" s="1"/>
  <c r="J14" i="92"/>
  <c r="L14" i="92" s="1"/>
  <c r="J13" i="92"/>
  <c r="J8" i="92"/>
  <c r="G12" i="92"/>
  <c r="H12" i="92" s="1"/>
  <c r="C12" i="92"/>
  <c r="H11" i="92"/>
  <c r="G11" i="92"/>
  <c r="C11" i="92"/>
  <c r="H10" i="92"/>
  <c r="G10" i="92"/>
  <c r="C10" i="92"/>
  <c r="H9" i="92"/>
  <c r="G9" i="92"/>
  <c r="C9" i="92"/>
  <c r="F7" i="92"/>
  <c r="H7" i="92" s="1"/>
  <c r="E7" i="92"/>
  <c r="C7" i="92"/>
  <c r="E6" i="92"/>
  <c r="C6" i="92"/>
  <c r="F6" i="92" s="1"/>
  <c r="J14" i="91"/>
  <c r="L14" i="91" s="1"/>
  <c r="J13" i="91"/>
  <c r="J8" i="91"/>
  <c r="G12" i="91"/>
  <c r="C12" i="91"/>
  <c r="H12" i="91" s="1"/>
  <c r="H11" i="91"/>
  <c r="G11" i="91"/>
  <c r="C11" i="91"/>
  <c r="G10" i="91"/>
  <c r="C10" i="91"/>
  <c r="H10" i="91" s="1"/>
  <c r="H9" i="91"/>
  <c r="H13" i="91" s="1"/>
  <c r="G9" i="91"/>
  <c r="C9" i="91"/>
  <c r="F7" i="91"/>
  <c r="H7" i="91" s="1"/>
  <c r="E7" i="91"/>
  <c r="C7" i="91"/>
  <c r="E6" i="91"/>
  <c r="C6" i="91"/>
  <c r="F6" i="91" s="1"/>
  <c r="J14" i="90"/>
  <c r="L14" i="90" s="1"/>
  <c r="J13" i="90"/>
  <c r="J8" i="90"/>
  <c r="G12" i="90"/>
  <c r="H12" i="90" s="1"/>
  <c r="C12" i="90"/>
  <c r="H11" i="90"/>
  <c r="G11" i="90"/>
  <c r="C11" i="90"/>
  <c r="G10" i="90"/>
  <c r="H10" i="90" s="1"/>
  <c r="C10" i="90"/>
  <c r="H9" i="90"/>
  <c r="G9" i="90"/>
  <c r="C9" i="90"/>
  <c r="F7" i="90"/>
  <c r="H7" i="90" s="1"/>
  <c r="E7" i="90"/>
  <c r="C7" i="90"/>
  <c r="E6" i="90"/>
  <c r="C6" i="90"/>
  <c r="F6" i="90" s="1"/>
  <c r="J14" i="89"/>
  <c r="J15" i="89"/>
  <c r="L15" i="89"/>
  <c r="J8" i="89"/>
  <c r="G13" i="89"/>
  <c r="H13" i="89" s="1"/>
  <c r="C13" i="89"/>
  <c r="H12" i="89"/>
  <c r="G12" i="89"/>
  <c r="C12" i="89"/>
  <c r="G11" i="89"/>
  <c r="H11" i="89" s="1"/>
  <c r="C11" i="89"/>
  <c r="H10" i="89"/>
  <c r="G10" i="89"/>
  <c r="C10" i="89"/>
  <c r="G9" i="89"/>
  <c r="H9" i="89" s="1"/>
  <c r="C9" i="89"/>
  <c r="E7" i="89"/>
  <c r="F7" i="89" s="1"/>
  <c r="H7" i="89" s="1"/>
  <c r="C7" i="89"/>
  <c r="E6" i="89"/>
  <c r="C6" i="89"/>
  <c r="F6" i="89" s="1"/>
  <c r="J9" i="88"/>
  <c r="G13" i="88"/>
  <c r="H12" i="88"/>
  <c r="G12" i="88"/>
  <c r="C12" i="88"/>
  <c r="G11" i="88"/>
  <c r="C11" i="88"/>
  <c r="H11" i="88" s="1"/>
  <c r="H10" i="88"/>
  <c r="G10" i="88"/>
  <c r="C10" i="88"/>
  <c r="E8" i="88"/>
  <c r="F8" i="88" s="1"/>
  <c r="H8" i="88" s="1"/>
  <c r="C8" i="88"/>
  <c r="F7" i="88"/>
  <c r="H7" i="88" s="1"/>
  <c r="E7" i="88"/>
  <c r="C7" i="88"/>
  <c r="E6" i="88"/>
  <c r="C6" i="88"/>
  <c r="F6" i="88" s="1"/>
  <c r="L12" i="87"/>
  <c r="J12" i="87"/>
  <c r="J11" i="87"/>
  <c r="J7" i="87"/>
  <c r="G10" i="87"/>
  <c r="H10" i="87" s="1"/>
  <c r="C10" i="87"/>
  <c r="H9" i="87"/>
  <c r="G9" i="87"/>
  <c r="C9" i="87"/>
  <c r="G8" i="87"/>
  <c r="H8" i="87" s="1"/>
  <c r="C8" i="87"/>
  <c r="E6" i="87"/>
  <c r="F6" i="87" s="1"/>
  <c r="C6" i="87"/>
  <c r="J11" i="86"/>
  <c r="J12" i="86"/>
  <c r="L12" i="86"/>
  <c r="J7" i="86"/>
  <c r="G10" i="86"/>
  <c r="H10" i="86" s="1"/>
  <c r="C10" i="86"/>
  <c r="H9" i="86"/>
  <c r="G9" i="86"/>
  <c r="C9" i="86"/>
  <c r="G8" i="86"/>
  <c r="H8" i="86" s="1"/>
  <c r="H11" i="86" s="1"/>
  <c r="C8" i="86"/>
  <c r="E6" i="86"/>
  <c r="F6" i="86" s="1"/>
  <c r="C6" i="86"/>
  <c r="H14" i="99" l="1"/>
  <c r="J14" i="99" s="1"/>
  <c r="F8" i="108"/>
  <c r="H6" i="108"/>
  <c r="H8" i="108" s="1"/>
  <c r="H11" i="108" s="1"/>
  <c r="F8" i="107"/>
  <c r="H6" i="107"/>
  <c r="H8" i="107" s="1"/>
  <c r="F8" i="105"/>
  <c r="H6" i="105"/>
  <c r="H8" i="105" s="1"/>
  <c r="H15" i="105" s="1"/>
  <c r="H6" i="104"/>
  <c r="H8" i="104" s="1"/>
  <c r="F8" i="104"/>
  <c r="H13" i="104"/>
  <c r="H6" i="103"/>
  <c r="H8" i="103" s="1"/>
  <c r="H14" i="103" s="1"/>
  <c r="F8" i="103"/>
  <c r="F8" i="102"/>
  <c r="H6" i="102"/>
  <c r="H8" i="102" s="1"/>
  <c r="H12" i="102"/>
  <c r="H6" i="101"/>
  <c r="H9" i="101" s="1"/>
  <c r="H15" i="101" s="1"/>
  <c r="F9" i="101"/>
  <c r="H14" i="101"/>
  <c r="F8" i="100"/>
  <c r="H6" i="100"/>
  <c r="H8" i="100" s="1"/>
  <c r="H15" i="100" s="1"/>
  <c r="F8" i="99"/>
  <c r="H6" i="99"/>
  <c r="H8" i="99" s="1"/>
  <c r="H6" i="98"/>
  <c r="H8" i="98" s="1"/>
  <c r="F8" i="98"/>
  <c r="H13" i="98"/>
  <c r="H6" i="97"/>
  <c r="H8" i="97" s="1"/>
  <c r="H14" i="97" s="1"/>
  <c r="F8" i="97"/>
  <c r="H6" i="96"/>
  <c r="H8" i="96" s="1"/>
  <c r="H14" i="96" s="1"/>
  <c r="F8" i="96"/>
  <c r="F8" i="95"/>
  <c r="H6" i="95"/>
  <c r="H8" i="95" s="1"/>
  <c r="H14" i="95" s="1"/>
  <c r="H6" i="94"/>
  <c r="H7" i="94" s="1"/>
  <c r="H10" i="94" s="1"/>
  <c r="F7" i="93"/>
  <c r="H6" i="93"/>
  <c r="H7" i="93" s="1"/>
  <c r="H10" i="93" s="1"/>
  <c r="H6" i="92"/>
  <c r="H8" i="92" s="1"/>
  <c r="F8" i="92"/>
  <c r="H13" i="92"/>
  <c r="H6" i="91"/>
  <c r="H8" i="91" s="1"/>
  <c r="H14" i="91" s="1"/>
  <c r="F8" i="91"/>
  <c r="H6" i="90"/>
  <c r="H8" i="90" s="1"/>
  <c r="H14" i="90" s="1"/>
  <c r="F8" i="90"/>
  <c r="H13" i="90"/>
  <c r="F8" i="89"/>
  <c r="H6" i="89"/>
  <c r="H8" i="89" s="1"/>
  <c r="H14" i="89"/>
  <c r="H6" i="88"/>
  <c r="H9" i="88" s="1"/>
  <c r="F9" i="88"/>
  <c r="H14" i="88"/>
  <c r="J14" i="88" s="1"/>
  <c r="H11" i="87"/>
  <c r="F7" i="87"/>
  <c r="H6" i="87"/>
  <c r="H7" i="87" s="1"/>
  <c r="F7" i="86"/>
  <c r="H6" i="86"/>
  <c r="H7" i="86" s="1"/>
  <c r="H12" i="86" s="1"/>
  <c r="H15" i="99" l="1"/>
  <c r="J15" i="99" s="1"/>
  <c r="L15" i="99" s="1"/>
  <c r="J8" i="99"/>
  <c r="H11" i="107"/>
  <c r="J11" i="107" s="1"/>
  <c r="L11" i="107" s="1"/>
  <c r="J8" i="107"/>
  <c r="H14" i="104"/>
  <c r="H13" i="102"/>
  <c r="H14" i="98"/>
  <c r="H14" i="92"/>
  <c r="H15" i="89"/>
  <c r="H15" i="88"/>
  <c r="J15" i="88" s="1"/>
  <c r="L15" i="88" s="1"/>
  <c r="H12" i="87"/>
  <c r="F6" i="106"/>
  <c r="H6" i="106"/>
  <c r="H9" i="106"/>
</calcChain>
</file>

<file path=xl/sharedStrings.xml><?xml version="1.0" encoding="utf-8"?>
<sst xmlns="http://schemas.openxmlformats.org/spreadsheetml/2006/main" count="764" uniqueCount="96">
  <si>
    <t>stk</t>
  </si>
  <si>
    <t>Kostencomponent</t>
  </si>
  <si>
    <t>Omschrijving</t>
  </si>
  <si>
    <t>Hoeveelheid</t>
  </si>
  <si>
    <t>Verbruik eenheid</t>
  </si>
  <si>
    <t>Norm per eenheid</t>
  </si>
  <si>
    <t>Totaal uren</t>
  </si>
  <si>
    <t>Kosten per uur / eenheid</t>
  </si>
  <si>
    <t>Totaal Kosten</t>
  </si>
  <si>
    <t>Loonkosten</t>
  </si>
  <si>
    <t>Kabelgoot (leidingkanaal) aanbrengen, inclusief bedrading en aansluiten</t>
  </si>
  <si>
    <t>m</t>
  </si>
  <si>
    <t>Werkplek opruimen en afkomend materiaal afvoeren</t>
  </si>
  <si>
    <t>post</t>
  </si>
  <si>
    <t>Subtotaal loonkosten</t>
  </si>
  <si>
    <t>Materialkosten</t>
  </si>
  <si>
    <t/>
  </si>
  <si>
    <t>Plattebuissysteem, Attema type P25, kunststof, wit, 13 x 25 mm</t>
  </si>
  <si>
    <t>Installatiekabel YMvK MB 3x2,5 mm2, 0,6/1kV, Donne</t>
  </si>
  <si>
    <t>Toeslag (klein) materiaal, materieel en diversen</t>
  </si>
  <si>
    <t>Subtotaal materiaalkosten</t>
  </si>
  <si>
    <t>Directe kosten</t>
  </si>
  <si>
    <t>Eindtotaal directe kosten</t>
  </si>
  <si>
    <t>Demontage en herstelwerk</t>
  </si>
  <si>
    <t>uur</t>
  </si>
  <si>
    <t>Schoonmaken en in herverstrekbare staat brengen</t>
  </si>
  <si>
    <t>set</t>
  </si>
  <si>
    <t>m2</t>
  </si>
  <si>
    <t>kg</t>
  </si>
  <si>
    <t>ltr</t>
  </si>
  <si>
    <t>Automatische draaideurautomaat met duwarm voor buitendeur installeren, inclusief beveiliging (safe-sensor) aan sluit- en openzijde.</t>
  </si>
  <si>
    <t>Monteren en in werking stellen van automatische draaideurautomaat</t>
  </si>
  <si>
    <t>Automatische draaideurautomaat met duwarm, voor buitendeur</t>
  </si>
  <si>
    <t>4-Safesensor (lang) t.b.v. draaideurautomaat, lengte 900 mm</t>
  </si>
  <si>
    <t>4-Safesensor (kort) t.b.v. draaideurautomaat, lengte 340 mm</t>
  </si>
  <si>
    <t xml:space="preserve">Automatische draaideurautomaat met duwarm voor binnendeur, inclusief beveiliging (safe-sensor) aan sluit- en openzijde. </t>
  </si>
  <si>
    <t>Automatische draaideurautomaat met duwarm, voor binnendeur</t>
  </si>
  <si>
    <t>Montageplaat aanbrengen t.b.v. elektrische deuropenener, multiplex dik 18 mm, geschilderd in kleur</t>
  </si>
  <si>
    <t>Houten montageplaat paszagen en aanbrengen</t>
  </si>
  <si>
    <t>Houten montageplaat in kleur kozijn schilderen, 2x aflakken</t>
  </si>
  <si>
    <t>Okoumé wit gegrond, B/BB ext, dik 22 mm</t>
  </si>
  <si>
    <t>Bevestigingsmiddelen timmerwerk</t>
  </si>
  <si>
    <t>Stoppasta</t>
  </si>
  <si>
    <t>Eindlaag, dekkend watergedragen polyurethaan, kleur</t>
  </si>
  <si>
    <t>Elleboogschakelaar aanbrengen t.b.v. draaideurautomaat</t>
  </si>
  <si>
    <t>Monteren/installeren elleboogschakelaar</t>
  </si>
  <si>
    <t>Elleboogschakelaar met ingebouwde zender, kunststof, wit, Maasland type 002-ELS13T</t>
  </si>
  <si>
    <t>Vulplaat voor kabelgoot P25 voor elleboogschakelaar ELS20/ELS10 (2 stuks), Maasland type 004-ELS25P</t>
  </si>
  <si>
    <t>Bevestigingsmiddelen</t>
  </si>
  <si>
    <t>Sensor (bewegingsmelder) aanbrengen t.b.v. automatisch openen van deur</t>
  </si>
  <si>
    <t>Sensor (bewegingsmelder) monteren/installeren</t>
  </si>
  <si>
    <t>Automatische deursensor, opbouw, BEG Luxomat RC-plus bewegingsschakelaar</t>
  </si>
  <si>
    <t>Sleutelschakelaar aanbrengen t.b.v. openen deur</t>
  </si>
  <si>
    <t>Sleutel- of standenschakelaar monteren</t>
  </si>
  <si>
    <t>Sleutelschakelaar (opbouw) t.b.v. draaideurautomaat, FAAC</t>
  </si>
  <si>
    <t>Ontvanger aanbrengen, inclusief afstandsbediening</t>
  </si>
  <si>
    <t>Aanbrengen draadloze afstandsbediening (ontvanger)</t>
  </si>
  <si>
    <t>Automatische Poort Deur Universele Draadloze Afstandsbediening (1 Ontvanger + 2 Zenders) kit</t>
  </si>
  <si>
    <t>Afstandsbediening voor deuropener, inclusief inregelen</t>
  </si>
  <si>
    <t>Afstandsbediening inregelen</t>
  </si>
  <si>
    <t>Draadloze afstandsbediening  voor automatische (draai)deuropener</t>
  </si>
  <si>
    <t>Dagschoot deur vastzetten</t>
  </si>
  <si>
    <t>Dagschoot vastzetten</t>
  </si>
  <si>
    <t>Elektrische deuropener (dagschoot) aanbrengen, opbouw, Maasland type A30U, 24 V, inclusief bekabeling</t>
  </si>
  <si>
    <t>Elektrische deuropener aanbrengen, opbouw</t>
  </si>
  <si>
    <t>Elektrische deuropener, dagschootontgrendeling, opbouw, Maasland type A30U, 10-24 V</t>
  </si>
  <si>
    <t>Signaalkabel 4x0.8 mm², Draka DCA-S2</t>
  </si>
  <si>
    <t>Elektrische deuropener (dagschoot) aanbrengen, inbouw, Maasland type 001-A11U, 10 - 24 V, inclusief bekabeling</t>
  </si>
  <si>
    <t>Inhakken sparing en aanbrengen elektrische deuropener</t>
  </si>
  <si>
    <t>Elektrische deuropener, dagschootontgrendeling, inbouw, Maasland type 001-A11U, 10-24 V</t>
  </si>
  <si>
    <t>Elektrische deuropener (dag-nachtschoot) aanbrengen, opbouw, Maasland type 004-A60F, 24V, inclusief bekabeling</t>
  </si>
  <si>
    <t>Elektrische deuropener, dag-nachtschootontgrendeling, opbouw, Maasland type 004-A60F, 24 V</t>
  </si>
  <si>
    <t>Elektrische deuropener (dag-nachtschoot) aanbrengen, inbouw, Maasland type 002-A18U, 10-24 V, inclusief bekabeling</t>
  </si>
  <si>
    <t>Elektrische deuropener, dag-nachtschootontgrendeling, inbouw, Maasland type 002-A18U, 10-24 V</t>
  </si>
  <si>
    <t>Elektrische 3-puntsontgrendeling aanbrengen, Maasland type 001-8320EM, 12-26 V, inclusief sluitplaten/kommen en bekabeling</t>
  </si>
  <si>
    <t>Meerpuntssluiting, met sluitkom en sluitplaat aanbrengen</t>
  </si>
  <si>
    <t>Elektrische meerpuntsontgrendeling (3-punt), inbouw, Maasland type 001-8320EM, 12-26 V</t>
  </si>
  <si>
    <t>Sluitplaten/kommenset voor elektrische meerpuntsontgrendeling, inbouw, Maasland type 001-SKL of SKR,</t>
  </si>
  <si>
    <t>Deurintercom met camera installeren en koppelen met elektrische deuropener, Elro Pro - full HD video, type SKU PV40-P1M1</t>
  </si>
  <si>
    <t>Installeren en in werking stellen intercom met camera</t>
  </si>
  <si>
    <t>Deurintercom met camera, Elro Pro - full HD video, type SKU PV40-P1M1</t>
  </si>
  <si>
    <t>Signaalkabel 6x0.8 mm², Draka DCA-S2</t>
  </si>
  <si>
    <t>Deurintercom met camera installeren en koppelen met aanwezige DECT-telefoon, Elro Pro - full HD video, type SKU PV40-P1M1</t>
  </si>
  <si>
    <t>Deurintercom aansluiten op aanwezige DECT-telefoon</t>
  </si>
  <si>
    <t xml:space="preserve">Bestaande deurintercom verplaatsen, incl. aanbrengen kabelgoot met bedrading </t>
  </si>
  <si>
    <t>Verwijderen en verplaatsen intercom, opnieuw inregelen</t>
  </si>
  <si>
    <t>Camera installeren en koppelen met aanwezige intercom en camera t.b.v. elektrische deuropener, Elro Pro - full HD video, type SKU PV40-P1M1</t>
  </si>
  <si>
    <t>Camera (monitor) t.b.v. deur/video systeem aanbrengen en inregelen</t>
  </si>
  <si>
    <t>Camera (monitor), Elro Pro - full HD video, type SKU DV477W-M</t>
  </si>
  <si>
    <t>Relais aanbrengen t.b.v. koppeling deurautomaat</t>
  </si>
  <si>
    <t>Relais t.b.v. koppeling deurautomaat, KFV koppelrelais 24V genius</t>
  </si>
  <si>
    <t>Deurintercom met camera installeren en koppelen met elektrische deuropener, Niko NAC, type 10-161</t>
  </si>
  <si>
    <t>Deurintercom met camera, Niko NAC, type 10-161</t>
  </si>
  <si>
    <t>Preventief onderhoud per jaar om te voldoen aan NEN 16005</t>
  </si>
  <si>
    <t>Deurautomaten, demontage, herstelwerk, schoonmaken en in herverstrekbare staat brengen - F1/F2</t>
  </si>
  <si>
    <t>Deurautomaten (bediening/vergrendeling/afluisteren), demontage, herstelwerk, schoonmaken en in herverstrekbare staat brengen - F4-F20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</si>
</sst>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4" fontId="1" fillId="0" borderId="0" xfId="0" applyNumberFormat="1" applyFont="1"/>
    <xf numFmtId="4" fontId="2" fillId="0" borderId="0" xfId="0" applyNumberFormat="1" applyFont="1"/>
    <xf numFmtId="0" fontId="2" fillId="0" borderId="0" xfId="0" applyFont="1"/>
    <xf numFmtId="0" fontId="3" fillId="0" borderId="0" xfId="0" applyFont="1"/>
    <xf numFmtId="4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Relationship Id="rId30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7D3BC-AD5D-4E14-917F-99C02426298B}">
  <dimension ref="A1:L12"/>
  <sheetViews>
    <sheetView topLeftCell="D1" workbookViewId="0">
      <selection activeCell="J7" sqref="J7:L14"/>
    </sheetView>
  </sheetViews>
  <sheetFormatPr defaultRowHeight="15"/>
  <cols>
    <col min="1" max="1" width="17.85546875" customWidth="1"/>
    <col min="2" max="2" width="62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30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31</v>
      </c>
      <c r="C6" s="2">
        <f>A3/1*4000/1000</f>
        <v>4</v>
      </c>
      <c r="D6" t="s">
        <v>24</v>
      </c>
      <c r="E6" s="3">
        <f>10000/10000</f>
        <v>1</v>
      </c>
      <c r="F6" s="2">
        <f>C6*E6</f>
        <v>4</v>
      </c>
      <c r="G6" s="2">
        <v>56.26</v>
      </c>
      <c r="H6" s="2">
        <f>F6*G6</f>
        <v>225.04</v>
      </c>
    </row>
    <row r="7" spans="1:12">
      <c r="B7" s="6" t="s">
        <v>14</v>
      </c>
      <c r="F7" s="5">
        <f>SUM(F6:F6)</f>
        <v>4</v>
      </c>
      <c r="H7" s="5">
        <f>SUM(H6:H6)</f>
        <v>225.04</v>
      </c>
      <c r="J7" s="5">
        <f>H7*1.17</f>
        <v>263.29679999999996</v>
      </c>
      <c r="K7" s="2"/>
      <c r="L7" s="2"/>
    </row>
    <row r="8" spans="1:12">
      <c r="A8" s="6" t="s">
        <v>15</v>
      </c>
      <c r="B8" t="s">
        <v>32</v>
      </c>
      <c r="C8" s="2">
        <f>A3/1*1</f>
        <v>1</v>
      </c>
      <c r="D8" t="s">
        <v>0</v>
      </c>
      <c r="E8" s="3" t="s">
        <v>16</v>
      </c>
      <c r="F8" s="2" t="s">
        <v>16</v>
      </c>
      <c r="G8" s="2">
        <f>(147127/100)</f>
        <v>1471.27</v>
      </c>
      <c r="H8" s="2">
        <f>C8*G8</f>
        <v>1471.27</v>
      </c>
      <c r="J8" s="2"/>
      <c r="K8" s="2"/>
      <c r="L8" s="2"/>
    </row>
    <row r="9" spans="1:12">
      <c r="B9" t="s">
        <v>33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(20633/100)</f>
        <v>206.33</v>
      </c>
      <c r="H9" s="2">
        <f>C9*G9</f>
        <v>206.33</v>
      </c>
      <c r="J9" s="5"/>
      <c r="K9" s="2"/>
      <c r="L9" s="2"/>
    </row>
    <row r="10" spans="1:12">
      <c r="B10" t="s">
        <v>34</v>
      </c>
      <c r="C10" s="2">
        <f>A3/1*1</f>
        <v>1</v>
      </c>
      <c r="D10" t="s">
        <v>0</v>
      </c>
      <c r="E10" s="3" t="s">
        <v>16</v>
      </c>
      <c r="F10" s="2" t="s">
        <v>16</v>
      </c>
      <c r="G10" s="2">
        <f>(19583/100)</f>
        <v>195.83</v>
      </c>
      <c r="H10" s="2">
        <f>C10*G10</f>
        <v>195.83</v>
      </c>
      <c r="J10" s="2"/>
      <c r="K10" s="2"/>
      <c r="L10" s="2"/>
    </row>
    <row r="11" spans="1:12">
      <c r="B11" s="6" t="s">
        <v>20</v>
      </c>
      <c r="H11" s="5">
        <f>SUM(H8:H10)</f>
        <v>1873.4299999999998</v>
      </c>
      <c r="J11" s="5">
        <f t="shared" ref="J11:J12" si="0">H11*1.17</f>
        <v>2191.9130999999998</v>
      </c>
      <c r="K11" s="2"/>
      <c r="L11" s="2"/>
    </row>
    <row r="12" spans="1:12">
      <c r="A12" s="6" t="s">
        <v>21</v>
      </c>
      <c r="B12" s="6" t="s">
        <v>22</v>
      </c>
      <c r="H12" s="5">
        <f>H7+H11</f>
        <v>2098.4699999999998</v>
      </c>
      <c r="J12" s="5">
        <f t="shared" si="0"/>
        <v>2455.2098999999998</v>
      </c>
      <c r="K12" s="2"/>
      <c r="L12" s="5">
        <f>J12*1.21</f>
        <v>2970.8039789999998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00AF-8400-4B95-8CCB-5A3EFEE94F11}">
  <dimension ref="A1:L15"/>
  <sheetViews>
    <sheetView topLeftCell="D1" workbookViewId="0">
      <selection activeCell="J8" sqref="J8:L19"/>
    </sheetView>
  </sheetViews>
  <sheetFormatPr defaultRowHeight="15"/>
  <cols>
    <col min="1" max="1" width="17.85546875" customWidth="1"/>
    <col min="2" max="2" width="79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63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64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v>56.26</v>
      </c>
      <c r="H6" s="2">
        <f>F6*G6</f>
        <v>28.13</v>
      </c>
    </row>
    <row r="7" spans="1:12">
      <c r="B7" t="s">
        <v>10</v>
      </c>
      <c r="C7" s="2">
        <f>A3/1*5000/1000</f>
        <v>5</v>
      </c>
      <c r="D7" t="s">
        <v>11</v>
      </c>
      <c r="E7" s="3">
        <f>3000/10000</f>
        <v>0.3</v>
      </c>
      <c r="F7" s="2">
        <f>C7*E7</f>
        <v>1.5</v>
      </c>
      <c r="G7" s="2">
        <v>52.2</v>
      </c>
      <c r="H7" s="2">
        <f>F7*G7</f>
        <v>78.300000000000011</v>
      </c>
    </row>
    <row r="8" spans="1:12">
      <c r="B8" s="7" t="s">
        <v>14</v>
      </c>
      <c r="F8" s="8">
        <f>SUM(F6:F7)</f>
        <v>2</v>
      </c>
      <c r="H8" s="8">
        <f>SUM(H6:H7)</f>
        <v>106.43</v>
      </c>
      <c r="J8" s="5">
        <f>H8*1.17</f>
        <v>124.5231</v>
      </c>
      <c r="K8" s="2"/>
      <c r="L8" s="2"/>
    </row>
    <row r="9" spans="1:12">
      <c r="A9" s="7" t="s">
        <v>15</v>
      </c>
      <c r="B9" t="s">
        <v>65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(4635/100)</f>
        <v>46.35</v>
      </c>
      <c r="H9" s="2">
        <f>C9*G9</f>
        <v>46.35</v>
      </c>
      <c r="J9" s="2"/>
      <c r="K9" s="2"/>
      <c r="L9" s="2"/>
    </row>
    <row r="10" spans="1:12">
      <c r="B10" t="s">
        <v>17</v>
      </c>
      <c r="C10" s="2">
        <f>A3/1*5</f>
        <v>5</v>
      </c>
      <c r="D10" t="s">
        <v>11</v>
      </c>
      <c r="E10" s="3" t="s">
        <v>16</v>
      </c>
      <c r="F10" s="2" t="s">
        <v>16</v>
      </c>
      <c r="G10" s="2">
        <f>(293/100)</f>
        <v>2.93</v>
      </c>
      <c r="H10" s="2">
        <f>C10*G10</f>
        <v>14.65</v>
      </c>
      <c r="J10" s="5"/>
      <c r="K10" s="2"/>
      <c r="L10" s="2"/>
    </row>
    <row r="11" spans="1:12">
      <c r="B11" t="s">
        <v>66</v>
      </c>
      <c r="C11" s="2">
        <f>A3/1*(65/10)</f>
        <v>6.5</v>
      </c>
      <c r="D11" t="s">
        <v>11</v>
      </c>
      <c r="E11" s="3" t="s">
        <v>16</v>
      </c>
      <c r="F11" s="2" t="s">
        <v>16</v>
      </c>
      <c r="G11" s="2">
        <f>(131/100)</f>
        <v>1.31</v>
      </c>
      <c r="H11" s="2">
        <f>C11*G11</f>
        <v>8.5150000000000006</v>
      </c>
      <c r="J11" s="5"/>
      <c r="K11" s="2"/>
      <c r="L11" s="5"/>
    </row>
    <row r="12" spans="1:12">
      <c r="B12" t="s">
        <v>48</v>
      </c>
      <c r="C12" s="2">
        <f>A3/1*1</f>
        <v>1</v>
      </c>
      <c r="D12" t="s">
        <v>13</v>
      </c>
      <c r="E12" s="3" t="s">
        <v>16</v>
      </c>
      <c r="F12" s="2" t="s">
        <v>16</v>
      </c>
      <c r="G12" s="2">
        <f>(25/10)</f>
        <v>2.5</v>
      </c>
      <c r="H12" s="2">
        <f>C12*G12</f>
        <v>2.5</v>
      </c>
      <c r="J12" s="5"/>
      <c r="K12" s="2"/>
      <c r="L12" s="2"/>
    </row>
    <row r="13" spans="1:12">
      <c r="B13" s="7" t="s">
        <v>20</v>
      </c>
      <c r="H13" s="8">
        <f>SUM(H9:H12)</f>
        <v>72.015000000000001</v>
      </c>
      <c r="J13" s="5">
        <f t="shared" ref="J13:J14" si="0">H13*1.17</f>
        <v>84.257549999999995</v>
      </c>
      <c r="K13" s="2"/>
      <c r="L13" s="2"/>
    </row>
    <row r="14" spans="1:12">
      <c r="A14" s="7" t="s">
        <v>21</v>
      </c>
      <c r="B14" s="7" t="s">
        <v>22</v>
      </c>
      <c r="H14" s="8">
        <f>H8+H13</f>
        <v>178.44499999999999</v>
      </c>
      <c r="J14" s="5">
        <f t="shared" si="0"/>
        <v>208.78064999999998</v>
      </c>
      <c r="K14" s="2"/>
      <c r="L14" s="5">
        <f>J14*1.21</f>
        <v>252.62458649999996</v>
      </c>
    </row>
    <row r="15" spans="1:12">
      <c r="J15" s="5"/>
      <c r="K15" s="2"/>
      <c r="L15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E76A-F34F-4E59-9F02-0D4CDCC25E37}">
  <dimension ref="A1:L15"/>
  <sheetViews>
    <sheetView topLeftCell="G1" workbookViewId="0">
      <selection activeCell="J8" sqref="J8:L17"/>
    </sheetView>
  </sheetViews>
  <sheetFormatPr defaultRowHeight="15"/>
  <cols>
    <col min="1" max="1" width="17.85546875" customWidth="1"/>
    <col min="2" max="2" width="82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67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68</v>
      </c>
      <c r="C6" s="2">
        <f>A3/1*1000/1000</f>
        <v>1</v>
      </c>
      <c r="D6" t="s">
        <v>0</v>
      </c>
      <c r="E6" s="3">
        <f>10000/10000</f>
        <v>1</v>
      </c>
      <c r="F6" s="2">
        <f>C6*E6</f>
        <v>1</v>
      </c>
      <c r="G6" s="2">
        <v>48.72</v>
      </c>
      <c r="H6" s="2">
        <f>F6*G6</f>
        <v>48.72</v>
      </c>
    </row>
    <row r="7" spans="1:12">
      <c r="B7" t="s">
        <v>10</v>
      </c>
      <c r="C7" s="2">
        <f>A3/1*5000/1000</f>
        <v>5</v>
      </c>
      <c r="D7" t="s">
        <v>11</v>
      </c>
      <c r="E7" s="3">
        <f>3000/10000</f>
        <v>0.3</v>
      </c>
      <c r="F7" s="2">
        <f>C7*E7</f>
        <v>1.5</v>
      </c>
      <c r="G7" s="2">
        <v>52.2</v>
      </c>
      <c r="H7" s="2">
        <f>F7*G7</f>
        <v>78.300000000000011</v>
      </c>
    </row>
    <row r="8" spans="1:12">
      <c r="B8" s="7" t="s">
        <v>14</v>
      </c>
      <c r="F8" s="8">
        <f>SUM(F6:F7)</f>
        <v>2.5</v>
      </c>
      <c r="H8" s="8">
        <f>SUM(H6:H7)</f>
        <v>127.02000000000001</v>
      </c>
      <c r="J8" s="5">
        <f>H8*1.17</f>
        <v>148.61340000000001</v>
      </c>
      <c r="K8" s="2"/>
      <c r="L8" s="2"/>
    </row>
    <row r="9" spans="1:12">
      <c r="A9" s="7" t="s">
        <v>15</v>
      </c>
      <c r="B9" t="s">
        <v>69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(416/10)</f>
        <v>41.6</v>
      </c>
      <c r="H9" s="2">
        <f>C9*G9</f>
        <v>41.6</v>
      </c>
      <c r="J9" s="2"/>
      <c r="K9" s="2"/>
      <c r="L9" s="2"/>
    </row>
    <row r="10" spans="1:12">
      <c r="B10" t="s">
        <v>17</v>
      </c>
      <c r="C10" s="2">
        <f>A3/1*5</f>
        <v>5</v>
      </c>
      <c r="D10" t="s">
        <v>11</v>
      </c>
      <c r="E10" s="3" t="s">
        <v>16</v>
      </c>
      <c r="F10" s="2" t="s">
        <v>16</v>
      </c>
      <c r="G10" s="2">
        <f>(293/100)</f>
        <v>2.93</v>
      </c>
      <c r="H10" s="2">
        <f>C10*G10</f>
        <v>14.65</v>
      </c>
      <c r="J10" s="5"/>
      <c r="K10" s="2"/>
      <c r="L10" s="2"/>
    </row>
    <row r="11" spans="1:12">
      <c r="B11" t="s">
        <v>66</v>
      </c>
      <c r="C11" s="2">
        <f>A3/1*(65/10)</f>
        <v>6.5</v>
      </c>
      <c r="D11" t="s">
        <v>11</v>
      </c>
      <c r="E11" s="3" t="s">
        <v>16</v>
      </c>
      <c r="F11" s="2" t="s">
        <v>16</v>
      </c>
      <c r="G11" s="2">
        <f>(131/100)</f>
        <v>1.31</v>
      </c>
      <c r="H11" s="2">
        <f>C11*G11</f>
        <v>8.5150000000000006</v>
      </c>
      <c r="J11" s="5"/>
      <c r="K11" s="2"/>
      <c r="L11" s="5"/>
    </row>
    <row r="12" spans="1:12">
      <c r="B12" t="s">
        <v>48</v>
      </c>
      <c r="C12" s="2">
        <f>A3/1*1</f>
        <v>1</v>
      </c>
      <c r="D12" t="s">
        <v>13</v>
      </c>
      <c r="E12" s="3" t="s">
        <v>16</v>
      </c>
      <c r="F12" s="2" t="s">
        <v>16</v>
      </c>
      <c r="G12" s="2">
        <f>(25/10)</f>
        <v>2.5</v>
      </c>
      <c r="H12" s="2">
        <f>C12*G12</f>
        <v>2.5</v>
      </c>
      <c r="J12" s="5"/>
      <c r="K12" s="2"/>
      <c r="L12" s="2"/>
    </row>
    <row r="13" spans="1:12">
      <c r="B13" s="7" t="s">
        <v>20</v>
      </c>
      <c r="H13" s="8">
        <f>SUM(H9:H12)</f>
        <v>67.265000000000001</v>
      </c>
      <c r="J13" s="5">
        <f t="shared" ref="J13:J14" si="0">H13*1.17</f>
        <v>78.70004999999999</v>
      </c>
      <c r="K13" s="2"/>
      <c r="L13" s="2"/>
    </row>
    <row r="14" spans="1:12">
      <c r="A14" s="7" t="s">
        <v>21</v>
      </c>
      <c r="B14" s="7" t="s">
        <v>22</v>
      </c>
      <c r="H14" s="8">
        <f>H8+H13</f>
        <v>194.28500000000003</v>
      </c>
      <c r="J14" s="5">
        <f t="shared" si="0"/>
        <v>227.31345000000002</v>
      </c>
      <c r="K14" s="2"/>
      <c r="L14" s="5">
        <f>J14*1.21</f>
        <v>275.04927450000002</v>
      </c>
    </row>
    <row r="15" spans="1:12">
      <c r="J15" s="5"/>
      <c r="K15" s="2"/>
      <c r="L15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F654-0F8A-4F66-A305-AAC1E52CC6D7}">
  <dimension ref="A1:L15"/>
  <sheetViews>
    <sheetView topLeftCell="G1" workbookViewId="0">
      <selection activeCell="J8" sqref="J8:L16"/>
    </sheetView>
  </sheetViews>
  <sheetFormatPr defaultRowHeight="15"/>
  <cols>
    <col min="1" max="1" width="17.85546875" customWidth="1"/>
    <col min="2" max="2" width="8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70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64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v>56.26</v>
      </c>
      <c r="H6" s="2">
        <f>F6*G6</f>
        <v>28.13</v>
      </c>
    </row>
    <row r="7" spans="1:12">
      <c r="B7" t="s">
        <v>10</v>
      </c>
      <c r="C7" s="2">
        <f>A3/1*5000/1000</f>
        <v>5</v>
      </c>
      <c r="D7" t="s">
        <v>11</v>
      </c>
      <c r="E7" s="3">
        <f>3000/10000</f>
        <v>0.3</v>
      </c>
      <c r="F7" s="2">
        <f>C7*E7</f>
        <v>1.5</v>
      </c>
      <c r="G7" s="2">
        <v>52.2</v>
      </c>
      <c r="H7" s="2">
        <f>F7*G7</f>
        <v>78.300000000000011</v>
      </c>
    </row>
    <row r="8" spans="1:12">
      <c r="B8" s="7" t="s">
        <v>14</v>
      </c>
      <c r="F8" s="8">
        <f>SUM(F6:F7)</f>
        <v>2</v>
      </c>
      <c r="H8" s="8">
        <f>SUM(H6:H7)</f>
        <v>106.43</v>
      </c>
      <c r="J8" s="5">
        <f>H8*1.17</f>
        <v>124.5231</v>
      </c>
      <c r="K8" s="2"/>
      <c r="L8" s="2"/>
    </row>
    <row r="9" spans="1:12">
      <c r="A9" s="7" t="s">
        <v>15</v>
      </c>
      <c r="B9" t="s">
        <v>71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(714/10)</f>
        <v>71.400000000000006</v>
      </c>
      <c r="H9" s="2">
        <f>C9*G9</f>
        <v>71.400000000000006</v>
      </c>
      <c r="J9" s="2"/>
      <c r="K9" s="2"/>
      <c r="L9" s="2"/>
    </row>
    <row r="10" spans="1:12">
      <c r="B10" t="s">
        <v>17</v>
      </c>
      <c r="C10" s="2">
        <f>A3/1*5</f>
        <v>5</v>
      </c>
      <c r="D10" t="s">
        <v>11</v>
      </c>
      <c r="E10" s="3" t="s">
        <v>16</v>
      </c>
      <c r="F10" s="2" t="s">
        <v>16</v>
      </c>
      <c r="G10" s="2">
        <f>(293/100)</f>
        <v>2.93</v>
      </c>
      <c r="H10" s="2">
        <f>C10*G10</f>
        <v>14.65</v>
      </c>
      <c r="J10" s="5"/>
      <c r="K10" s="2"/>
      <c r="L10" s="2"/>
    </row>
    <row r="11" spans="1:12">
      <c r="B11" t="s">
        <v>66</v>
      </c>
      <c r="C11" s="2">
        <f>A3/1*(65/10)</f>
        <v>6.5</v>
      </c>
      <c r="D11" t="s">
        <v>11</v>
      </c>
      <c r="E11" s="3" t="s">
        <v>16</v>
      </c>
      <c r="F11" s="2" t="s">
        <v>16</v>
      </c>
      <c r="G11" s="2">
        <f>(131/100)</f>
        <v>1.31</v>
      </c>
      <c r="H11" s="2">
        <f>C11*G11</f>
        <v>8.5150000000000006</v>
      </c>
      <c r="J11" s="5"/>
      <c r="K11" s="2"/>
      <c r="L11" s="5"/>
    </row>
    <row r="12" spans="1:12">
      <c r="B12" t="s">
        <v>48</v>
      </c>
      <c r="C12" s="2">
        <f>A3/1*1</f>
        <v>1</v>
      </c>
      <c r="D12" t="s">
        <v>13</v>
      </c>
      <c r="E12" s="3" t="s">
        <v>16</v>
      </c>
      <c r="F12" s="2" t="s">
        <v>16</v>
      </c>
      <c r="G12" s="2">
        <f>(25/10)</f>
        <v>2.5</v>
      </c>
      <c r="H12" s="2">
        <f>C12*G12</f>
        <v>2.5</v>
      </c>
      <c r="J12" s="5"/>
      <c r="K12" s="2"/>
      <c r="L12" s="2"/>
    </row>
    <row r="13" spans="1:12">
      <c r="B13" s="7" t="s">
        <v>20</v>
      </c>
      <c r="H13" s="8">
        <f>SUM(H9:H12)</f>
        <v>97.065000000000012</v>
      </c>
      <c r="J13" s="5">
        <f t="shared" ref="J13:J14" si="0">H13*1.17</f>
        <v>113.56605</v>
      </c>
      <c r="K13" s="2"/>
      <c r="L13" s="2"/>
    </row>
    <row r="14" spans="1:12">
      <c r="A14" s="7" t="s">
        <v>21</v>
      </c>
      <c r="B14" s="7" t="s">
        <v>22</v>
      </c>
      <c r="H14" s="8">
        <f>H8+H13</f>
        <v>203.495</v>
      </c>
      <c r="J14" s="5">
        <f t="shared" si="0"/>
        <v>238.08914999999999</v>
      </c>
      <c r="K14" s="2"/>
      <c r="L14" s="5">
        <f>J14*1.21</f>
        <v>288.08787150000001</v>
      </c>
    </row>
    <row r="15" spans="1:12">
      <c r="J15" s="5"/>
      <c r="K15" s="2"/>
      <c r="L15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33D9-3239-413C-BB17-3EC5F84A59E4}">
  <dimension ref="A1:L15"/>
  <sheetViews>
    <sheetView topLeftCell="D1" workbookViewId="0">
      <selection activeCell="J8" sqref="J8:L16"/>
    </sheetView>
  </sheetViews>
  <sheetFormatPr defaultRowHeight="15"/>
  <cols>
    <col min="1" max="1" width="17.85546875" customWidth="1"/>
    <col min="2" max="2" width="88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72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68</v>
      </c>
      <c r="C6" s="2">
        <f>A3/1*1000/1000</f>
        <v>1</v>
      </c>
      <c r="D6" t="s">
        <v>0</v>
      </c>
      <c r="E6" s="3">
        <f>10000/10000</f>
        <v>1</v>
      </c>
      <c r="F6" s="2">
        <f>C6*E6</f>
        <v>1</v>
      </c>
      <c r="G6" s="2">
        <v>48.72</v>
      </c>
      <c r="H6" s="2">
        <f>F6*G6</f>
        <v>48.72</v>
      </c>
    </row>
    <row r="7" spans="1:12">
      <c r="B7" t="s">
        <v>10</v>
      </c>
      <c r="C7" s="2">
        <f>A3/1*5000/1000</f>
        <v>5</v>
      </c>
      <c r="D7" t="s">
        <v>11</v>
      </c>
      <c r="E7" s="3">
        <f>3000/10000</f>
        <v>0.3</v>
      </c>
      <c r="F7" s="2">
        <f>C7*E7</f>
        <v>1.5</v>
      </c>
      <c r="G7" s="2">
        <v>52.2</v>
      </c>
      <c r="H7" s="2">
        <f>F7*G7</f>
        <v>78.300000000000011</v>
      </c>
    </row>
    <row r="8" spans="1:12">
      <c r="B8" s="7" t="s">
        <v>14</v>
      </c>
      <c r="F8" s="8">
        <f>SUM(F6:F7)</f>
        <v>2.5</v>
      </c>
      <c r="H8" s="8">
        <f>SUM(H6:H7)</f>
        <v>127.02000000000001</v>
      </c>
      <c r="J8" s="5">
        <f>H8*1.17</f>
        <v>148.61340000000001</v>
      </c>
      <c r="K8" s="2"/>
      <c r="L8" s="2"/>
    </row>
    <row r="9" spans="1:12">
      <c r="A9" s="7" t="s">
        <v>15</v>
      </c>
      <c r="B9" t="s">
        <v>73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(1328/10)</f>
        <v>132.80000000000001</v>
      </c>
      <c r="H9" s="2">
        <f>C9*G9</f>
        <v>132.80000000000001</v>
      </c>
      <c r="J9" s="2"/>
      <c r="K9" s="2"/>
      <c r="L9" s="2"/>
    </row>
    <row r="10" spans="1:12">
      <c r="B10" t="s">
        <v>17</v>
      </c>
      <c r="C10" s="2">
        <f>A3/1*5</f>
        <v>5</v>
      </c>
      <c r="D10" t="s">
        <v>11</v>
      </c>
      <c r="E10" s="3" t="s">
        <v>16</v>
      </c>
      <c r="F10" s="2" t="s">
        <v>16</v>
      </c>
      <c r="G10" s="2">
        <f>(293/100)</f>
        <v>2.93</v>
      </c>
      <c r="H10" s="2">
        <f>C10*G10</f>
        <v>14.65</v>
      </c>
      <c r="J10" s="5"/>
      <c r="K10" s="2"/>
      <c r="L10" s="2"/>
    </row>
    <row r="11" spans="1:12">
      <c r="B11" t="s">
        <v>66</v>
      </c>
      <c r="C11" s="2">
        <f>A3/1*(65/10)</f>
        <v>6.5</v>
      </c>
      <c r="D11" t="s">
        <v>11</v>
      </c>
      <c r="E11" s="3" t="s">
        <v>16</v>
      </c>
      <c r="F11" s="2" t="s">
        <v>16</v>
      </c>
      <c r="G11" s="2">
        <f>(131/100)</f>
        <v>1.31</v>
      </c>
      <c r="H11" s="2">
        <f>C11*G11</f>
        <v>8.5150000000000006</v>
      </c>
      <c r="J11" s="5"/>
      <c r="K11" s="2"/>
      <c r="L11" s="5"/>
    </row>
    <row r="12" spans="1:12">
      <c r="B12" t="s">
        <v>48</v>
      </c>
      <c r="C12" s="2">
        <f>A3/1*1</f>
        <v>1</v>
      </c>
      <c r="D12" t="s">
        <v>13</v>
      </c>
      <c r="E12" s="3" t="s">
        <v>16</v>
      </c>
      <c r="F12" s="2" t="s">
        <v>16</v>
      </c>
      <c r="G12" s="2">
        <f>(25/10)</f>
        <v>2.5</v>
      </c>
      <c r="H12" s="2">
        <f>C12*G12</f>
        <v>2.5</v>
      </c>
      <c r="J12" s="5"/>
      <c r="K12" s="2"/>
      <c r="L12" s="2"/>
    </row>
    <row r="13" spans="1:12">
      <c r="B13" s="7" t="s">
        <v>20</v>
      </c>
      <c r="H13" s="8">
        <f>SUM(H9:H12)</f>
        <v>158.46500000000003</v>
      </c>
      <c r="J13" s="5">
        <f t="shared" ref="J13:J14" si="0">H13*1.17</f>
        <v>185.40405000000001</v>
      </c>
      <c r="K13" s="2"/>
      <c r="L13" s="2"/>
    </row>
    <row r="14" spans="1:12">
      <c r="A14" s="7" t="s">
        <v>21</v>
      </c>
      <c r="B14" s="7" t="s">
        <v>22</v>
      </c>
      <c r="H14" s="8">
        <f>H8+H13</f>
        <v>285.48500000000001</v>
      </c>
      <c r="J14" s="5">
        <f t="shared" si="0"/>
        <v>334.01745</v>
      </c>
      <c r="K14" s="2"/>
      <c r="L14" s="5">
        <f>J14*1.21</f>
        <v>404.1611145</v>
      </c>
    </row>
    <row r="15" spans="1:12">
      <c r="J15" s="5"/>
      <c r="K15" s="2"/>
      <c r="L15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19C4-DF8A-48CD-AAEB-0274ECD032D5}">
  <dimension ref="A1:L16"/>
  <sheetViews>
    <sheetView topLeftCell="A3" workbookViewId="0">
      <selection activeCell="G14" sqref="G14"/>
    </sheetView>
  </sheetViews>
  <sheetFormatPr defaultRowHeight="15"/>
  <cols>
    <col min="1" max="1" width="17.85546875" customWidth="1"/>
    <col min="2" max="2" width="94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74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75</v>
      </c>
      <c r="C6" s="2">
        <f>A3/1*1000/1000</f>
        <v>1</v>
      </c>
      <c r="D6" t="s">
        <v>26</v>
      </c>
      <c r="E6" s="3">
        <v>4.7</v>
      </c>
      <c r="F6" s="2">
        <f>C6*E6</f>
        <v>4.7</v>
      </c>
      <c r="G6" s="2">
        <v>52.2</v>
      </c>
      <c r="H6" s="2">
        <f>F6*G6</f>
        <v>245.34000000000003</v>
      </c>
    </row>
    <row r="7" spans="1:12">
      <c r="B7" t="s">
        <v>10</v>
      </c>
      <c r="C7" s="2">
        <f>A3/1*5000/1000</f>
        <v>5</v>
      </c>
      <c r="D7" t="s">
        <v>11</v>
      </c>
      <c r="E7" s="3">
        <f>3000/10000</f>
        <v>0.3</v>
      </c>
      <c r="F7" s="2">
        <f>C7*E7</f>
        <v>1.5</v>
      </c>
      <c r="G7" s="2">
        <v>52.2</v>
      </c>
      <c r="H7" s="2">
        <f>F7*G7</f>
        <v>78.300000000000011</v>
      </c>
    </row>
    <row r="8" spans="1:12">
      <c r="B8" s="7" t="s">
        <v>14</v>
      </c>
      <c r="F8" s="8">
        <f>SUM(F6:F7)</f>
        <v>6.2</v>
      </c>
      <c r="H8" s="8">
        <f>SUM(H6:H7)</f>
        <v>323.64000000000004</v>
      </c>
      <c r="J8" s="5">
        <f>H8*1.17</f>
        <v>378.65880000000004</v>
      </c>
      <c r="K8" s="2"/>
      <c r="L8" s="2"/>
    </row>
    <row r="9" spans="1:12">
      <c r="A9" s="7" t="s">
        <v>15</v>
      </c>
      <c r="B9" t="s">
        <v>76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(64055/100)</f>
        <v>640.54999999999995</v>
      </c>
      <c r="H9" s="2">
        <f>C9*G9</f>
        <v>640.54999999999995</v>
      </c>
      <c r="J9" s="2"/>
      <c r="K9" s="2"/>
      <c r="L9" s="2"/>
    </row>
    <row r="10" spans="1:12">
      <c r="B10" t="s">
        <v>77</v>
      </c>
      <c r="C10" s="2">
        <f>A3/1*1</f>
        <v>1</v>
      </c>
      <c r="D10" t="s">
        <v>0</v>
      </c>
      <c r="E10" s="3" t="s">
        <v>16</v>
      </c>
      <c r="F10" s="2" t="s">
        <v>16</v>
      </c>
      <c r="G10" s="2">
        <f>(684/10)</f>
        <v>68.400000000000006</v>
      </c>
      <c r="H10" s="2">
        <f>C10*G10</f>
        <v>68.400000000000006</v>
      </c>
      <c r="J10" s="5"/>
      <c r="K10" s="2"/>
      <c r="L10" s="2"/>
    </row>
    <row r="11" spans="1:12">
      <c r="B11" t="s">
        <v>17</v>
      </c>
      <c r="C11" s="2">
        <f>A3/1*5</f>
        <v>5</v>
      </c>
      <c r="D11" t="s">
        <v>11</v>
      </c>
      <c r="E11" s="3" t="s">
        <v>16</v>
      </c>
      <c r="F11" s="2" t="s">
        <v>16</v>
      </c>
      <c r="G11" s="2">
        <f>(293/100)</f>
        <v>2.93</v>
      </c>
      <c r="H11" s="2">
        <f>C11*G11</f>
        <v>14.65</v>
      </c>
      <c r="J11" s="5"/>
      <c r="K11" s="2"/>
      <c r="L11" s="5"/>
    </row>
    <row r="12" spans="1:12">
      <c r="B12" t="s">
        <v>66</v>
      </c>
      <c r="C12" s="2">
        <f>A3/1*(65/10)</f>
        <v>6.5</v>
      </c>
      <c r="D12" t="s">
        <v>11</v>
      </c>
      <c r="E12" s="3" t="s">
        <v>16</v>
      </c>
      <c r="F12" s="2" t="s">
        <v>16</v>
      </c>
      <c r="G12" s="2">
        <f>(131/100)</f>
        <v>1.31</v>
      </c>
      <c r="H12" s="2">
        <f>C12*G12</f>
        <v>8.5150000000000006</v>
      </c>
      <c r="J12" s="5"/>
      <c r="K12" s="2"/>
      <c r="L12" s="2"/>
    </row>
    <row r="13" spans="1:12">
      <c r="B13" t="s">
        <v>48</v>
      </c>
      <c r="C13" s="2">
        <f>A3/1*1</f>
        <v>1</v>
      </c>
      <c r="D13" t="s">
        <v>13</v>
      </c>
      <c r="E13" s="3" t="s">
        <v>16</v>
      </c>
      <c r="F13" s="2" t="s">
        <v>16</v>
      </c>
      <c r="G13" s="2">
        <v>6.37</v>
      </c>
      <c r="H13" s="2">
        <f>C13*G13</f>
        <v>6.37</v>
      </c>
      <c r="J13" s="5"/>
      <c r="K13" s="2"/>
      <c r="L13" s="2"/>
    </row>
    <row r="14" spans="1:12">
      <c r="B14" s="7" t="s">
        <v>20</v>
      </c>
      <c r="H14" s="8">
        <f>SUM(H9:H13)</f>
        <v>738.4849999999999</v>
      </c>
      <c r="J14" s="5">
        <f t="shared" ref="J14:J15" si="0">H14*1.17</f>
        <v>864.02744999999982</v>
      </c>
      <c r="K14" s="2"/>
      <c r="L14" s="2"/>
    </row>
    <row r="15" spans="1:12">
      <c r="A15" s="7" t="s">
        <v>21</v>
      </c>
      <c r="B15" s="7" t="s">
        <v>22</v>
      </c>
      <c r="H15" s="8">
        <f>H8+H14</f>
        <v>1062.125</v>
      </c>
      <c r="J15" s="5">
        <f t="shared" si="0"/>
        <v>1242.68625</v>
      </c>
      <c r="K15" s="2"/>
      <c r="L15" s="5">
        <f>J15*1.21</f>
        <v>1503.6503625</v>
      </c>
    </row>
    <row r="16" spans="1:12">
      <c r="J16" s="5"/>
      <c r="K16" s="2"/>
      <c r="L16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01E9-D86A-4349-8A15-2FA476E3DFAE}">
  <dimension ref="A1:L16"/>
  <sheetViews>
    <sheetView topLeftCell="G1" workbookViewId="0">
      <selection activeCell="J8" sqref="J8:L18"/>
    </sheetView>
  </sheetViews>
  <sheetFormatPr defaultRowHeight="15"/>
  <cols>
    <col min="1" max="1" width="17.85546875" customWidth="1"/>
    <col min="2" max="2" width="88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78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79</v>
      </c>
      <c r="C6" s="2">
        <f>A3/1*1000/1000</f>
        <v>1</v>
      </c>
      <c r="D6" t="s">
        <v>0</v>
      </c>
      <c r="E6" s="3">
        <f>25000/10000</f>
        <v>2.5</v>
      </c>
      <c r="F6" s="2">
        <f>C6*E6</f>
        <v>2.5</v>
      </c>
      <c r="G6" s="2">
        <v>52.2</v>
      </c>
      <c r="H6" s="2">
        <f>F6*G6</f>
        <v>130.5</v>
      </c>
    </row>
    <row r="7" spans="1:12">
      <c r="B7" t="s">
        <v>10</v>
      </c>
      <c r="C7" s="2">
        <f>A3/1*10000/1000</f>
        <v>10</v>
      </c>
      <c r="D7" t="s">
        <v>11</v>
      </c>
      <c r="E7" s="3">
        <f>3000/10000</f>
        <v>0.3</v>
      </c>
      <c r="F7" s="2">
        <f>C7*E7</f>
        <v>3</v>
      </c>
      <c r="G7" s="2">
        <v>52.2</v>
      </c>
      <c r="H7" s="2">
        <f>F7*G7</f>
        <v>156.60000000000002</v>
      </c>
    </row>
    <row r="8" spans="1:12">
      <c r="B8" s="7" t="s">
        <v>14</v>
      </c>
      <c r="F8" s="8">
        <f>SUM(F6:F7)</f>
        <v>5.5</v>
      </c>
      <c r="H8" s="8">
        <f>SUM(H6:H7)</f>
        <v>287.10000000000002</v>
      </c>
      <c r="J8" s="5">
        <f>H8*1.17</f>
        <v>335.90699999999998</v>
      </c>
      <c r="K8" s="2"/>
      <c r="L8" s="2"/>
    </row>
    <row r="9" spans="1:12">
      <c r="A9" s="7" t="s">
        <v>15</v>
      </c>
      <c r="B9" t="s">
        <v>80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(22231/100)</f>
        <v>222.31</v>
      </c>
      <c r="H9" s="2">
        <f>C9*G9</f>
        <v>222.31</v>
      </c>
      <c r="J9" s="2"/>
      <c r="K9" s="2"/>
      <c r="L9" s="2"/>
    </row>
    <row r="10" spans="1:12">
      <c r="B10" t="s">
        <v>73</v>
      </c>
      <c r="C10" s="2">
        <f>A3/1*1</f>
        <v>1</v>
      </c>
      <c r="D10" t="s">
        <v>0</v>
      </c>
      <c r="E10" s="3" t="s">
        <v>16</v>
      </c>
      <c r="F10" s="2" t="s">
        <v>16</v>
      </c>
      <c r="G10" s="2">
        <f>(1328/10)</f>
        <v>132.80000000000001</v>
      </c>
      <c r="H10" s="2">
        <f>C10*G10</f>
        <v>132.80000000000001</v>
      </c>
      <c r="J10" s="5"/>
      <c r="K10" s="2"/>
      <c r="L10" s="2"/>
    </row>
    <row r="11" spans="1:12">
      <c r="B11" t="s">
        <v>17</v>
      </c>
      <c r="C11" s="2">
        <f>A3/1*10</f>
        <v>10</v>
      </c>
      <c r="D11" t="s">
        <v>11</v>
      </c>
      <c r="E11" s="3" t="s">
        <v>16</v>
      </c>
      <c r="F11" s="2" t="s">
        <v>16</v>
      </c>
      <c r="G11" s="2">
        <f>(293/100)</f>
        <v>2.93</v>
      </c>
      <c r="H11" s="2">
        <f>C11*G11</f>
        <v>29.3</v>
      </c>
      <c r="J11" s="5"/>
      <c r="K11" s="2"/>
      <c r="L11" s="5"/>
    </row>
    <row r="12" spans="1:12">
      <c r="B12" t="s">
        <v>81</v>
      </c>
      <c r="C12" s="2">
        <f>A3/1*(115/10)</f>
        <v>11.5</v>
      </c>
      <c r="D12" t="s">
        <v>11</v>
      </c>
      <c r="E12" s="3" t="s">
        <v>16</v>
      </c>
      <c r="F12" s="2" t="s">
        <v>16</v>
      </c>
      <c r="G12" s="2">
        <f>(198/100)</f>
        <v>1.98</v>
      </c>
      <c r="H12" s="2">
        <f>C12*G12</f>
        <v>22.77</v>
      </c>
      <c r="J12" s="5"/>
      <c r="K12" s="2"/>
      <c r="L12" s="2"/>
    </row>
    <row r="13" spans="1:12">
      <c r="B13" t="s">
        <v>48</v>
      </c>
      <c r="C13" s="2">
        <f>A3/1*1</f>
        <v>1</v>
      </c>
      <c r="D13" t="s">
        <v>13</v>
      </c>
      <c r="E13" s="3" t="s">
        <v>16</v>
      </c>
      <c r="F13" s="2" t="s">
        <v>16</v>
      </c>
      <c r="G13" s="2">
        <f>(25/10)</f>
        <v>2.5</v>
      </c>
      <c r="H13" s="2">
        <f>C13*G13</f>
        <v>2.5</v>
      </c>
      <c r="J13" s="5"/>
      <c r="K13" s="2"/>
      <c r="L13" s="2"/>
    </row>
    <row r="14" spans="1:12">
      <c r="B14" s="7" t="s">
        <v>20</v>
      </c>
      <c r="H14" s="8">
        <f>SUM(H9:H13)</f>
        <v>409.68</v>
      </c>
      <c r="J14" s="5">
        <f t="shared" ref="J14:J15" si="0">H14*1.17</f>
        <v>479.32559999999995</v>
      </c>
      <c r="K14" s="2"/>
      <c r="L14" s="2"/>
    </row>
    <row r="15" spans="1:12">
      <c r="A15" s="7" t="s">
        <v>21</v>
      </c>
      <c r="B15" s="7" t="s">
        <v>22</v>
      </c>
      <c r="H15" s="8">
        <f>H8+H14</f>
        <v>696.78</v>
      </c>
      <c r="J15" s="5">
        <f t="shared" si="0"/>
        <v>815.23259999999993</v>
      </c>
      <c r="K15" s="2"/>
      <c r="L15" s="5">
        <f>J15*1.21</f>
        <v>986.43144599999994</v>
      </c>
    </row>
    <row r="16" spans="1:12">
      <c r="J16" s="5"/>
      <c r="K16" s="2"/>
      <c r="L16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5FE7-D9CB-4AB3-B434-53B699875BE9}">
  <dimension ref="A1:L17"/>
  <sheetViews>
    <sheetView topLeftCell="H1" workbookViewId="0">
      <selection activeCell="J9" sqref="J9:L17"/>
    </sheetView>
  </sheetViews>
  <sheetFormatPr defaultRowHeight="15"/>
  <cols>
    <col min="1" max="1" width="17.85546875" customWidth="1"/>
    <col min="2" max="2" width="65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82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79</v>
      </c>
      <c r="C6" s="2">
        <f>A3/1*1000/1000</f>
        <v>1</v>
      </c>
      <c r="D6" t="s">
        <v>0</v>
      </c>
      <c r="E6" s="3">
        <f>25000/10000</f>
        <v>2.5</v>
      </c>
      <c r="F6" s="2">
        <f>C6*E6</f>
        <v>2.5</v>
      </c>
      <c r="G6" s="2">
        <v>52.2</v>
      </c>
      <c r="H6" s="2">
        <f>F6*G6</f>
        <v>130.5</v>
      </c>
    </row>
    <row r="7" spans="1:12">
      <c r="B7" t="s">
        <v>10</v>
      </c>
      <c r="C7" s="2">
        <f>A3/1*10000/1000</f>
        <v>10</v>
      </c>
      <c r="D7" t="s">
        <v>11</v>
      </c>
      <c r="E7" s="3">
        <f>3000/10000</f>
        <v>0.3</v>
      </c>
      <c r="F7" s="2">
        <f>C7*E7</f>
        <v>3</v>
      </c>
      <c r="G7" s="2">
        <v>52.2</v>
      </c>
      <c r="H7" s="2">
        <f>F7*G7</f>
        <v>156.60000000000002</v>
      </c>
    </row>
    <row r="8" spans="1:12">
      <c r="B8" t="s">
        <v>83</v>
      </c>
      <c r="C8" s="2">
        <f>A3/1*1000/1000</f>
        <v>1</v>
      </c>
      <c r="D8" t="s">
        <v>0</v>
      </c>
      <c r="E8" s="3">
        <f>10000/10000</f>
        <v>1</v>
      </c>
      <c r="F8" s="2">
        <f>C8*E8</f>
        <v>1</v>
      </c>
      <c r="G8" s="2">
        <v>52.2</v>
      </c>
      <c r="H8" s="2">
        <f>F8*G8</f>
        <v>52.2</v>
      </c>
    </row>
    <row r="9" spans="1:12">
      <c r="B9" s="7" t="s">
        <v>14</v>
      </c>
      <c r="F9" s="8">
        <f>SUM(F6:F8)</f>
        <v>6.5</v>
      </c>
      <c r="H9" s="8">
        <f>SUM(H6:H8)</f>
        <v>339.3</v>
      </c>
      <c r="J9" s="5">
        <f>H9*1.17</f>
        <v>396.98099999999999</v>
      </c>
      <c r="K9" s="2"/>
      <c r="L9" s="2"/>
    </row>
    <row r="10" spans="1:12">
      <c r="A10" s="7" t="s">
        <v>15</v>
      </c>
      <c r="B10" t="s">
        <v>80</v>
      </c>
      <c r="C10" s="2">
        <f>A3/1*1</f>
        <v>1</v>
      </c>
      <c r="D10" t="s">
        <v>0</v>
      </c>
      <c r="E10" s="3" t="s">
        <v>16</v>
      </c>
      <c r="F10" s="2" t="s">
        <v>16</v>
      </c>
      <c r="G10" s="2">
        <f>(22231/100)</f>
        <v>222.31</v>
      </c>
      <c r="H10" s="2">
        <f>C10*G10</f>
        <v>222.31</v>
      </c>
      <c r="J10" s="2"/>
      <c r="K10" s="2"/>
      <c r="L10" s="2"/>
    </row>
    <row r="11" spans="1:12">
      <c r="B11" t="s">
        <v>17</v>
      </c>
      <c r="C11" s="2">
        <f>A3/1*10</f>
        <v>10</v>
      </c>
      <c r="D11" t="s">
        <v>11</v>
      </c>
      <c r="E11" s="3" t="s">
        <v>16</v>
      </c>
      <c r="F11" s="2" t="s">
        <v>16</v>
      </c>
      <c r="G11" s="2">
        <f>(293/100)</f>
        <v>2.93</v>
      </c>
      <c r="H11" s="2">
        <f>C11*G11</f>
        <v>29.3</v>
      </c>
      <c r="J11" s="5"/>
      <c r="K11" s="2"/>
      <c r="L11" s="2"/>
    </row>
    <row r="12" spans="1:12">
      <c r="B12" t="s">
        <v>81</v>
      </c>
      <c r="C12" s="2">
        <f>A3/1*(115/10)</f>
        <v>11.5</v>
      </c>
      <c r="D12" t="s">
        <v>11</v>
      </c>
      <c r="E12" s="3" t="s">
        <v>16</v>
      </c>
      <c r="F12" s="2" t="s">
        <v>16</v>
      </c>
      <c r="G12" s="2">
        <f>(198/100)</f>
        <v>1.98</v>
      </c>
      <c r="H12" s="2">
        <f>C12*G12</f>
        <v>22.77</v>
      </c>
      <c r="J12" s="5"/>
      <c r="K12" s="2"/>
      <c r="L12" s="5"/>
    </row>
    <row r="13" spans="1:12">
      <c r="B13" t="s">
        <v>48</v>
      </c>
      <c r="C13" s="2">
        <f>A3/1*1</f>
        <v>1</v>
      </c>
      <c r="D13" t="s">
        <v>13</v>
      </c>
      <c r="E13" s="3" t="s">
        <v>16</v>
      </c>
      <c r="F13" s="2" t="s">
        <v>16</v>
      </c>
      <c r="G13" s="2">
        <f>(25/10)</f>
        <v>2.5</v>
      </c>
      <c r="H13" s="2">
        <f>C13*G13</f>
        <v>2.5</v>
      </c>
      <c r="J13" s="5"/>
      <c r="K13" s="2"/>
      <c r="L13" s="2"/>
    </row>
    <row r="14" spans="1:12">
      <c r="B14" s="7" t="s">
        <v>20</v>
      </c>
      <c r="H14" s="8">
        <f>SUM(H10:H13)</f>
        <v>276.88</v>
      </c>
      <c r="J14" s="5">
        <f t="shared" ref="J14:J15" si="0">H14*1.17</f>
        <v>323.94959999999998</v>
      </c>
      <c r="K14" s="2"/>
      <c r="L14" s="2"/>
    </row>
    <row r="15" spans="1:12">
      <c r="A15" s="7" t="s">
        <v>21</v>
      </c>
      <c r="B15" s="7" t="s">
        <v>22</v>
      </c>
      <c r="H15" s="8">
        <f>H9+H14</f>
        <v>616.18000000000006</v>
      </c>
      <c r="J15" s="5">
        <f t="shared" si="0"/>
        <v>720.93060000000003</v>
      </c>
      <c r="K15" s="2"/>
      <c r="L15" s="5">
        <f>J15*1.21</f>
        <v>872.32602599999996</v>
      </c>
    </row>
    <row r="16" spans="1:12">
      <c r="J16" s="5"/>
      <c r="K16" s="2"/>
      <c r="L16" s="2"/>
    </row>
    <row r="17" spans="10:12">
      <c r="J17" s="5"/>
      <c r="K17" s="2"/>
      <c r="L17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13DB-1711-4DC5-8E78-4EC2364D1ECB}">
  <dimension ref="A1:L16"/>
  <sheetViews>
    <sheetView topLeftCell="B1" workbookViewId="0">
      <selection activeCell="J8" sqref="J8:L17"/>
    </sheetView>
  </sheetViews>
  <sheetFormatPr defaultRowHeight="15"/>
  <cols>
    <col min="1" max="1" width="17.85546875" customWidth="1"/>
    <col min="2" max="2" width="64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84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85</v>
      </c>
      <c r="C6" s="2">
        <f>A3/1*1000/1000</f>
        <v>1</v>
      </c>
      <c r="D6" t="s">
        <v>0</v>
      </c>
      <c r="E6" s="3">
        <f>15000/10000</f>
        <v>1.5</v>
      </c>
      <c r="F6" s="2">
        <f>C6*E6</f>
        <v>1.5</v>
      </c>
      <c r="G6" s="2">
        <v>52.2</v>
      </c>
      <c r="H6" s="2">
        <f>F6*G6</f>
        <v>78.300000000000011</v>
      </c>
    </row>
    <row r="7" spans="1:12">
      <c r="B7" t="s">
        <v>10</v>
      </c>
      <c r="C7" s="2">
        <f>A3/1*6000/1000</f>
        <v>6</v>
      </c>
      <c r="D7" t="s">
        <v>11</v>
      </c>
      <c r="E7" s="3">
        <f>3000/10000</f>
        <v>0.3</v>
      </c>
      <c r="F7" s="2">
        <f>C7*E7</f>
        <v>1.7999999999999998</v>
      </c>
      <c r="G7" s="2">
        <v>52.2</v>
      </c>
      <c r="H7" s="2">
        <f>F7*G7</f>
        <v>93.96</v>
      </c>
    </row>
    <row r="8" spans="1:12">
      <c r="B8" s="7" t="s">
        <v>14</v>
      </c>
      <c r="F8" s="8">
        <f>SUM(F6:F7)</f>
        <v>3.3</v>
      </c>
      <c r="H8" s="8">
        <f>SUM(H6:H7)</f>
        <v>172.26</v>
      </c>
      <c r="J8" s="5">
        <f>H8*1.17</f>
        <v>201.54419999999999</v>
      </c>
      <c r="K8" s="2"/>
      <c r="L8" s="2"/>
    </row>
    <row r="9" spans="1:12">
      <c r="A9" s="7" t="s">
        <v>15</v>
      </c>
      <c r="B9" t="s">
        <v>17</v>
      </c>
      <c r="C9" s="2">
        <f>A3/1*6</f>
        <v>6</v>
      </c>
      <c r="D9" t="s">
        <v>11</v>
      </c>
      <c r="E9" s="3" t="s">
        <v>16</v>
      </c>
      <c r="F9" s="2" t="s">
        <v>16</v>
      </c>
      <c r="G9" s="2">
        <f>(293/100)</f>
        <v>2.93</v>
      </c>
      <c r="H9" s="2">
        <f>C9*G9</f>
        <v>17.580000000000002</v>
      </c>
      <c r="J9" s="2"/>
      <c r="K9" s="2"/>
      <c r="L9" s="2"/>
    </row>
    <row r="10" spans="1:12">
      <c r="B10" t="s">
        <v>81</v>
      </c>
      <c r="C10" s="2">
        <f>A3/1*6</f>
        <v>6</v>
      </c>
      <c r="D10" t="s">
        <v>11</v>
      </c>
      <c r="E10" s="3" t="s">
        <v>16</v>
      </c>
      <c r="F10" s="2" t="s">
        <v>16</v>
      </c>
      <c r="G10" s="2">
        <f>(198/100)</f>
        <v>1.98</v>
      </c>
      <c r="H10" s="2">
        <f>C10*G10</f>
        <v>11.879999999999999</v>
      </c>
      <c r="J10" s="5"/>
      <c r="K10" s="2"/>
      <c r="L10" s="2"/>
    </row>
    <row r="11" spans="1:12">
      <c r="B11" t="s">
        <v>48</v>
      </c>
      <c r="C11" s="2">
        <f>A3/1*1</f>
        <v>1</v>
      </c>
      <c r="D11" t="s">
        <v>13</v>
      </c>
      <c r="E11" s="3" t="s">
        <v>16</v>
      </c>
      <c r="F11" s="2" t="s">
        <v>16</v>
      </c>
      <c r="G11" s="2">
        <f>(25/10)</f>
        <v>2.5</v>
      </c>
      <c r="H11" s="2">
        <f>C11*G11</f>
        <v>2.5</v>
      </c>
      <c r="J11" s="5"/>
      <c r="K11" s="2"/>
      <c r="L11" s="2"/>
    </row>
    <row r="12" spans="1:12">
      <c r="B12" s="7" t="s">
        <v>20</v>
      </c>
      <c r="H12" s="8">
        <f>SUM(H9:H11)</f>
        <v>31.96</v>
      </c>
      <c r="J12" s="5">
        <f t="shared" ref="J12:J13" si="0">H12*1.17</f>
        <v>37.3932</v>
      </c>
      <c r="K12" s="2"/>
      <c r="L12" s="2"/>
    </row>
    <row r="13" spans="1:12">
      <c r="A13" s="7" t="s">
        <v>21</v>
      </c>
      <c r="B13" s="7" t="s">
        <v>22</v>
      </c>
      <c r="H13" s="8">
        <f>H8+H12</f>
        <v>204.22</v>
      </c>
      <c r="J13" s="5">
        <f t="shared" si="0"/>
        <v>238.9374</v>
      </c>
      <c r="K13" s="2"/>
      <c r="L13" s="5">
        <f>J13*1.21</f>
        <v>289.11425399999996</v>
      </c>
    </row>
    <row r="14" spans="1:12">
      <c r="J14" s="5"/>
      <c r="K14" s="2"/>
      <c r="L14" s="2"/>
    </row>
    <row r="15" spans="1:12">
      <c r="J15" s="5"/>
      <c r="K15" s="2"/>
      <c r="L15" s="2"/>
    </row>
    <row r="16" spans="1:12">
      <c r="J16" s="5"/>
      <c r="K16" s="2"/>
      <c r="L16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75EE-8B6B-4991-A376-82F4D5378270}">
  <dimension ref="A1:L16"/>
  <sheetViews>
    <sheetView workbookViewId="0">
      <selection activeCell="K27" sqref="K27"/>
    </sheetView>
  </sheetViews>
  <sheetFormatPr defaultRowHeight="15"/>
  <cols>
    <col min="1" max="1" width="17.85546875" customWidth="1"/>
    <col min="2" max="2" width="64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86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87</v>
      </c>
      <c r="C6" s="2">
        <f>A3/1*1000/1000</f>
        <v>1</v>
      </c>
      <c r="D6" t="s">
        <v>0</v>
      </c>
      <c r="E6" s="3">
        <f>10000/10000</f>
        <v>1</v>
      </c>
      <c r="F6" s="2">
        <f>C6*E6</f>
        <v>1</v>
      </c>
      <c r="G6" s="2">
        <v>52.2</v>
      </c>
      <c r="H6" s="2">
        <f>F6*G6</f>
        <v>52.2</v>
      </c>
    </row>
    <row r="7" spans="1:12">
      <c r="B7" t="s">
        <v>10</v>
      </c>
      <c r="C7" s="2">
        <f>A3/1*4000/1000</f>
        <v>4</v>
      </c>
      <c r="D7" t="s">
        <v>11</v>
      </c>
      <c r="E7" s="3">
        <f>3000/10000</f>
        <v>0.3</v>
      </c>
      <c r="F7" s="2">
        <f>C7*E7</f>
        <v>1.2</v>
      </c>
      <c r="G7" s="2">
        <v>52.2</v>
      </c>
      <c r="H7" s="2">
        <f>F7*G7</f>
        <v>62.64</v>
      </c>
    </row>
    <row r="8" spans="1:12">
      <c r="B8" s="7" t="s">
        <v>14</v>
      </c>
      <c r="F8" s="8">
        <f>SUM(F6:F7)</f>
        <v>2.2000000000000002</v>
      </c>
      <c r="H8" s="8">
        <f>SUM(H6:H7)</f>
        <v>114.84</v>
      </c>
      <c r="J8" s="5">
        <f>H8*1.17</f>
        <v>134.36279999999999</v>
      </c>
      <c r="K8" s="2"/>
      <c r="L8" s="2"/>
    </row>
    <row r="9" spans="1:12">
      <c r="A9" s="7" t="s">
        <v>15</v>
      </c>
      <c r="B9" t="s">
        <v>88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(9835/100)</f>
        <v>98.35</v>
      </c>
      <c r="H9" s="2">
        <f>C9*G9</f>
        <v>98.35</v>
      </c>
      <c r="J9" s="2"/>
      <c r="K9" s="2"/>
      <c r="L9" s="2"/>
    </row>
    <row r="10" spans="1:12">
      <c r="B10" t="s">
        <v>17</v>
      </c>
      <c r="C10" s="2">
        <f>A3/1*4</f>
        <v>4</v>
      </c>
      <c r="D10" t="s">
        <v>11</v>
      </c>
      <c r="E10" s="3" t="s">
        <v>16</v>
      </c>
      <c r="F10" s="2" t="s">
        <v>16</v>
      </c>
      <c r="G10" s="2">
        <f>(293/100)</f>
        <v>2.93</v>
      </c>
      <c r="H10" s="2">
        <f>C10*G10</f>
        <v>11.72</v>
      </c>
      <c r="J10" s="5"/>
      <c r="K10" s="2"/>
      <c r="L10" s="2"/>
    </row>
    <row r="11" spans="1:12">
      <c r="B11" t="s">
        <v>81</v>
      </c>
      <c r="C11" s="2">
        <f>A3/1*4</f>
        <v>4</v>
      </c>
      <c r="D11" t="s">
        <v>11</v>
      </c>
      <c r="E11" s="3" t="s">
        <v>16</v>
      </c>
      <c r="F11" s="2" t="s">
        <v>16</v>
      </c>
      <c r="G11" s="2">
        <f>(198/100)</f>
        <v>1.98</v>
      </c>
      <c r="H11" s="2">
        <f>C11*G11</f>
        <v>7.92</v>
      </c>
      <c r="J11" s="5"/>
      <c r="K11" s="2"/>
      <c r="L11" s="2"/>
    </row>
    <row r="12" spans="1:12">
      <c r="B12" t="s">
        <v>48</v>
      </c>
      <c r="C12" s="2">
        <f>A3/1*1</f>
        <v>1</v>
      </c>
      <c r="D12" t="s">
        <v>13</v>
      </c>
      <c r="E12" s="3" t="s">
        <v>16</v>
      </c>
      <c r="F12" s="2" t="s">
        <v>16</v>
      </c>
      <c r="G12" s="2">
        <f>(25/10)</f>
        <v>2.5</v>
      </c>
      <c r="H12" s="2">
        <f>C12*G12</f>
        <v>2.5</v>
      </c>
      <c r="J12" s="5"/>
      <c r="K12" s="2"/>
      <c r="L12" s="2"/>
    </row>
    <row r="13" spans="1:12">
      <c r="B13" s="7" t="s">
        <v>20</v>
      </c>
      <c r="H13" s="8">
        <f>SUM(H9:H12)</f>
        <v>120.49</v>
      </c>
      <c r="J13" s="5">
        <f t="shared" ref="J13:J14" si="0">H13*1.17</f>
        <v>140.97329999999999</v>
      </c>
      <c r="K13" s="2"/>
      <c r="L13" s="2"/>
    </row>
    <row r="14" spans="1:12">
      <c r="A14" s="7" t="s">
        <v>21</v>
      </c>
      <c r="B14" s="7" t="s">
        <v>22</v>
      </c>
      <c r="H14" s="8">
        <f>H8+H13</f>
        <v>235.32999999999998</v>
      </c>
      <c r="J14" s="5">
        <f t="shared" si="0"/>
        <v>275.33609999999999</v>
      </c>
      <c r="K14" s="2"/>
      <c r="L14" s="5">
        <f>J14*1.21</f>
        <v>333.15668099999999</v>
      </c>
    </row>
    <row r="15" spans="1:12">
      <c r="J15" s="5"/>
      <c r="K15" s="2"/>
      <c r="L15" s="2"/>
    </row>
    <row r="16" spans="1:12">
      <c r="J16" s="5"/>
      <c r="K16" s="2"/>
      <c r="L16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A845E-EA62-4778-8180-5944827F1950}">
  <dimension ref="A1:L16"/>
  <sheetViews>
    <sheetView topLeftCell="H1" workbookViewId="0">
      <selection activeCell="J26" sqref="J26"/>
    </sheetView>
  </sheetViews>
  <sheetFormatPr defaultRowHeight="15"/>
  <cols>
    <col min="1" max="1" width="17.85546875" customWidth="1"/>
    <col min="2" max="2" width="64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89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89</v>
      </c>
      <c r="C6" s="2">
        <f>A3/1*1000/1000</f>
        <v>1</v>
      </c>
      <c r="D6" t="s">
        <v>0</v>
      </c>
      <c r="E6" s="3">
        <f>10000/10000</f>
        <v>1</v>
      </c>
      <c r="F6" s="2">
        <f>C6*E6</f>
        <v>1</v>
      </c>
      <c r="G6" s="2">
        <v>52.2</v>
      </c>
      <c r="H6" s="2">
        <f>F6*G6</f>
        <v>52.2</v>
      </c>
    </row>
    <row r="7" spans="1:12">
      <c r="B7" t="s">
        <v>10</v>
      </c>
      <c r="C7" s="2">
        <f>A3/1*3000/1000</f>
        <v>3</v>
      </c>
      <c r="D7" t="s">
        <v>11</v>
      </c>
      <c r="E7" s="3">
        <f>3000/10000</f>
        <v>0.3</v>
      </c>
      <c r="F7" s="2">
        <f>C7*E7</f>
        <v>0.89999999999999991</v>
      </c>
      <c r="G7" s="2">
        <v>52.2</v>
      </c>
      <c r="H7" s="2">
        <f>F7*G7</f>
        <v>46.98</v>
      </c>
    </row>
    <row r="8" spans="1:12">
      <c r="B8" s="7" t="s">
        <v>14</v>
      </c>
      <c r="F8" s="8">
        <f>SUM(F6:F7)</f>
        <v>1.9</v>
      </c>
      <c r="H8" s="8">
        <f>SUM(H6:H7)</f>
        <v>99.18</v>
      </c>
      <c r="J8" s="5">
        <f>H8*1.17</f>
        <v>116.0406</v>
      </c>
      <c r="K8" s="2"/>
      <c r="L8" s="2"/>
    </row>
    <row r="9" spans="1:12">
      <c r="A9" s="7" t="s">
        <v>15</v>
      </c>
      <c r="B9" t="s">
        <v>90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49</f>
        <v>49</v>
      </c>
      <c r="H9" s="2">
        <f>C9*G9</f>
        <v>49</v>
      </c>
      <c r="J9" s="2"/>
      <c r="K9" s="2"/>
      <c r="L9" s="2"/>
    </row>
    <row r="10" spans="1:12">
      <c r="B10" t="s">
        <v>17</v>
      </c>
      <c r="C10" s="2">
        <f>A3/1*3</f>
        <v>3</v>
      </c>
      <c r="D10" t="s">
        <v>11</v>
      </c>
      <c r="E10" s="3" t="s">
        <v>16</v>
      </c>
      <c r="F10" s="2" t="s">
        <v>16</v>
      </c>
      <c r="G10" s="2">
        <f>(293/100)</f>
        <v>2.93</v>
      </c>
      <c r="H10" s="2">
        <f>C10*G10</f>
        <v>8.7900000000000009</v>
      </c>
      <c r="J10" s="5"/>
      <c r="K10" s="2"/>
      <c r="L10" s="2"/>
    </row>
    <row r="11" spans="1:12">
      <c r="B11" t="s">
        <v>66</v>
      </c>
      <c r="C11" s="2">
        <f>A3/1*3</f>
        <v>3</v>
      </c>
      <c r="D11" t="s">
        <v>11</v>
      </c>
      <c r="E11" s="3" t="s">
        <v>16</v>
      </c>
      <c r="F11" s="2" t="s">
        <v>16</v>
      </c>
      <c r="G11" s="2">
        <f>(131/100)</f>
        <v>1.31</v>
      </c>
      <c r="H11" s="2">
        <f>C11*G11</f>
        <v>3.93</v>
      </c>
      <c r="J11" s="5"/>
      <c r="K11" s="2"/>
      <c r="L11" s="2"/>
    </row>
    <row r="12" spans="1:12">
      <c r="B12" t="s">
        <v>48</v>
      </c>
      <c r="C12" s="2">
        <f>A3/1*1</f>
        <v>1</v>
      </c>
      <c r="D12" t="s">
        <v>13</v>
      </c>
      <c r="E12" s="3" t="s">
        <v>16</v>
      </c>
      <c r="F12" s="2" t="s">
        <v>16</v>
      </c>
      <c r="G12" s="2">
        <f>(25/10)</f>
        <v>2.5</v>
      </c>
      <c r="H12" s="2">
        <f>C12*G12</f>
        <v>2.5</v>
      </c>
      <c r="J12" s="5"/>
      <c r="K12" s="2"/>
      <c r="L12" s="2"/>
    </row>
    <row r="13" spans="1:12">
      <c r="B13" s="7" t="s">
        <v>20</v>
      </c>
      <c r="H13" s="8">
        <f>SUM(H9:H12)</f>
        <v>64.22</v>
      </c>
      <c r="J13" s="5">
        <f t="shared" ref="J13:J14" si="0">H13*1.17</f>
        <v>75.1374</v>
      </c>
      <c r="K13" s="2"/>
      <c r="L13" s="2"/>
    </row>
    <row r="14" spans="1:12">
      <c r="A14" s="7" t="s">
        <v>21</v>
      </c>
      <c r="B14" s="7" t="s">
        <v>22</v>
      </c>
      <c r="H14" s="8">
        <f>H8+H13</f>
        <v>163.4</v>
      </c>
      <c r="J14" s="5">
        <f t="shared" si="0"/>
        <v>191.178</v>
      </c>
      <c r="K14" s="2"/>
      <c r="L14" s="5">
        <f>J14*1.21</f>
        <v>231.32538</v>
      </c>
    </row>
    <row r="15" spans="1:12">
      <c r="J15" s="5"/>
      <c r="K15" s="2"/>
      <c r="L15" s="2"/>
    </row>
    <row r="16" spans="1:12">
      <c r="J16" s="5"/>
      <c r="K16" s="2"/>
      <c r="L1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08C5-06A9-48E3-96AD-8AE16153ED4C}">
  <dimension ref="A1:L12"/>
  <sheetViews>
    <sheetView topLeftCell="D1" workbookViewId="0">
      <selection activeCell="J7" sqref="J7:L14"/>
    </sheetView>
  </sheetViews>
  <sheetFormatPr defaultRowHeight="15"/>
  <cols>
    <col min="1" max="1" width="17.85546875" customWidth="1"/>
    <col min="2" max="2" width="62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35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31</v>
      </c>
      <c r="C6" s="2">
        <f>A3/1*4000/1000</f>
        <v>4</v>
      </c>
      <c r="D6" t="s">
        <v>24</v>
      </c>
      <c r="E6" s="3">
        <f>10000/10000</f>
        <v>1</v>
      </c>
      <c r="F6" s="2">
        <f>C6*E6</f>
        <v>4</v>
      </c>
      <c r="G6" s="2">
        <v>56.26</v>
      </c>
      <c r="H6" s="2">
        <f>F6*G6</f>
        <v>225.04</v>
      </c>
    </row>
    <row r="7" spans="1:12">
      <c r="B7" s="6" t="s">
        <v>14</v>
      </c>
      <c r="F7" s="5">
        <f>SUM(F6:F6)</f>
        <v>4</v>
      </c>
      <c r="H7" s="5">
        <f>SUM(H6:H6)</f>
        <v>225.04</v>
      </c>
      <c r="J7" s="5">
        <f>H7*1.17</f>
        <v>263.29679999999996</v>
      </c>
      <c r="K7" s="2"/>
      <c r="L7" s="2"/>
    </row>
    <row r="8" spans="1:12">
      <c r="A8" s="6" t="s">
        <v>15</v>
      </c>
      <c r="B8" t="s">
        <v>36</v>
      </c>
      <c r="C8" s="2">
        <f>A3/1*1</f>
        <v>1</v>
      </c>
      <c r="D8" t="s">
        <v>0</v>
      </c>
      <c r="E8" s="3" t="s">
        <v>16</v>
      </c>
      <c r="F8" s="2" t="s">
        <v>16</v>
      </c>
      <c r="G8" s="2">
        <f>(142674/100)</f>
        <v>1426.74</v>
      </c>
      <c r="H8" s="2">
        <f>C8*G8</f>
        <v>1426.74</v>
      </c>
      <c r="J8" s="2"/>
      <c r="K8" s="2"/>
      <c r="L8" s="2"/>
    </row>
    <row r="9" spans="1:12">
      <c r="B9" t="s">
        <v>34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(19583/100)</f>
        <v>195.83</v>
      </c>
      <c r="H9" s="2">
        <f>C9*G9</f>
        <v>195.83</v>
      </c>
      <c r="J9" s="5"/>
      <c r="K9" s="2"/>
      <c r="L9" s="2"/>
    </row>
    <row r="10" spans="1:12">
      <c r="B10" t="s">
        <v>33</v>
      </c>
      <c r="C10" s="2">
        <f>A3/1*1</f>
        <v>1</v>
      </c>
      <c r="D10" t="s">
        <v>0</v>
      </c>
      <c r="E10" s="3" t="s">
        <v>16</v>
      </c>
      <c r="F10" s="2" t="s">
        <v>16</v>
      </c>
      <c r="G10" s="2">
        <f>(20633/100)</f>
        <v>206.33</v>
      </c>
      <c r="H10" s="2">
        <f>C10*G10</f>
        <v>206.33</v>
      </c>
      <c r="J10" s="2"/>
      <c r="K10" s="2"/>
      <c r="L10" s="2"/>
    </row>
    <row r="11" spans="1:12">
      <c r="B11" s="6" t="s">
        <v>20</v>
      </c>
      <c r="H11" s="5">
        <f>SUM(H8:H10)</f>
        <v>1828.8999999999999</v>
      </c>
      <c r="J11" s="5">
        <f t="shared" ref="J11:J12" si="0">H11*1.17</f>
        <v>2139.8129999999996</v>
      </c>
      <c r="K11" s="2"/>
      <c r="L11" s="2"/>
    </row>
    <row r="12" spans="1:12">
      <c r="A12" s="6" t="s">
        <v>21</v>
      </c>
      <c r="B12" s="6" t="s">
        <v>22</v>
      </c>
      <c r="H12" s="5">
        <f>H7+H11</f>
        <v>2053.94</v>
      </c>
      <c r="J12" s="5">
        <f t="shared" si="0"/>
        <v>2403.1097999999997</v>
      </c>
      <c r="K12" s="2"/>
      <c r="L12" s="5">
        <f>J12*1.21</f>
        <v>2907.7628579999996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D9333-BAFC-4C5F-9BBD-CBE386EDF038}">
  <dimension ref="A1:L17"/>
  <sheetViews>
    <sheetView topLeftCell="G1" workbookViewId="0">
      <selection activeCell="H22" sqref="G22:H22"/>
    </sheetView>
  </sheetViews>
  <sheetFormatPr defaultRowHeight="15"/>
  <cols>
    <col min="1" max="1" width="17.85546875" customWidth="1"/>
    <col min="2" max="2" width="88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91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79</v>
      </c>
      <c r="C6" s="2">
        <f>A3/1*1000/1000</f>
        <v>1</v>
      </c>
      <c r="D6" t="s">
        <v>0</v>
      </c>
      <c r="E6" s="3">
        <f>25000/10000</f>
        <v>2.5</v>
      </c>
      <c r="F6" s="2">
        <f>C6*E6</f>
        <v>2.5</v>
      </c>
      <c r="G6" s="2">
        <v>52.2</v>
      </c>
      <c r="H6" s="2">
        <f>F6*G6</f>
        <v>130.5</v>
      </c>
    </row>
    <row r="7" spans="1:12">
      <c r="B7" t="s">
        <v>10</v>
      </c>
      <c r="C7" s="2">
        <f>A3/1*10000/1000</f>
        <v>10</v>
      </c>
      <c r="D7" t="s">
        <v>11</v>
      </c>
      <c r="E7" s="3">
        <f>3000/10000</f>
        <v>0.3</v>
      </c>
      <c r="F7" s="2">
        <f>C7*E7</f>
        <v>3</v>
      </c>
      <c r="G7" s="2">
        <v>52.2</v>
      </c>
      <c r="H7" s="2">
        <f>F7*G7</f>
        <v>156.60000000000002</v>
      </c>
    </row>
    <row r="8" spans="1:12">
      <c r="B8" s="7" t="s">
        <v>14</v>
      </c>
      <c r="F8" s="8">
        <f>SUM(F6:F7)</f>
        <v>5.5</v>
      </c>
      <c r="H8" s="8">
        <f>SUM(H6:H7)</f>
        <v>287.10000000000002</v>
      </c>
      <c r="J8" s="5">
        <f>H8*1.17</f>
        <v>335.90699999999998</v>
      </c>
      <c r="K8" s="2"/>
      <c r="L8" s="2"/>
    </row>
    <row r="9" spans="1:12">
      <c r="A9" s="7" t="s">
        <v>15</v>
      </c>
      <c r="B9" t="s">
        <v>92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(44491/100)</f>
        <v>444.91</v>
      </c>
      <c r="H9" s="2">
        <f>C9*G9</f>
        <v>444.91</v>
      </c>
      <c r="J9" s="2"/>
      <c r="K9" s="2"/>
      <c r="L9" s="2"/>
    </row>
    <row r="10" spans="1:12">
      <c r="B10" t="s">
        <v>73</v>
      </c>
      <c r="C10" s="2">
        <f>A3/1*1</f>
        <v>1</v>
      </c>
      <c r="D10" t="s">
        <v>0</v>
      </c>
      <c r="E10" s="3" t="s">
        <v>16</v>
      </c>
      <c r="F10" s="2" t="s">
        <v>16</v>
      </c>
      <c r="G10" s="2">
        <f>(1328/10)</f>
        <v>132.80000000000001</v>
      </c>
      <c r="H10" s="2">
        <f>C10*G10</f>
        <v>132.80000000000001</v>
      </c>
      <c r="J10" s="5"/>
      <c r="K10" s="2"/>
      <c r="L10" s="2"/>
    </row>
    <row r="11" spans="1:12">
      <c r="B11" t="s">
        <v>17</v>
      </c>
      <c r="C11" s="2">
        <f>A3/1*10</f>
        <v>10</v>
      </c>
      <c r="D11" t="s">
        <v>11</v>
      </c>
      <c r="E11" s="3" t="s">
        <v>16</v>
      </c>
      <c r="F11" s="2" t="s">
        <v>16</v>
      </c>
      <c r="G11" s="2">
        <f>(293/100)</f>
        <v>2.93</v>
      </c>
      <c r="H11" s="2">
        <f>C11*G11</f>
        <v>29.3</v>
      </c>
      <c r="J11" s="5"/>
      <c r="K11" s="2"/>
      <c r="L11" s="2"/>
    </row>
    <row r="12" spans="1:12">
      <c r="B12" t="s">
        <v>81</v>
      </c>
      <c r="C12" s="2">
        <f>A3/1*(115/10)</f>
        <v>11.5</v>
      </c>
      <c r="D12" t="s">
        <v>11</v>
      </c>
      <c r="E12" s="3" t="s">
        <v>16</v>
      </c>
      <c r="F12" s="2" t="s">
        <v>16</v>
      </c>
      <c r="G12" s="2">
        <f>(198/100)</f>
        <v>1.98</v>
      </c>
      <c r="H12" s="2">
        <f>C12*G12</f>
        <v>22.77</v>
      </c>
      <c r="J12" s="5"/>
      <c r="K12" s="2"/>
      <c r="L12" s="2"/>
    </row>
    <row r="13" spans="1:12">
      <c r="B13" t="s">
        <v>48</v>
      </c>
      <c r="C13" s="2">
        <f>A3/1*1</f>
        <v>1</v>
      </c>
      <c r="D13" t="s">
        <v>13</v>
      </c>
      <c r="E13" s="3" t="s">
        <v>16</v>
      </c>
      <c r="F13" s="2" t="s">
        <v>16</v>
      </c>
      <c r="G13" s="2">
        <f>(25/10)</f>
        <v>2.5</v>
      </c>
      <c r="H13" s="2">
        <f>C13*G13</f>
        <v>2.5</v>
      </c>
      <c r="J13" s="5"/>
      <c r="K13" s="2"/>
      <c r="L13" s="2"/>
    </row>
    <row r="14" spans="1:12">
      <c r="B14" s="7" t="s">
        <v>20</v>
      </c>
      <c r="H14" s="8">
        <f>SUM(H9:H13)</f>
        <v>632.28</v>
      </c>
      <c r="J14" s="5">
        <f t="shared" ref="J14:J15" si="0">H14*1.17</f>
        <v>739.7675999999999</v>
      </c>
      <c r="K14" s="2"/>
      <c r="L14" s="2"/>
    </row>
    <row r="15" spans="1:12">
      <c r="A15" s="7" t="s">
        <v>21</v>
      </c>
      <c r="B15" s="7" t="s">
        <v>22</v>
      </c>
      <c r="H15" s="8">
        <f>H8+H14</f>
        <v>919.38</v>
      </c>
      <c r="J15" s="5">
        <f t="shared" si="0"/>
        <v>1075.6745999999998</v>
      </c>
      <c r="K15" s="2"/>
      <c r="L15" s="5">
        <f>J15*1.21</f>
        <v>1301.5662659999998</v>
      </c>
    </row>
    <row r="16" spans="1:12">
      <c r="J16" s="5"/>
      <c r="K16" s="2"/>
      <c r="L16" s="2"/>
    </row>
    <row r="17" spans="10:12">
      <c r="J17" s="5"/>
      <c r="K17" s="2"/>
      <c r="L17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CBF9-FDA4-4A03-8C93-5052BC580B09}">
  <dimension ref="A1:J9"/>
  <sheetViews>
    <sheetView topLeftCell="C1" workbookViewId="0">
      <selection activeCell="H13" sqref="H13"/>
    </sheetView>
  </sheetViews>
  <sheetFormatPr defaultRowHeight="15"/>
  <cols>
    <col min="1" max="1" width="17.85546875" customWidth="1"/>
    <col min="2" max="2" width="55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7" t="s">
        <v>93</v>
      </c>
    </row>
    <row r="3" spans="1:10">
      <c r="A3">
        <v>1</v>
      </c>
      <c r="B3" t="s">
        <v>0</v>
      </c>
    </row>
    <row r="5" spans="1:10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0">
      <c r="A6" s="7" t="s">
        <v>9</v>
      </c>
      <c r="B6" s="7" t="s">
        <v>14</v>
      </c>
      <c r="F6" s="8" t="str">
        <f ca="1">SUM(F5:F6)</f>
        <v/>
      </c>
      <c r="H6" s="8" t="str">
        <f ca="1">SUM(H5:H6)</f>
        <v/>
      </c>
    </row>
    <row r="7" spans="1:10">
      <c r="A7" s="7" t="s">
        <v>15</v>
      </c>
      <c r="B7" t="s">
        <v>93</v>
      </c>
      <c r="C7" s="2">
        <f>A3/1*1</f>
        <v>1</v>
      </c>
      <c r="D7" t="s">
        <v>0</v>
      </c>
      <c r="E7" s="3" t="s">
        <v>16</v>
      </c>
      <c r="F7" s="2" t="s">
        <v>16</v>
      </c>
      <c r="G7" s="2">
        <f>120</f>
        <v>120</v>
      </c>
      <c r="H7" s="2">
        <f>C7*G7</f>
        <v>120</v>
      </c>
    </row>
    <row r="8" spans="1:10">
      <c r="B8" s="7" t="s">
        <v>20</v>
      </c>
      <c r="H8" s="8">
        <f>SUM(H7:H7)</f>
        <v>120</v>
      </c>
      <c r="J8" s="4">
        <f>H8*1.21</f>
        <v>145.19999999999999</v>
      </c>
    </row>
    <row r="9" spans="1:10">
      <c r="A9" s="7" t="s">
        <v>21</v>
      </c>
      <c r="B9" s="7" t="s">
        <v>22</v>
      </c>
      <c r="H9" s="8" t="str">
        <f ca="1">H6+H8</f>
        <v/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450A-61EE-4602-8C82-312647202621}">
  <dimension ref="A1:L17"/>
  <sheetViews>
    <sheetView topLeftCell="G1" workbookViewId="0">
      <selection activeCell="G8" sqref="G8"/>
    </sheetView>
  </sheetViews>
  <sheetFormatPr defaultRowHeight="15"/>
  <cols>
    <col min="1" max="1" width="17.85546875" customWidth="1"/>
    <col min="2" max="2" width="4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94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23</v>
      </c>
      <c r="C6" s="2">
        <f>A3/1*1000/1000</f>
        <v>1</v>
      </c>
      <c r="D6" t="s">
        <v>24</v>
      </c>
      <c r="E6" s="3">
        <f>10000/10000</f>
        <v>1</v>
      </c>
      <c r="F6" s="2">
        <f>C6*E6</f>
        <v>1</v>
      </c>
      <c r="G6" s="2">
        <v>52.2</v>
      </c>
      <c r="H6" s="2">
        <f>F6*G6</f>
        <v>52.2</v>
      </c>
    </row>
    <row r="7" spans="1:12">
      <c r="B7" t="s">
        <v>25</v>
      </c>
      <c r="C7" s="2">
        <f>A3/1*750/1000</f>
        <v>0.75</v>
      </c>
      <c r="D7" t="s">
        <v>24</v>
      </c>
      <c r="E7" s="3">
        <f>10000/10000</f>
        <v>1</v>
      </c>
      <c r="F7" s="2">
        <f>C7*E7</f>
        <v>0.75</v>
      </c>
      <c r="G7" s="2">
        <v>52.2</v>
      </c>
      <c r="H7" s="2">
        <f>F7*G7</f>
        <v>39.150000000000006</v>
      </c>
    </row>
    <row r="8" spans="1:12">
      <c r="B8" s="7" t="s">
        <v>14</v>
      </c>
      <c r="F8" s="8">
        <f>SUM(F6:F7)</f>
        <v>1.75</v>
      </c>
      <c r="H8" s="8">
        <f>SUM(H6:H7)</f>
        <v>91.350000000000009</v>
      </c>
      <c r="J8" s="5">
        <f>H8*1.17</f>
        <v>106.87950000000001</v>
      </c>
      <c r="K8" s="2"/>
      <c r="L8" s="2"/>
    </row>
    <row r="9" spans="1:12">
      <c r="A9" s="7" t="s">
        <v>15</v>
      </c>
      <c r="B9" t="s">
        <v>19</v>
      </c>
      <c r="C9" s="2">
        <f>A3/1*1</f>
        <v>1</v>
      </c>
      <c r="D9" t="s">
        <v>13</v>
      </c>
      <c r="E9" s="3" t="s">
        <v>16</v>
      </c>
      <c r="F9" s="2" t="s">
        <v>16</v>
      </c>
      <c r="G9" s="2">
        <f>20</f>
        <v>20</v>
      </c>
      <c r="H9" s="2">
        <f>C9*G9</f>
        <v>20</v>
      </c>
      <c r="J9" s="2"/>
      <c r="K9" s="2"/>
      <c r="L9" s="2"/>
    </row>
    <row r="10" spans="1:12">
      <c r="B10" s="7" t="s">
        <v>20</v>
      </c>
      <c r="H10" s="8">
        <f>SUM(H9:H9)</f>
        <v>20</v>
      </c>
      <c r="J10" s="5">
        <f t="shared" ref="J10:J11" si="0">H10*1.17</f>
        <v>23.4</v>
      </c>
      <c r="K10" s="2"/>
      <c r="L10" s="2"/>
    </row>
    <row r="11" spans="1:12">
      <c r="A11" s="7" t="s">
        <v>21</v>
      </c>
      <c r="B11" s="7" t="s">
        <v>22</v>
      </c>
      <c r="H11" s="8">
        <f>H8+H10</f>
        <v>111.35000000000001</v>
      </c>
      <c r="J11" s="5">
        <f t="shared" si="0"/>
        <v>130.27950000000001</v>
      </c>
      <c r="K11" s="2"/>
      <c r="L11" s="5">
        <f>J11*1.21</f>
        <v>157.63819500000002</v>
      </c>
    </row>
    <row r="12" spans="1:12">
      <c r="J12" s="5"/>
      <c r="K12" s="2"/>
      <c r="L12" s="2"/>
    </row>
    <row r="13" spans="1:12">
      <c r="J13" s="5"/>
      <c r="K13" s="2"/>
      <c r="L13" s="2"/>
    </row>
    <row r="14" spans="1:12">
      <c r="J14" s="5"/>
      <c r="K14" s="2"/>
      <c r="L14" s="2"/>
    </row>
    <row r="15" spans="1:12">
      <c r="J15" s="5"/>
      <c r="K15" s="2"/>
      <c r="L15" s="5"/>
    </row>
    <row r="16" spans="1:12">
      <c r="J16" s="5"/>
      <c r="K16" s="2"/>
      <c r="L16" s="2"/>
    </row>
    <row r="17" spans="10:12">
      <c r="J17" s="5"/>
      <c r="K17" s="2"/>
      <c r="L17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DC5C-09DE-4406-B915-436F5309FEAF}">
  <dimension ref="A1:L11"/>
  <sheetViews>
    <sheetView topLeftCell="D1" workbookViewId="0">
      <selection activeCell="L16" sqref="L16"/>
    </sheetView>
  </sheetViews>
  <sheetFormatPr defaultRowHeight="15"/>
  <cols>
    <col min="1" max="1" width="17.85546875" customWidth="1"/>
    <col min="2" max="2" width="4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95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23</v>
      </c>
      <c r="C6" s="2">
        <f>A3/1*500/1000</f>
        <v>0.5</v>
      </c>
      <c r="D6" t="s">
        <v>24</v>
      </c>
      <c r="E6" s="3">
        <f>10000/10000</f>
        <v>1</v>
      </c>
      <c r="F6" s="2">
        <f>C6*E6</f>
        <v>0.5</v>
      </c>
      <c r="G6" s="2">
        <f>52200/1000</f>
        <v>52.2</v>
      </c>
      <c r="H6" s="2">
        <f>F6*G6</f>
        <v>26.1</v>
      </c>
    </row>
    <row r="7" spans="1:12">
      <c r="B7" t="s">
        <v>25</v>
      </c>
      <c r="C7" s="2">
        <f>A3/1*500/1000</f>
        <v>0.5</v>
      </c>
      <c r="D7" t="s">
        <v>24</v>
      </c>
      <c r="E7" s="3">
        <f>10000/10000</f>
        <v>1</v>
      </c>
      <c r="F7" s="2">
        <f>C7*E7</f>
        <v>0.5</v>
      </c>
      <c r="G7" s="2">
        <f>52200/1000</f>
        <v>52.2</v>
      </c>
      <c r="H7" s="2">
        <f>F7*G7</f>
        <v>26.1</v>
      </c>
    </row>
    <row r="8" spans="1:12">
      <c r="B8" s="1" t="s">
        <v>14</v>
      </c>
      <c r="F8" s="4">
        <f>SUM(F6:F7)</f>
        <v>1</v>
      </c>
      <c r="H8" s="4">
        <f>SUM(H6:H7)</f>
        <v>52.2</v>
      </c>
      <c r="J8" s="5">
        <f>H8*1.17</f>
        <v>61.073999999999998</v>
      </c>
      <c r="K8" s="2"/>
      <c r="L8" s="2"/>
    </row>
    <row r="9" spans="1:12">
      <c r="A9" s="1" t="s">
        <v>15</v>
      </c>
      <c r="B9" t="s">
        <v>19</v>
      </c>
      <c r="C9" s="2">
        <f>A3/1*1</f>
        <v>1</v>
      </c>
      <c r="D9" t="s">
        <v>13</v>
      </c>
      <c r="E9" s="3" t="s">
        <v>16</v>
      </c>
      <c r="F9" s="2" t="s">
        <v>16</v>
      </c>
      <c r="G9" s="2">
        <f>20</f>
        <v>20</v>
      </c>
      <c r="H9" s="2">
        <f>C9*G9</f>
        <v>20</v>
      </c>
      <c r="J9" s="2"/>
      <c r="K9" s="2"/>
      <c r="L9" s="2"/>
    </row>
    <row r="10" spans="1:12">
      <c r="B10" s="1" t="s">
        <v>20</v>
      </c>
      <c r="H10" s="4">
        <f>SUM(H9:H9)</f>
        <v>20</v>
      </c>
      <c r="J10" s="5">
        <f t="shared" ref="J10:J11" si="0">H10*1.17</f>
        <v>23.4</v>
      </c>
      <c r="K10" s="2"/>
      <c r="L10" s="2"/>
    </row>
    <row r="11" spans="1:12">
      <c r="A11" s="1" t="s">
        <v>21</v>
      </c>
      <c r="B11" s="1" t="s">
        <v>22</v>
      </c>
      <c r="H11" s="4">
        <f>H8+H10</f>
        <v>72.2</v>
      </c>
      <c r="J11" s="5">
        <f t="shared" si="0"/>
        <v>84.474000000000004</v>
      </c>
      <c r="K11" s="2"/>
      <c r="L11" s="5">
        <f>J11*1.21</f>
        <v>102.21353999999999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D44C0-3546-4C12-B1B7-ECAAD70DD4D0}">
  <dimension ref="A1:L15"/>
  <sheetViews>
    <sheetView tabSelected="1" workbookViewId="0">
      <selection activeCell="C14" sqref="C14"/>
    </sheetView>
  </sheetViews>
  <sheetFormatPr defaultRowHeight="15"/>
  <cols>
    <col min="1" max="1" width="17.85546875" customWidth="1"/>
    <col min="2" max="2" width="53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37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38</v>
      </c>
      <c r="C6" s="2">
        <f>A3/1*1000/1000</f>
        <v>1</v>
      </c>
      <c r="D6" t="s">
        <v>0</v>
      </c>
      <c r="E6" s="3">
        <f>5500/10000</f>
        <v>0.55000000000000004</v>
      </c>
      <c r="F6" s="2">
        <f>C6*E6</f>
        <v>0.55000000000000004</v>
      </c>
      <c r="G6" s="2">
        <v>48.72</v>
      </c>
      <c r="H6" s="2">
        <f>F6*G6</f>
        <v>26.796000000000003</v>
      </c>
    </row>
    <row r="7" spans="1:12">
      <c r="B7" t="s">
        <v>39</v>
      </c>
      <c r="C7" s="2">
        <f>A3/1*1000/1000</f>
        <v>1</v>
      </c>
      <c r="D7" t="s">
        <v>0</v>
      </c>
      <c r="E7" s="3">
        <f>2500/10000</f>
        <v>0.25</v>
      </c>
      <c r="F7" s="2">
        <f>C7*E7</f>
        <v>0.25</v>
      </c>
      <c r="G7" s="2">
        <v>48.72</v>
      </c>
      <c r="H7" s="2">
        <f>F7*G7</f>
        <v>12.18</v>
      </c>
    </row>
    <row r="8" spans="1:12">
      <c r="B8" t="s">
        <v>12</v>
      </c>
      <c r="C8" s="2">
        <f>A3/1*1000/1000</f>
        <v>1</v>
      </c>
      <c r="D8" t="s">
        <v>13</v>
      </c>
      <c r="E8" s="3">
        <f>2000/10000</f>
        <v>0.2</v>
      </c>
      <c r="F8" s="2">
        <f>C8*E8</f>
        <v>0.2</v>
      </c>
      <c r="G8" s="2">
        <v>48.72</v>
      </c>
      <c r="H8" s="2">
        <f>F8*G8</f>
        <v>9.7439999999999998</v>
      </c>
    </row>
    <row r="9" spans="1:12">
      <c r="B9" s="6" t="s">
        <v>14</v>
      </c>
      <c r="F9" s="5">
        <f>SUM(F6:F8)</f>
        <v>1</v>
      </c>
      <c r="H9" s="5">
        <f>SUM(H6:H8)</f>
        <v>48.72</v>
      </c>
      <c r="I9" s="5"/>
      <c r="J9" s="5">
        <f>H9*1.17</f>
        <v>57.002399999999994</v>
      </c>
      <c r="K9" s="2"/>
      <c r="L9" s="2"/>
    </row>
    <row r="10" spans="1:12">
      <c r="A10" s="6" t="s">
        <v>15</v>
      </c>
      <c r="B10" t="s">
        <v>40</v>
      </c>
      <c r="C10" s="2">
        <f>A3/1*(3/10)</f>
        <v>0.3</v>
      </c>
      <c r="D10" t="s">
        <v>27</v>
      </c>
      <c r="E10" s="3" t="s">
        <v>16</v>
      </c>
      <c r="F10" s="2" t="s">
        <v>16</v>
      </c>
      <c r="G10" s="2">
        <f>(3344/100)</f>
        <v>33.44</v>
      </c>
      <c r="H10" s="2">
        <f>C10*G10</f>
        <v>10.031999999999998</v>
      </c>
      <c r="I10" s="2"/>
      <c r="J10" s="2"/>
      <c r="K10" s="2"/>
      <c r="L10" s="2"/>
    </row>
    <row r="11" spans="1:12">
      <c r="B11" t="s">
        <v>41</v>
      </c>
      <c r="C11" s="2">
        <f>A3/1*1</f>
        <v>1</v>
      </c>
      <c r="D11" t="s">
        <v>13</v>
      </c>
      <c r="E11" s="3" t="s">
        <v>16</v>
      </c>
      <c r="F11" s="2" t="s">
        <v>16</v>
      </c>
      <c r="G11" s="2">
        <f>(25/10)</f>
        <v>2.5</v>
      </c>
      <c r="H11" s="2">
        <f>C11*G11</f>
        <v>2.5</v>
      </c>
      <c r="I11" s="5"/>
      <c r="J11" s="5"/>
      <c r="K11" s="2"/>
      <c r="L11" s="2"/>
    </row>
    <row r="12" spans="1:12">
      <c r="B12" t="s">
        <v>42</v>
      </c>
      <c r="C12" s="2">
        <f>A3/1*(1/10)</f>
        <v>0.1</v>
      </c>
      <c r="D12" t="s">
        <v>28</v>
      </c>
      <c r="E12" s="3" t="s">
        <v>16</v>
      </c>
      <c r="F12" s="2" t="s">
        <v>16</v>
      </c>
      <c r="G12" s="2">
        <f>(1391/100)</f>
        <v>13.91</v>
      </c>
      <c r="H12" s="2">
        <f>C12*G12</f>
        <v>1.391</v>
      </c>
      <c r="I12" s="2"/>
      <c r="J12" s="2"/>
      <c r="K12" s="2"/>
      <c r="L12" s="2"/>
    </row>
    <row r="13" spans="1:12">
      <c r="B13" t="s">
        <v>43</v>
      </c>
      <c r="C13" s="2">
        <v>0.5</v>
      </c>
      <c r="D13" t="s">
        <v>29</v>
      </c>
      <c r="E13" s="3" t="s">
        <v>16</v>
      </c>
      <c r="F13" s="2" t="s">
        <v>16</v>
      </c>
      <c r="G13" s="2">
        <f>60</f>
        <v>60</v>
      </c>
      <c r="H13" s="2">
        <f>C13*G13</f>
        <v>30</v>
      </c>
      <c r="I13" s="5"/>
      <c r="J13" s="5"/>
      <c r="K13" s="2"/>
      <c r="L13" s="2"/>
    </row>
    <row r="14" spans="1:12">
      <c r="B14" s="6" t="s">
        <v>20</v>
      </c>
      <c r="H14" s="5">
        <f>SUM(H10:H13)</f>
        <v>43.923000000000002</v>
      </c>
      <c r="I14" s="5"/>
      <c r="J14" s="5">
        <f t="shared" ref="J14:J15" si="0">H14*1.17</f>
        <v>51.38991</v>
      </c>
      <c r="K14" s="2"/>
      <c r="L14" s="2"/>
    </row>
    <row r="15" spans="1:12">
      <c r="A15" s="6" t="s">
        <v>21</v>
      </c>
      <c r="B15" s="6" t="s">
        <v>22</v>
      </c>
      <c r="H15" s="5">
        <f>H9+H14</f>
        <v>92.643000000000001</v>
      </c>
      <c r="I15" s="5"/>
      <c r="J15" s="5">
        <f t="shared" si="0"/>
        <v>108.39230999999999</v>
      </c>
      <c r="K15" s="2"/>
      <c r="L15" s="5">
        <f>J15*1.21</f>
        <v>131.1546951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5D04-2A9F-4CF8-AA72-E04441DBF861}">
  <dimension ref="A1:L15"/>
  <sheetViews>
    <sheetView topLeftCell="D1" workbookViewId="0">
      <selection activeCell="J8" sqref="J8:M16"/>
    </sheetView>
  </sheetViews>
  <sheetFormatPr defaultRowHeight="15"/>
  <cols>
    <col min="1" max="1" width="17.85546875" customWidth="1"/>
    <col min="2" max="2" width="92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44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45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v>56.26</v>
      </c>
      <c r="H6" s="2">
        <f>F6*G6</f>
        <v>28.13</v>
      </c>
    </row>
    <row r="7" spans="1:12">
      <c r="B7" t="s">
        <v>10</v>
      </c>
      <c r="C7" s="2">
        <f>A3/1*5000/1000</f>
        <v>5</v>
      </c>
      <c r="D7" t="s">
        <v>11</v>
      </c>
      <c r="E7" s="3">
        <f>3000/10000</f>
        <v>0.3</v>
      </c>
      <c r="F7" s="2">
        <f>C7*E7</f>
        <v>1.5</v>
      </c>
      <c r="G7" s="2">
        <v>52.2</v>
      </c>
      <c r="H7" s="2">
        <f>F7*G7</f>
        <v>78.300000000000011</v>
      </c>
    </row>
    <row r="8" spans="1:12">
      <c r="B8" s="6" t="s">
        <v>14</v>
      </c>
      <c r="F8" s="5">
        <f>SUM(F6:F7)</f>
        <v>2</v>
      </c>
      <c r="H8" s="5">
        <f>SUM(H6:H7)</f>
        <v>106.43</v>
      </c>
      <c r="J8" s="5">
        <f>H8*1.17</f>
        <v>124.5231</v>
      </c>
      <c r="K8" s="2"/>
      <c r="L8" s="2"/>
    </row>
    <row r="9" spans="1:12">
      <c r="A9" s="6" t="s">
        <v>15</v>
      </c>
      <c r="B9" t="s">
        <v>46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(801/10)</f>
        <v>80.099999999999994</v>
      </c>
      <c r="H9" s="2">
        <f>C9*G9</f>
        <v>80.099999999999994</v>
      </c>
      <c r="J9" s="2"/>
      <c r="K9" s="2"/>
      <c r="L9" s="2"/>
    </row>
    <row r="10" spans="1:12">
      <c r="B10" t="s">
        <v>47</v>
      </c>
      <c r="C10" s="2">
        <f>A3/1*1</f>
        <v>1</v>
      </c>
      <c r="D10" t="s">
        <v>26</v>
      </c>
      <c r="E10" s="3" t="s">
        <v>16</v>
      </c>
      <c r="F10" s="2" t="s">
        <v>16</v>
      </c>
      <c r="G10" s="2">
        <f>(1715/100)</f>
        <v>17.149999999999999</v>
      </c>
      <c r="H10" s="2">
        <f>C10*G10</f>
        <v>17.149999999999999</v>
      </c>
      <c r="J10" s="5"/>
      <c r="K10" s="2"/>
      <c r="L10" s="2"/>
    </row>
    <row r="11" spans="1:12">
      <c r="B11" t="s">
        <v>17</v>
      </c>
      <c r="C11" s="2">
        <f>A3/1*5</f>
        <v>5</v>
      </c>
      <c r="D11" t="s">
        <v>11</v>
      </c>
      <c r="E11" s="3" t="s">
        <v>16</v>
      </c>
      <c r="F11" s="2" t="s">
        <v>16</v>
      </c>
      <c r="G11" s="2">
        <f>(293/100)</f>
        <v>2.93</v>
      </c>
      <c r="H11" s="2">
        <f>C11*G11</f>
        <v>14.65</v>
      </c>
      <c r="J11" s="2"/>
      <c r="K11" s="2"/>
      <c r="L11" s="2"/>
    </row>
    <row r="12" spans="1:12">
      <c r="B12" t="s">
        <v>18</v>
      </c>
      <c r="C12" s="2">
        <f>A3/1*(65/10)</f>
        <v>6.5</v>
      </c>
      <c r="D12" t="s">
        <v>11</v>
      </c>
      <c r="E12" s="3" t="s">
        <v>16</v>
      </c>
      <c r="F12" s="2" t="s">
        <v>16</v>
      </c>
      <c r="G12" s="2">
        <f>(321/100)</f>
        <v>3.21</v>
      </c>
      <c r="H12" s="2">
        <f>C12*G12</f>
        <v>20.864999999999998</v>
      </c>
      <c r="J12" s="5"/>
      <c r="K12" s="2"/>
      <c r="L12" s="2"/>
    </row>
    <row r="13" spans="1:12">
      <c r="B13" t="s">
        <v>48</v>
      </c>
      <c r="C13" s="2">
        <f>A3/1*1</f>
        <v>1</v>
      </c>
      <c r="D13" t="s">
        <v>13</v>
      </c>
      <c r="E13" s="3" t="s">
        <v>16</v>
      </c>
      <c r="F13" s="2" t="s">
        <v>16</v>
      </c>
      <c r="G13" s="2">
        <f>(25/10)</f>
        <v>2.5</v>
      </c>
      <c r="H13" s="2">
        <f>C13*G13</f>
        <v>2.5</v>
      </c>
      <c r="J13" s="5"/>
      <c r="K13" s="2"/>
      <c r="L13" s="2"/>
    </row>
    <row r="14" spans="1:12">
      <c r="B14" s="6" t="s">
        <v>20</v>
      </c>
      <c r="H14" s="5">
        <f>SUM(H9:H13)</f>
        <v>135.26500000000001</v>
      </c>
      <c r="J14" s="5">
        <f t="shared" ref="J14:J15" si="0">H14*1.17</f>
        <v>158.26005000000001</v>
      </c>
      <c r="K14" s="2"/>
      <c r="L14" s="2"/>
    </row>
    <row r="15" spans="1:12">
      <c r="A15" s="6" t="s">
        <v>21</v>
      </c>
      <c r="B15" s="6" t="s">
        <v>22</v>
      </c>
      <c r="H15" s="5">
        <f>H8+H14</f>
        <v>241.69500000000002</v>
      </c>
      <c r="J15" s="5">
        <f t="shared" si="0"/>
        <v>282.78315000000003</v>
      </c>
      <c r="K15" s="2"/>
      <c r="L15" s="5">
        <f>J15*1.21</f>
        <v>342.16761150000002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5667-6A2C-488D-B555-1DCE72249DD7}">
  <dimension ref="A1:L14"/>
  <sheetViews>
    <sheetView topLeftCell="C1" workbookViewId="0">
      <selection activeCell="J8" sqref="J8:L17"/>
    </sheetView>
  </sheetViews>
  <sheetFormatPr defaultRowHeight="15"/>
  <cols>
    <col min="1" max="1" width="17.85546875" customWidth="1"/>
    <col min="2" max="2" width="71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49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50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v>56.26</v>
      </c>
      <c r="H6" s="2">
        <f>F6*G6</f>
        <v>28.13</v>
      </c>
    </row>
    <row r="7" spans="1:12">
      <c r="B7" t="s">
        <v>10</v>
      </c>
      <c r="C7" s="2">
        <f>A3/1*5000/1000</f>
        <v>5</v>
      </c>
      <c r="D7" t="s">
        <v>11</v>
      </c>
      <c r="E7" s="3">
        <f>3000/10000</f>
        <v>0.3</v>
      </c>
      <c r="F7" s="2">
        <f>C7*E7</f>
        <v>1.5</v>
      </c>
      <c r="G7" s="2">
        <v>52.2</v>
      </c>
      <c r="H7" s="2">
        <f>F7*G7</f>
        <v>78.300000000000011</v>
      </c>
    </row>
    <row r="8" spans="1:12">
      <c r="B8" s="6" t="s">
        <v>14</v>
      </c>
      <c r="F8" s="5">
        <f>SUM(F6:F7)</f>
        <v>2</v>
      </c>
      <c r="H8" s="5">
        <f>SUM(H6:H7)</f>
        <v>106.43</v>
      </c>
      <c r="J8" s="5">
        <f>H8*1.17</f>
        <v>124.5231</v>
      </c>
      <c r="K8" s="2"/>
      <c r="L8" s="2"/>
    </row>
    <row r="9" spans="1:12">
      <c r="A9" s="6" t="s">
        <v>15</v>
      </c>
      <c r="B9" t="s">
        <v>51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(1088/10)</f>
        <v>108.8</v>
      </c>
      <c r="H9" s="2">
        <f>C9*G9</f>
        <v>108.8</v>
      </c>
      <c r="J9" s="2"/>
      <c r="K9" s="2"/>
      <c r="L9" s="2"/>
    </row>
    <row r="10" spans="1:12">
      <c r="B10" t="s">
        <v>17</v>
      </c>
      <c r="C10" s="2">
        <f>A3/1*5</f>
        <v>5</v>
      </c>
      <c r="D10" t="s">
        <v>11</v>
      </c>
      <c r="E10" s="3" t="s">
        <v>16</v>
      </c>
      <c r="F10" s="2" t="s">
        <v>16</v>
      </c>
      <c r="G10" s="2">
        <f>(293/100)</f>
        <v>2.93</v>
      </c>
      <c r="H10" s="2">
        <f>C10*G10</f>
        <v>14.65</v>
      </c>
      <c r="J10" s="5"/>
      <c r="K10" s="2"/>
      <c r="L10" s="2"/>
    </row>
    <row r="11" spans="1:12">
      <c r="B11" t="s">
        <v>18</v>
      </c>
      <c r="C11" s="2">
        <f>A3/1*(65/10)</f>
        <v>6.5</v>
      </c>
      <c r="D11" t="s">
        <v>11</v>
      </c>
      <c r="E11" s="3" t="s">
        <v>16</v>
      </c>
      <c r="F11" s="2" t="s">
        <v>16</v>
      </c>
      <c r="G11" s="2">
        <f>(321/100)</f>
        <v>3.21</v>
      </c>
      <c r="H11" s="2">
        <f>C11*G11</f>
        <v>20.864999999999998</v>
      </c>
      <c r="J11" s="2"/>
      <c r="K11" s="2"/>
      <c r="L11" s="2"/>
    </row>
    <row r="12" spans="1:12">
      <c r="B12" t="s">
        <v>48</v>
      </c>
      <c r="C12" s="2">
        <f>A3/1*1</f>
        <v>1</v>
      </c>
      <c r="D12" t="s">
        <v>13</v>
      </c>
      <c r="E12" s="3" t="s">
        <v>16</v>
      </c>
      <c r="F12" s="2" t="s">
        <v>16</v>
      </c>
      <c r="G12" s="2">
        <f>(25/10)</f>
        <v>2.5</v>
      </c>
      <c r="H12" s="2">
        <f>C12*G12</f>
        <v>2.5</v>
      </c>
      <c r="J12" s="5"/>
      <c r="K12" s="2"/>
      <c r="L12" s="2"/>
    </row>
    <row r="13" spans="1:12">
      <c r="B13" s="6" t="s">
        <v>20</v>
      </c>
      <c r="H13" s="5">
        <f>SUM(H9:H12)</f>
        <v>146.815</v>
      </c>
      <c r="J13" s="5">
        <f t="shared" ref="J13:J14" si="0">H13*1.17</f>
        <v>171.77355</v>
      </c>
      <c r="K13" s="2"/>
      <c r="L13" s="2"/>
    </row>
    <row r="14" spans="1:12">
      <c r="A14" s="6" t="s">
        <v>21</v>
      </c>
      <c r="B14" s="6" t="s">
        <v>22</v>
      </c>
      <c r="H14" s="5">
        <f>H8+H13</f>
        <v>253.245</v>
      </c>
      <c r="J14" s="5">
        <f t="shared" si="0"/>
        <v>296.29665</v>
      </c>
      <c r="K14" s="2"/>
      <c r="L14" s="5">
        <f>J14*1.21</f>
        <v>358.51894649999997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55EEF-88F1-485E-A904-03B5936840A9}">
  <dimension ref="A1:L14"/>
  <sheetViews>
    <sheetView topLeftCell="C1" workbookViewId="0">
      <selection activeCell="J8" sqref="J8:L20"/>
    </sheetView>
  </sheetViews>
  <sheetFormatPr defaultRowHeight="15"/>
  <cols>
    <col min="1" max="1" width="17.85546875" customWidth="1"/>
    <col min="2" max="2" width="64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52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53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v>56.26</v>
      </c>
      <c r="H6" s="2">
        <f>F6*G6</f>
        <v>28.13</v>
      </c>
    </row>
    <row r="7" spans="1:12">
      <c r="B7" t="s">
        <v>10</v>
      </c>
      <c r="C7" s="2">
        <f>A3/1*5000/1000</f>
        <v>5</v>
      </c>
      <c r="D7" t="s">
        <v>11</v>
      </c>
      <c r="E7" s="3">
        <f>3000/10000</f>
        <v>0.3</v>
      </c>
      <c r="F7" s="2">
        <f>C7*E7</f>
        <v>1.5</v>
      </c>
      <c r="G7" s="2">
        <v>52.2</v>
      </c>
      <c r="H7" s="2">
        <f>F7*G7</f>
        <v>78.300000000000011</v>
      </c>
    </row>
    <row r="8" spans="1:12">
      <c r="B8" s="6" t="s">
        <v>14</v>
      </c>
      <c r="F8" s="5">
        <f>SUM(F6:F7)</f>
        <v>2</v>
      </c>
      <c r="H8" s="5">
        <f>SUM(H6:H7)</f>
        <v>106.43</v>
      </c>
      <c r="J8" s="5">
        <f>H8*1.17</f>
        <v>124.5231</v>
      </c>
      <c r="K8" s="2"/>
      <c r="L8" s="2"/>
    </row>
    <row r="9" spans="1:12">
      <c r="A9" s="6" t="s">
        <v>15</v>
      </c>
      <c r="B9" t="s">
        <v>54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69</f>
        <v>69</v>
      </c>
      <c r="H9" s="2">
        <f>C9*G9</f>
        <v>69</v>
      </c>
      <c r="J9" s="2"/>
      <c r="K9" s="2"/>
      <c r="L9" s="2"/>
    </row>
    <row r="10" spans="1:12">
      <c r="B10" t="s">
        <v>17</v>
      </c>
      <c r="C10" s="2">
        <f>A3/1*5</f>
        <v>5</v>
      </c>
      <c r="D10" t="s">
        <v>11</v>
      </c>
      <c r="E10" s="3" t="s">
        <v>16</v>
      </c>
      <c r="F10" s="2" t="s">
        <v>16</v>
      </c>
      <c r="G10" s="2">
        <f>(293/100)</f>
        <v>2.93</v>
      </c>
      <c r="H10" s="2">
        <f>C10*G10</f>
        <v>14.65</v>
      </c>
      <c r="J10" s="5"/>
      <c r="K10" s="2"/>
      <c r="L10" s="2"/>
    </row>
    <row r="11" spans="1:12">
      <c r="B11" t="s">
        <v>18</v>
      </c>
      <c r="C11" s="2">
        <f>A3/1*(65/10)</f>
        <v>6.5</v>
      </c>
      <c r="D11" t="s">
        <v>11</v>
      </c>
      <c r="E11" s="3" t="s">
        <v>16</v>
      </c>
      <c r="F11" s="2" t="s">
        <v>16</v>
      </c>
      <c r="G11" s="2">
        <f>(321/100)</f>
        <v>3.21</v>
      </c>
      <c r="H11" s="2">
        <f>C11*G11</f>
        <v>20.864999999999998</v>
      </c>
      <c r="J11" s="2"/>
      <c r="K11" s="2"/>
      <c r="L11" s="2"/>
    </row>
    <row r="12" spans="1:12">
      <c r="B12" t="s">
        <v>48</v>
      </c>
      <c r="C12" s="2">
        <f>A3/1*1</f>
        <v>1</v>
      </c>
      <c r="D12" t="s">
        <v>13</v>
      </c>
      <c r="E12" s="3" t="s">
        <v>16</v>
      </c>
      <c r="F12" s="2" t="s">
        <v>16</v>
      </c>
      <c r="G12" s="2">
        <f>(25/10)</f>
        <v>2.5</v>
      </c>
      <c r="H12" s="2">
        <f>C12*G12</f>
        <v>2.5</v>
      </c>
      <c r="J12" s="5"/>
      <c r="K12" s="2"/>
      <c r="L12" s="2"/>
    </row>
    <row r="13" spans="1:12">
      <c r="B13" s="6" t="s">
        <v>20</v>
      </c>
      <c r="H13" s="5">
        <f>SUM(H9:H12)</f>
        <v>107.015</v>
      </c>
      <c r="J13" s="5">
        <f t="shared" ref="J13:J14" si="0">H13*1.17</f>
        <v>125.20755</v>
      </c>
      <c r="K13" s="2"/>
      <c r="L13" s="2"/>
    </row>
    <row r="14" spans="1:12">
      <c r="A14" s="6" t="s">
        <v>21</v>
      </c>
      <c r="B14" s="6" t="s">
        <v>22</v>
      </c>
      <c r="H14" s="5">
        <f>H8+H13</f>
        <v>213.44499999999999</v>
      </c>
      <c r="J14" s="5">
        <f t="shared" si="0"/>
        <v>249.73064999999997</v>
      </c>
      <c r="K14" s="2"/>
      <c r="L14" s="5">
        <f>J14*1.21</f>
        <v>302.17408649999993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5DA7-129C-4D4F-ACAA-13C4EFA75DAE}">
  <dimension ref="A1:L14"/>
  <sheetViews>
    <sheetView topLeftCell="D1" workbookViewId="0">
      <selection activeCell="J8" sqref="J8:L16"/>
    </sheetView>
  </sheetViews>
  <sheetFormatPr defaultRowHeight="15"/>
  <cols>
    <col min="1" max="1" width="17.85546875" customWidth="1"/>
    <col min="2" max="2" width="85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55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56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v>56.26</v>
      </c>
      <c r="H6" s="2">
        <f>F6*G6</f>
        <v>28.13</v>
      </c>
    </row>
    <row r="7" spans="1:12">
      <c r="B7" t="s">
        <v>10</v>
      </c>
      <c r="C7" s="2">
        <f>A3/1*5000/1000</f>
        <v>5</v>
      </c>
      <c r="D7" t="s">
        <v>11</v>
      </c>
      <c r="E7" s="3">
        <f>3000/10000</f>
        <v>0.3</v>
      </c>
      <c r="F7" s="2">
        <f>C7*E7</f>
        <v>1.5</v>
      </c>
      <c r="G7" s="2">
        <v>52.2</v>
      </c>
      <c r="H7" s="2">
        <f>F7*G7</f>
        <v>78.300000000000011</v>
      </c>
    </row>
    <row r="8" spans="1:12">
      <c r="B8" s="6" t="s">
        <v>14</v>
      </c>
      <c r="F8" s="5">
        <f>SUM(F6:F7)</f>
        <v>2</v>
      </c>
      <c r="H8" s="5">
        <f>SUM(H6:H7)</f>
        <v>106.43</v>
      </c>
      <c r="J8" s="5">
        <f>H8*1.17</f>
        <v>124.5231</v>
      </c>
      <c r="K8" s="2"/>
      <c r="L8" s="2"/>
    </row>
    <row r="9" spans="1:12">
      <c r="A9" s="6" t="s">
        <v>15</v>
      </c>
      <c r="B9" t="s">
        <v>57</v>
      </c>
      <c r="C9" s="2">
        <f>A3/1*1</f>
        <v>1</v>
      </c>
      <c r="D9" t="s">
        <v>0</v>
      </c>
      <c r="E9" s="3" t="s">
        <v>16</v>
      </c>
      <c r="F9" s="2" t="s">
        <v>16</v>
      </c>
      <c r="G9" s="2">
        <f>(8803/100)</f>
        <v>88.03</v>
      </c>
      <c r="H9" s="2">
        <f>C9*G9</f>
        <v>88.03</v>
      </c>
      <c r="J9" s="2"/>
      <c r="K9" s="2"/>
      <c r="L9" s="2"/>
    </row>
    <row r="10" spans="1:12">
      <c r="B10" t="s">
        <v>17</v>
      </c>
      <c r="C10" s="2">
        <f>A3/1*5</f>
        <v>5</v>
      </c>
      <c r="D10" t="s">
        <v>11</v>
      </c>
      <c r="E10" s="3" t="s">
        <v>16</v>
      </c>
      <c r="F10" s="2" t="s">
        <v>16</v>
      </c>
      <c r="G10" s="2">
        <f>(293/100)</f>
        <v>2.93</v>
      </c>
      <c r="H10" s="2">
        <f>C10*G10</f>
        <v>14.65</v>
      </c>
      <c r="J10" s="5"/>
      <c r="K10" s="2"/>
      <c r="L10" s="2"/>
    </row>
    <row r="11" spans="1:12">
      <c r="B11" t="s">
        <v>18</v>
      </c>
      <c r="C11" s="2">
        <f>A3/1*(65/10)</f>
        <v>6.5</v>
      </c>
      <c r="D11" t="s">
        <v>11</v>
      </c>
      <c r="E11" s="3" t="s">
        <v>16</v>
      </c>
      <c r="F11" s="2" t="s">
        <v>16</v>
      </c>
      <c r="G11" s="2">
        <f>(321/100)</f>
        <v>3.21</v>
      </c>
      <c r="H11" s="2">
        <f>C11*G11</f>
        <v>20.864999999999998</v>
      </c>
      <c r="J11" s="2"/>
      <c r="K11" s="2"/>
      <c r="L11" s="2"/>
    </row>
    <row r="12" spans="1:12">
      <c r="B12" t="s">
        <v>48</v>
      </c>
      <c r="C12" s="2">
        <f>A3/1*1</f>
        <v>1</v>
      </c>
      <c r="D12" t="s">
        <v>13</v>
      </c>
      <c r="E12" s="3" t="s">
        <v>16</v>
      </c>
      <c r="F12" s="2" t="s">
        <v>16</v>
      </c>
      <c r="G12" s="2">
        <f>(25/10)</f>
        <v>2.5</v>
      </c>
      <c r="H12" s="2">
        <f>C12*G12</f>
        <v>2.5</v>
      </c>
      <c r="J12" s="5"/>
      <c r="K12" s="2"/>
      <c r="L12" s="2"/>
    </row>
    <row r="13" spans="1:12">
      <c r="B13" s="6" t="s">
        <v>20</v>
      </c>
      <c r="H13" s="5">
        <f>SUM(H9:H12)</f>
        <v>126.045</v>
      </c>
      <c r="J13" s="5">
        <f t="shared" ref="J13:J14" si="0">H13*1.17</f>
        <v>147.47264999999999</v>
      </c>
      <c r="K13" s="2"/>
      <c r="L13" s="2"/>
    </row>
    <row r="14" spans="1:12">
      <c r="A14" s="6" t="s">
        <v>21</v>
      </c>
      <c r="B14" s="6" t="s">
        <v>22</v>
      </c>
      <c r="H14" s="5">
        <f>H8+H13</f>
        <v>232.47500000000002</v>
      </c>
      <c r="J14" s="5">
        <f t="shared" si="0"/>
        <v>271.99574999999999</v>
      </c>
      <c r="K14" s="2"/>
      <c r="L14" s="5">
        <f>J14*1.21</f>
        <v>329.11485749999997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F7F3-5B9B-4093-BCF9-F614FBA3BA1C}">
  <dimension ref="A1:L15"/>
  <sheetViews>
    <sheetView topLeftCell="I1" workbookViewId="0">
      <selection activeCell="J7" sqref="J7:L13"/>
    </sheetView>
  </sheetViews>
  <sheetFormatPr defaultRowHeight="15"/>
  <cols>
    <col min="1" max="1" width="17.85546875" customWidth="1"/>
    <col min="2" max="2" width="60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  <col min="10" max="12" width="9.140625" style="2"/>
  </cols>
  <sheetData>
    <row r="1" spans="1:12">
      <c r="A1" s="6" t="s">
        <v>58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59</v>
      </c>
      <c r="C6" s="2">
        <f>A3/1*1000/1000</f>
        <v>1</v>
      </c>
      <c r="D6" t="s">
        <v>0</v>
      </c>
      <c r="E6" s="3">
        <f>10000/10000</f>
        <v>1</v>
      </c>
      <c r="F6" s="2">
        <f>C6*E6</f>
        <v>1</v>
      </c>
      <c r="G6" s="2">
        <v>56.26</v>
      </c>
      <c r="H6" s="2">
        <f>F6*G6</f>
        <v>56.26</v>
      </c>
    </row>
    <row r="7" spans="1:12">
      <c r="B7" s="6" t="s">
        <v>14</v>
      </c>
      <c r="F7" s="5">
        <f>SUM(F6:F6)</f>
        <v>1</v>
      </c>
      <c r="H7" s="5">
        <f>SUM(H6:H6)</f>
        <v>56.26</v>
      </c>
      <c r="J7" s="5">
        <f>H7*1.17</f>
        <v>65.82419999999999</v>
      </c>
    </row>
    <row r="8" spans="1:12">
      <c r="A8" s="6" t="s">
        <v>15</v>
      </c>
      <c r="B8" t="s">
        <v>60</v>
      </c>
      <c r="C8" s="2">
        <f>A3/1*1</f>
        <v>1</v>
      </c>
      <c r="D8" t="s">
        <v>0</v>
      </c>
      <c r="E8" s="3" t="s">
        <v>16</v>
      </c>
      <c r="F8" s="2" t="s">
        <v>16</v>
      </c>
      <c r="G8" s="2">
        <f>45</f>
        <v>45</v>
      </c>
      <c r="H8" s="2">
        <f>C8*G8</f>
        <v>45</v>
      </c>
    </row>
    <row r="9" spans="1:12">
      <c r="B9" s="6" t="s">
        <v>20</v>
      </c>
      <c r="H9" s="5">
        <f>SUM(H8:H8)</f>
        <v>45</v>
      </c>
      <c r="J9" s="5">
        <f t="shared" ref="J9:J10" si="0">H9*1.17</f>
        <v>52.65</v>
      </c>
    </row>
    <row r="10" spans="1:12">
      <c r="A10" s="6" t="s">
        <v>21</v>
      </c>
      <c r="B10" s="6" t="s">
        <v>22</v>
      </c>
      <c r="H10" s="5">
        <f>H7+H9</f>
        <v>101.25999999999999</v>
      </c>
      <c r="J10" s="5">
        <f t="shared" si="0"/>
        <v>118.47419999999998</v>
      </c>
      <c r="L10" s="5">
        <f>J10*1.21</f>
        <v>143.35378199999997</v>
      </c>
    </row>
    <row r="11" spans="1:12">
      <c r="J11" s="5"/>
    </row>
    <row r="12" spans="1:12">
      <c r="J12" s="5"/>
    </row>
    <row r="13" spans="1:12">
      <c r="J13" s="5"/>
      <c r="L13" s="5"/>
    </row>
    <row r="14" spans="1:12">
      <c r="J14"/>
      <c r="K14"/>
      <c r="L14"/>
    </row>
    <row r="15" spans="1:12">
      <c r="J15"/>
      <c r="K15"/>
      <c r="L15"/>
    </row>
  </sheetData>
  <pageMargins left="0.7" right="0.7" top="0.75" bottom="0.75" header="0.3" footer="0.3"/>
  <ignoredErrors>
    <ignoredError sqref="H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2647-2101-4E9D-8392-74D48E8A3FEF}">
  <dimension ref="A1:L13"/>
  <sheetViews>
    <sheetView topLeftCell="C1" workbookViewId="0">
      <selection activeCell="J7" sqref="J7:P13"/>
    </sheetView>
  </sheetViews>
  <sheetFormatPr defaultRowHeight="15"/>
  <cols>
    <col min="1" max="1" width="17.85546875" customWidth="1"/>
    <col min="2" max="2" width="43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7" t="s">
        <v>61</v>
      </c>
    </row>
    <row r="3" spans="1:12">
      <c r="A3">
        <v>1</v>
      </c>
      <c r="B3" t="s">
        <v>0</v>
      </c>
    </row>
    <row r="5" spans="1:12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12">
      <c r="A6" s="7" t="s">
        <v>9</v>
      </c>
      <c r="B6" t="s">
        <v>62</v>
      </c>
      <c r="C6" s="2">
        <f>A3/1*1000/1000</f>
        <v>1</v>
      </c>
      <c r="D6" t="s">
        <v>0</v>
      </c>
      <c r="E6" s="3">
        <f>3500/10000</f>
        <v>0.35</v>
      </c>
      <c r="F6" s="2">
        <f>C6*E6</f>
        <v>0.35</v>
      </c>
      <c r="G6" s="2">
        <v>48.72</v>
      </c>
      <c r="H6" s="2">
        <f>F6*G6</f>
        <v>17.052</v>
      </c>
    </row>
    <row r="7" spans="1:12">
      <c r="B7" s="7" t="s">
        <v>14</v>
      </c>
      <c r="F7" s="8">
        <f>SUM(F6:F6)</f>
        <v>0.35</v>
      </c>
      <c r="H7" s="8">
        <f>SUM(H6:H6)</f>
        <v>17.052</v>
      </c>
      <c r="J7" s="5">
        <f>H7*1.17</f>
        <v>19.950839999999999</v>
      </c>
      <c r="K7" s="2"/>
      <c r="L7" s="2"/>
    </row>
    <row r="8" spans="1:12">
      <c r="A8" s="7" t="s">
        <v>15</v>
      </c>
      <c r="B8" t="s">
        <v>19</v>
      </c>
      <c r="C8" s="2">
        <f>A3/1*1</f>
        <v>1</v>
      </c>
      <c r="D8" t="s">
        <v>13</v>
      </c>
      <c r="E8" s="3" t="s">
        <v>16</v>
      </c>
      <c r="F8" s="2" t="s">
        <v>16</v>
      </c>
      <c r="G8" s="2">
        <f>5</f>
        <v>5</v>
      </c>
      <c r="H8" s="2">
        <f>C8*G8</f>
        <v>5</v>
      </c>
      <c r="J8" s="2"/>
      <c r="K8" s="2"/>
      <c r="L8" s="2"/>
    </row>
    <row r="9" spans="1:12">
      <c r="B9" s="7" t="s">
        <v>20</v>
      </c>
      <c r="H9" s="8">
        <f>SUM(H8:H8)</f>
        <v>5</v>
      </c>
      <c r="J9" s="5">
        <f t="shared" ref="J9:J10" si="0">H9*1.17</f>
        <v>5.85</v>
      </c>
      <c r="K9" s="2"/>
      <c r="L9" s="2"/>
    </row>
    <row r="10" spans="1:12">
      <c r="A10" s="7" t="s">
        <v>21</v>
      </c>
      <c r="B10" s="7" t="s">
        <v>22</v>
      </c>
      <c r="H10" s="8">
        <f>H7+H9</f>
        <v>22.052</v>
      </c>
      <c r="J10" s="5">
        <f t="shared" si="0"/>
        <v>25.800839999999997</v>
      </c>
      <c r="K10" s="2"/>
      <c r="L10" s="5">
        <f>J10*1.21</f>
        <v>31.219016399999997</v>
      </c>
    </row>
    <row r="11" spans="1:12">
      <c r="J11" s="5"/>
      <c r="K11" s="2"/>
      <c r="L11" s="2"/>
    </row>
    <row r="12" spans="1:12">
      <c r="J12" s="5"/>
      <c r="K12" s="2"/>
      <c r="L12" s="2"/>
    </row>
    <row r="13" spans="1:12">
      <c r="J13" s="5"/>
      <c r="K13" s="2"/>
      <c r="L13" s="5"/>
    </row>
  </sheetData>
  <pageMargins left="0.7" right="0.7" top="0.75" bottom="0.75" header="0.3" footer="0.3"/>
  <ignoredErrors>
    <ignoredError sqref="H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e6fe870-7943-4c1a-b0a2-db68696af3b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FB3CB5608C2C4B8F6A034495B95267" ma:contentTypeVersion="12" ma:contentTypeDescription="Een nieuw document maken." ma:contentTypeScope="" ma:versionID="57a5dafc487e76f6774cdc47bd012ffb">
  <xsd:schema xmlns:xsd="http://www.w3.org/2001/XMLSchema" xmlns:xs="http://www.w3.org/2001/XMLSchema" xmlns:p="http://schemas.microsoft.com/office/2006/metadata/properties" xmlns:ns3="5e6fe870-7943-4c1a-b0a2-db68696af3b0" xmlns:ns4="7ec48421-20cd-4d2a-98b0-df846f85d163" targetNamespace="http://schemas.microsoft.com/office/2006/metadata/properties" ma:root="true" ma:fieldsID="7003a5c48f8a67ef0cce6909b460c086" ns3:_="" ns4:_="">
    <xsd:import namespace="5e6fe870-7943-4c1a-b0a2-db68696af3b0"/>
    <xsd:import namespace="7ec48421-20cd-4d2a-98b0-df846f85d1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fe870-7943-4c1a-b0a2-db68696af3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48421-20cd-4d2a-98b0-df846f85d1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F0F428-9155-4D78-A0D4-FA8AC46F65D4}">
  <ds:schemaRefs>
    <ds:schemaRef ds:uri="http://purl.org/dc/dcmitype/"/>
    <ds:schemaRef ds:uri="http://purl.org/dc/elements/1.1/"/>
    <ds:schemaRef ds:uri="http://schemas.microsoft.com/office/2006/metadata/properties"/>
    <ds:schemaRef ds:uri="5e6fe870-7943-4c1a-b0a2-db68696af3b0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7ec48421-20cd-4d2a-98b0-df846f85d16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79925F-F314-470F-87F6-9D87F5F40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6fe870-7943-4c1a-b0a2-db68696af3b0"/>
    <ds:schemaRef ds:uri="7ec48421-20cd-4d2a-98b0-df846f85d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FEA426-FC06-48DF-B437-EB375BD3F2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23</vt:i4>
      </vt:variant>
    </vt:vector>
  </HeadingPairs>
  <TitlesOfParts>
    <vt:vector size="23" baseType="lpstr">
      <vt:lpstr>F1</vt:lpstr>
      <vt:lpstr>F2</vt:lpstr>
      <vt:lpstr>F3</vt:lpstr>
      <vt:lpstr>F4</vt:lpstr>
      <vt:lpstr>F5</vt:lpstr>
      <vt:lpstr>F6</vt:lpstr>
      <vt:lpstr>F7</vt:lpstr>
      <vt:lpstr>F8</vt:lpstr>
      <vt:lpstr>F9</vt:lpstr>
      <vt:lpstr>F10</vt:lpstr>
      <vt:lpstr>F11</vt:lpstr>
      <vt:lpstr>F12</vt:lpstr>
      <vt:lpstr>F13</vt:lpstr>
      <vt:lpstr>F14</vt:lpstr>
      <vt:lpstr>F15</vt:lpstr>
      <vt:lpstr>F16</vt:lpstr>
      <vt:lpstr>F17</vt:lpstr>
      <vt:lpstr>F18</vt:lpstr>
      <vt:lpstr>F19</vt:lpstr>
      <vt:lpstr>F20</vt:lpstr>
      <vt:lpstr>F21</vt:lpstr>
      <vt:lpstr>F22a</vt:lpstr>
      <vt:lpstr>F22b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Boudewijn</dc:creator>
  <cp:lastModifiedBy>Simone Calis</cp:lastModifiedBy>
  <dcterms:created xsi:type="dcterms:W3CDTF">2023-04-24T14:38:00Z</dcterms:created>
  <dcterms:modified xsi:type="dcterms:W3CDTF">2023-04-26T13:56:45Z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0x0101005AFB3CB5608C2C4B8F6A034495B95267</vt:lpwstr>
  </property>
</Properties>
</file>