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nkoop_data\Aanbestedingen\2024-2027\Najaar 2022\Stukken\Te publiceren\"/>
    </mc:Choice>
  </mc:AlternateContent>
  <xr:revisionPtr revIDLastSave="0" documentId="13_ncr:1_{C7F9C24A-A19B-4ED5-9D57-4CB8EF55562A}" xr6:coauthVersionLast="47" xr6:coauthVersionMax="47" xr10:uidLastSave="{00000000-0000-0000-0000-000000000000}"/>
  <bookViews>
    <workbookView xWindow="-120" yWindow="-120" windowWidth="25440" windowHeight="15390" xr2:uid="{65F1BE6A-995C-477C-BCB7-1EEE6CA18E03}"/>
  </bookViews>
  <sheets>
    <sheet name="Contractwaarde perceel 1 (E)" sheetId="3" r:id="rId1"/>
    <sheet name="Contractwaarde perceel 2 (G)" sheetId="7" r:id="rId2"/>
    <sheet name="Subgunning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3" l="1"/>
  <c r="F6" i="3"/>
  <c r="F26" i="3" s="1"/>
  <c r="F5" i="3"/>
  <c r="F4" i="3"/>
  <c r="F26" i="7"/>
  <c r="E38" i="2" l="1"/>
  <c r="E39" i="2"/>
  <c r="E40" i="2"/>
  <c r="E41" i="2"/>
  <c r="E42" i="2"/>
  <c r="E43" i="2"/>
  <c r="E44" i="2"/>
  <c r="E45" i="2"/>
  <c r="E34" i="2"/>
  <c r="D37" i="2"/>
  <c r="E37" i="2" s="1"/>
  <c r="D36" i="2"/>
  <c r="E36" i="2" s="1"/>
  <c r="D35" i="2"/>
  <c r="E35" i="2" s="1"/>
  <c r="E33" i="2"/>
  <c r="A34" i="3"/>
  <c r="A33" i="3"/>
  <c r="G33" i="3"/>
  <c r="F34" i="3"/>
  <c r="F33" i="3"/>
  <c r="G44" i="3"/>
  <c r="A44" i="3"/>
  <c r="F41" i="7"/>
  <c r="A41" i="7"/>
  <c r="D19" i="2"/>
  <c r="F44" i="3" s="1"/>
  <c r="F35" i="3"/>
  <c r="A35" i="3"/>
  <c r="D9" i="7"/>
  <c r="D8" i="3"/>
  <c r="A37" i="3"/>
  <c r="A38" i="3"/>
  <c r="A39" i="3"/>
  <c r="F33" i="7" l="1"/>
  <c r="F34" i="7"/>
  <c r="F35" i="7"/>
  <c r="F36" i="7"/>
  <c r="F37" i="7"/>
  <c r="F38" i="7"/>
  <c r="A44" i="7"/>
  <c r="A42" i="7"/>
  <c r="A43" i="7"/>
  <c r="A33" i="7"/>
  <c r="A34" i="7"/>
  <c r="A35" i="7"/>
  <c r="A36" i="7"/>
  <c r="A37" i="7"/>
  <c r="A38" i="7"/>
  <c r="A39" i="7"/>
  <c r="A40" i="7"/>
  <c r="A41" i="3"/>
  <c r="A42" i="3"/>
  <c r="A43" i="3"/>
  <c r="A45" i="3"/>
  <c r="A46" i="3"/>
  <c r="A47" i="3"/>
  <c r="A36" i="3"/>
  <c r="A40" i="3"/>
  <c r="F44" i="7"/>
  <c r="F43" i="7" l="1"/>
  <c r="F42" i="7"/>
  <c r="F40" i="7"/>
  <c r="F39" i="7"/>
  <c r="D48" i="2" l="1"/>
  <c r="G41" i="7" s="1"/>
  <c r="G39" i="3"/>
  <c r="B30" i="7" l="1"/>
  <c r="G43" i="3"/>
  <c r="G40" i="7"/>
  <c r="G46" i="3"/>
  <c r="G40" i="3"/>
  <c r="G37" i="3"/>
  <c r="G38" i="3"/>
  <c r="G45" i="3"/>
  <c r="G42" i="3"/>
  <c r="G47" i="3"/>
  <c r="G37" i="7" l="1"/>
  <c r="A18" i="2"/>
  <c r="A32" i="7" l="1"/>
  <c r="G41" i="3" l="1"/>
  <c r="A15" i="2"/>
  <c r="F32" i="7" l="1"/>
  <c r="F45" i="7" s="1"/>
  <c r="G44" i="7" l="1"/>
  <c r="G42" i="7" l="1"/>
  <c r="G43" i="7"/>
  <c r="G33" i="7"/>
  <c r="G34" i="7"/>
  <c r="G35" i="7"/>
  <c r="G36" i="7"/>
  <c r="F47" i="7"/>
  <c r="G39" i="7"/>
  <c r="G38" i="7" l="1"/>
  <c r="A38" i="2"/>
  <c r="A41" i="2"/>
  <c r="G32" i="7"/>
  <c r="A33" i="2"/>
  <c r="E48" i="2"/>
  <c r="G45" i="7" l="1"/>
  <c r="E10" i="2" l="1"/>
  <c r="D18" i="2"/>
  <c r="F43" i="3" s="1"/>
  <c r="D17" i="2"/>
  <c r="F42" i="3" s="1"/>
  <c r="D13" i="2"/>
  <c r="F38" i="3" s="1"/>
  <c r="E9" i="2"/>
  <c r="G34" i="3" s="1"/>
  <c r="D21" i="2"/>
  <c r="F46" i="3" s="1"/>
  <c r="D16" i="2"/>
  <c r="F41" i="3" s="1"/>
  <c r="D12" i="2"/>
  <c r="F37" i="3" s="1"/>
  <c r="D20" i="2"/>
  <c r="F45" i="3" s="1"/>
  <c r="D15" i="2"/>
  <c r="F40" i="3" s="1"/>
  <c r="D22" i="2"/>
  <c r="F47" i="3" s="1"/>
  <c r="D14" i="2"/>
  <c r="F39" i="3" s="1"/>
  <c r="G35" i="3" l="1"/>
  <c r="G36" i="3"/>
  <c r="A8" i="2"/>
  <c r="D11" i="2"/>
  <c r="D25" i="2" s="1"/>
  <c r="B31" i="3" s="1"/>
  <c r="E25" i="2"/>
  <c r="G48" i="3" l="1"/>
  <c r="F36" i="3"/>
  <c r="F48" i="3" s="1"/>
  <c r="F50" i="3" s="1"/>
</calcChain>
</file>

<file path=xl/sharedStrings.xml><?xml version="1.0" encoding="utf-8"?>
<sst xmlns="http://schemas.openxmlformats.org/spreadsheetml/2006/main" count="167" uniqueCount="87">
  <si>
    <t>MWh</t>
  </si>
  <si>
    <t>Subgunningscriteria</t>
  </si>
  <si>
    <t>Elektriciteit</t>
  </si>
  <si>
    <t>#</t>
  </si>
  <si>
    <t>Onderwerp</t>
  </si>
  <si>
    <t>Percentage</t>
  </si>
  <si>
    <t>Nieuwe entiteiten</t>
  </si>
  <si>
    <t>Kredietwaardigheid</t>
  </si>
  <si>
    <t>Gas</t>
  </si>
  <si>
    <t>Kleinverbruik bandbreedtevrij</t>
  </si>
  <si>
    <t>Web-interface inkoop</t>
  </si>
  <si>
    <t>Web-interface mutaties</t>
  </si>
  <si>
    <t>Totaal</t>
  </si>
  <si>
    <t>€/MWh</t>
  </si>
  <si>
    <t>Totale score</t>
  </si>
  <si>
    <t>Max. kostenvoordeel:</t>
  </si>
  <si>
    <t>Contractwaarde opslag:</t>
  </si>
  <si>
    <t>Endex2 (peak)</t>
  </si>
  <si>
    <t>Endex1 (off-peak)</t>
  </si>
  <si>
    <t>Biedingsformulier</t>
  </si>
  <si>
    <t>Naam Deelnemer</t>
  </si>
  <si>
    <t>Volume Peak</t>
  </si>
  <si>
    <t>Volume off-peak</t>
  </si>
  <si>
    <t>€/m³</t>
  </si>
  <si>
    <t>€/m³/h/yr</t>
  </si>
  <si>
    <t>m³/h</t>
  </si>
  <si>
    <t>m³</t>
  </si>
  <si>
    <t>Totaal subgunning</t>
  </si>
  <si>
    <t>2a</t>
  </si>
  <si>
    <t>Per onderdeel</t>
  </si>
  <si>
    <t>Rekenkundig voordeel</t>
  </si>
  <si>
    <t>2b</t>
  </si>
  <si>
    <t>2c</t>
  </si>
  <si>
    <t>2d</t>
  </si>
  <si>
    <t>Profiel bandbreedtevrij</t>
  </si>
  <si>
    <t>Ja</t>
  </si>
  <si>
    <t>SDG-doel</t>
  </si>
  <si>
    <t>Ruimere totale bandbreedte</t>
  </si>
  <si>
    <t>Simplerinvoicing/Peppol</t>
  </si>
  <si>
    <t>Gecompenseerd aardgas</t>
  </si>
  <si>
    <t>Aantal jaren</t>
  </si>
  <si>
    <t>Nee</t>
  </si>
  <si>
    <t>Max. waardering</t>
  </si>
  <si>
    <t>Endex TTF-Cal</t>
  </si>
  <si>
    <t>Regiotoeslag*</t>
  </si>
  <si>
    <t>Contractwaarde aanbesteding Elektriciteit 2024</t>
  </si>
  <si>
    <t>Contractwaarde aanbesteding Gas 2024</t>
  </si>
  <si>
    <t>1a</t>
  </si>
  <si>
    <t>1b</t>
  </si>
  <si>
    <t>1c</t>
  </si>
  <si>
    <t>Facturatie- en aanmaningsproces</t>
  </si>
  <si>
    <t>0% EU/NL Wind</t>
  </si>
  <si>
    <t>30% EU/NL Wind</t>
  </si>
  <si>
    <t>100% EU/NL Wind</t>
  </si>
  <si>
    <t>Inkoopgroep A</t>
  </si>
  <si>
    <t>Inkoopgroep B</t>
  </si>
  <si>
    <t>Inkoopgroep C</t>
  </si>
  <si>
    <t>U2b (peak)</t>
  </si>
  <si>
    <t>U1a (off-peak)</t>
  </si>
  <si>
    <t>U2a (peak)</t>
  </si>
  <si>
    <t>U1b (off-peak)</t>
  </si>
  <si>
    <t>U1c (off-peak)</t>
  </si>
  <si>
    <t>U2c (peak)</t>
  </si>
  <si>
    <t>Inkoopgroep D</t>
  </si>
  <si>
    <t>U1d (off-peak)</t>
  </si>
  <si>
    <t>U2d (peak)</t>
  </si>
  <si>
    <t>W2a (GXX)</t>
  </si>
  <si>
    <t>W2b (GXX/GGV)</t>
  </si>
  <si>
    <t>W1a (G2C)</t>
  </si>
  <si>
    <t>Jaarvolume profiel GV (G2C)</t>
  </si>
  <si>
    <t>Jaarvolume profiel KV (G1/G2)</t>
  </si>
  <si>
    <t>Flexfee***</t>
  </si>
  <si>
    <t>* De regiotoeslag cq. kosten GTS voor profielaansluitingen (G1, G2) dient separaat te worden geoffreerd (zie eis 41, EEC/2022-01-03b).</t>
  </si>
  <si>
    <t>*** De flexfee voor GXX/GGV kan ook nul zijn indien het in de opslag is opgenomen (zie eis 37, EEC/2022-01-03b).</t>
  </si>
  <si>
    <t>Regiotoeslag/GTS (G2C)**</t>
  </si>
  <si>
    <t>U3 (afslag EPEX off-peak)*</t>
  </si>
  <si>
    <t>Volume teruglevering EPEX (off-peak)</t>
  </si>
  <si>
    <t>Volume teruglevering EPEX (peak)</t>
  </si>
  <si>
    <t>U4 (afslag EPEX peak)*</t>
  </si>
  <si>
    <t>* EPEX afslag voor teruglevering van maximaal 18,50 €/MWh, dient geoffreerd te worden als 18,50 (Zie NVI).</t>
  </si>
  <si>
    <t>* Indien tarief teruglevering = levering tot max. 10% dan kan dit geoffreerd worden als nul (zie NVI).</t>
  </si>
  <si>
    <t>W1a (G1, G2)</t>
  </si>
  <si>
    <t>W1b (G1, G2)</t>
  </si>
  <si>
    <t>** De regiotoeslag cq. kosten GTS voor profielaansluitingen (G2C) dient separaat te worden geoffreerd, maar kan ook gelijk zijn aan regiotoeslag (G1, G2) alsmede de opslag (Zie NVI).</t>
  </si>
  <si>
    <t>Teruglevering</t>
  </si>
  <si>
    <t>Jaarvolume GXX/GGV</t>
  </si>
  <si>
    <t>Contractcap. GXX/GGV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</si>
</sst>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&quot;€&quot;\ * #,##0_ ;_ &quot;€&quot;\ * \-#,##0_ ;_ &quot;€&quot;\ * &quot;-&quot;??_ ;_ @_ "/>
    <numFmt numFmtId="166" formatCode="0.0%"/>
    <numFmt numFmtId="167" formatCode="_ * #,##0.000_ ;_ * \-#,##0.000_ ;_ * &quot;-&quot;??_ ;_ @_ "/>
    <numFmt numFmtId="168" formatCode="_ &quot;€&quot;\ * #,##0.000_ ;_ &quot;€&quot;\ * \-#,##0.000_ ;_ &quot;€&quot;\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3" fillId="0" borderId="0" xfId="0" applyFont="1"/>
    <xf numFmtId="9" fontId="0" fillId="0" borderId="0" xfId="3" applyFont="1"/>
    <xf numFmtId="0" fontId="0" fillId="0" borderId="0" xfId="0" applyAlignment="1">
      <alignment horizontal="right"/>
    </xf>
    <xf numFmtId="165" fontId="0" fillId="0" borderId="0" xfId="2" applyNumberFormat="1" applyFont="1"/>
    <xf numFmtId="0" fontId="0" fillId="0" borderId="0" xfId="0" applyAlignment="1">
      <alignment vertical="center" wrapText="1"/>
    </xf>
    <xf numFmtId="164" fontId="0" fillId="0" borderId="0" xfId="1" applyNumberFormat="1" applyFont="1" applyAlignment="1">
      <alignment horizontal="left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3" fillId="0" borderId="0" xfId="0" applyNumberFormat="1" applyFon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3" applyFont="1" applyAlignment="1">
      <alignment horizontal="center"/>
    </xf>
    <xf numFmtId="44" fontId="6" fillId="0" borderId="2" xfId="2" applyFont="1" applyBorder="1"/>
    <xf numFmtId="0" fontId="6" fillId="0" borderId="4" xfId="0" applyFont="1" applyBorder="1"/>
    <xf numFmtId="0" fontId="6" fillId="0" borderId="5" xfId="0" applyFont="1" applyBorder="1"/>
    <xf numFmtId="0" fontId="0" fillId="0" borderId="6" xfId="0" applyBorder="1"/>
    <xf numFmtId="0" fontId="0" fillId="0" borderId="7" xfId="0" applyBorder="1"/>
    <xf numFmtId="164" fontId="0" fillId="0" borderId="6" xfId="1" applyNumberFormat="1" applyFont="1" applyBorder="1"/>
    <xf numFmtId="165" fontId="0" fillId="0" borderId="6" xfId="2" applyNumberFormat="1" applyFont="1" applyBorder="1"/>
    <xf numFmtId="0" fontId="7" fillId="0" borderId="0" xfId="0" applyFont="1"/>
    <xf numFmtId="44" fontId="6" fillId="0" borderId="5" xfId="2" applyFont="1" applyBorder="1"/>
    <xf numFmtId="0" fontId="0" fillId="0" borderId="8" xfId="0" applyBorder="1"/>
    <xf numFmtId="0" fontId="0" fillId="0" borderId="9" xfId="0" applyBorder="1"/>
    <xf numFmtId="165" fontId="6" fillId="0" borderId="3" xfId="2" applyNumberFormat="1" applyFont="1" applyBorder="1"/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vertical="center" wrapText="1"/>
    </xf>
    <xf numFmtId="166" fontId="0" fillId="0" borderId="0" xfId="3" applyNumberFormat="1" applyFont="1"/>
    <xf numFmtId="0" fontId="3" fillId="0" borderId="5" xfId="0" applyFont="1" applyBorder="1"/>
    <xf numFmtId="0" fontId="3" fillId="0" borderId="4" xfId="0" applyFont="1" applyBorder="1"/>
    <xf numFmtId="165" fontId="3" fillId="0" borderId="1" xfId="2" applyNumberFormat="1" applyFont="1" applyBorder="1" applyAlignment="1">
      <alignment horizontal="left"/>
    </xf>
    <xf numFmtId="0" fontId="6" fillId="0" borderId="0" xfId="0" applyFont="1"/>
    <xf numFmtId="165" fontId="10" fillId="0" borderId="7" xfId="2" applyNumberFormat="1" applyFont="1" applyBorder="1"/>
    <xf numFmtId="165" fontId="6" fillId="0" borderId="1" xfId="2" applyNumberFormat="1" applyFont="1" applyBorder="1"/>
    <xf numFmtId="0" fontId="11" fillId="0" borderId="0" xfId="0" applyFont="1"/>
    <xf numFmtId="164" fontId="11" fillId="0" borderId="0" xfId="1" applyNumberFormat="1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165" fontId="0" fillId="0" borderId="0" xfId="2" applyNumberFormat="1" applyFont="1" applyBorder="1"/>
    <xf numFmtId="43" fontId="0" fillId="0" borderId="0" xfId="1" applyFont="1"/>
    <xf numFmtId="165" fontId="0" fillId="0" borderId="6" xfId="0" applyNumberFormat="1" applyBorder="1"/>
    <xf numFmtId="9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7" fillId="0" borderId="11" xfId="0" applyFont="1" applyBorder="1"/>
    <xf numFmtId="0" fontId="3" fillId="0" borderId="15" xfId="0" applyFont="1" applyBorder="1"/>
    <xf numFmtId="0" fontId="0" fillId="0" borderId="16" xfId="0" applyBorder="1"/>
    <xf numFmtId="0" fontId="0" fillId="0" borderId="15" xfId="0" applyBorder="1"/>
    <xf numFmtId="165" fontId="0" fillId="0" borderId="16" xfId="2" applyNumberFormat="1" applyFont="1" applyBorder="1"/>
    <xf numFmtId="164" fontId="0" fillId="0" borderId="16" xfId="0" applyNumberFormat="1" applyBorder="1"/>
    <xf numFmtId="9" fontId="0" fillId="0" borderId="16" xfId="3" applyFont="1" applyBorder="1"/>
    <xf numFmtId="0" fontId="3" fillId="0" borderId="10" xfId="0" applyFont="1" applyBorder="1"/>
    <xf numFmtId="0" fontId="0" fillId="0" borderId="20" xfId="0" applyBorder="1"/>
    <xf numFmtId="44" fontId="0" fillId="0" borderId="16" xfId="2" applyFont="1" applyBorder="1"/>
    <xf numFmtId="166" fontId="0" fillId="0" borderId="0" xfId="3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164" fontId="8" fillId="0" borderId="0" xfId="1" applyNumberFormat="1" applyFont="1"/>
    <xf numFmtId="165" fontId="8" fillId="0" borderId="0" xfId="2" applyNumberFormat="1" applyFont="1" applyBorder="1"/>
    <xf numFmtId="0" fontId="3" fillId="0" borderId="1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2" borderId="7" xfId="0" applyFill="1" applyBorder="1" applyProtection="1">
      <protection locked="0"/>
    </xf>
    <xf numFmtId="0" fontId="2" fillId="2" borderId="0" xfId="0" applyFont="1" applyFill="1" applyProtection="1">
      <protection locked="0"/>
    </xf>
    <xf numFmtId="165" fontId="10" fillId="0" borderId="0" xfId="2" applyNumberFormat="1" applyFont="1" applyBorder="1"/>
    <xf numFmtId="44" fontId="6" fillId="0" borderId="4" xfId="2" applyFont="1" applyBorder="1"/>
    <xf numFmtId="0" fontId="0" fillId="0" borderId="7" xfId="0" applyBorder="1" applyAlignment="1">
      <alignment horizontal="center"/>
    </xf>
    <xf numFmtId="0" fontId="0" fillId="0" borderId="22" xfId="0" applyBorder="1"/>
    <xf numFmtId="0" fontId="16" fillId="0" borderId="0" xfId="0" applyFont="1" applyAlignment="1">
      <alignment vertical="center"/>
    </xf>
    <xf numFmtId="0" fontId="17" fillId="0" borderId="0" xfId="0" applyFont="1"/>
    <xf numFmtId="9" fontId="3" fillId="0" borderId="0" xfId="3" applyFont="1"/>
    <xf numFmtId="167" fontId="0" fillId="0" borderId="0" xfId="1" applyNumberFormat="1" applyFont="1"/>
    <xf numFmtId="0" fontId="10" fillId="0" borderId="0" xfId="0" applyFont="1"/>
    <xf numFmtId="164" fontId="8" fillId="0" borderId="0" xfId="1" applyNumberFormat="1" applyFont="1" applyFill="1"/>
    <xf numFmtId="0" fontId="8" fillId="2" borderId="7" xfId="0" applyFont="1" applyFill="1" applyBorder="1" applyProtection="1">
      <protection locked="0"/>
    </xf>
    <xf numFmtId="0" fontId="0" fillId="0" borderId="7" xfId="0" applyBorder="1" applyProtection="1">
      <protection locked="0"/>
    </xf>
    <xf numFmtId="166" fontId="0" fillId="0" borderId="16" xfId="3" applyNumberFormat="1" applyFont="1" applyBorder="1"/>
    <xf numFmtId="168" fontId="0" fillId="0" borderId="0" xfId="0" applyNumberFormat="1"/>
    <xf numFmtId="0" fontId="2" fillId="0" borderId="7" xfId="0" applyFont="1" applyBorder="1"/>
    <xf numFmtId="0" fontId="2" fillId="0" borderId="0" xfId="0" applyFont="1"/>
    <xf numFmtId="9" fontId="18" fillId="0" borderId="0" xfId="0" applyNumberFormat="1" applyFont="1" applyAlignment="1">
      <alignment vertical="center" wrapText="1"/>
    </xf>
    <xf numFmtId="0" fontId="18" fillId="0" borderId="0" xfId="0" applyFont="1" applyAlignment="1">
      <alignment vertical="center" wrapText="1"/>
    </xf>
    <xf numFmtId="164" fontId="2" fillId="0" borderId="0" xfId="1" applyNumberFormat="1" applyFont="1"/>
    <xf numFmtId="0" fontId="18" fillId="0" borderId="0" xfId="0" applyFont="1" applyAlignment="1">
      <alignment horizontal="right" vertical="center" wrapText="1"/>
    </xf>
    <xf numFmtId="164" fontId="2" fillId="0" borderId="0" xfId="0" applyNumberFormat="1" applyFont="1"/>
    <xf numFmtId="0" fontId="18" fillId="0" borderId="0" xfId="0" applyFont="1" applyAlignment="1">
      <alignment vertical="center"/>
    </xf>
    <xf numFmtId="168" fontId="2" fillId="0" borderId="0" xfId="0" applyNumberFormat="1" applyFont="1"/>
    <xf numFmtId="0" fontId="8" fillId="0" borderId="15" xfId="0" applyFont="1" applyBorder="1"/>
    <xf numFmtId="0" fontId="16" fillId="0" borderId="0" xfId="0" applyFont="1" applyFill="1" applyBorder="1"/>
    <xf numFmtId="0" fontId="17" fillId="2" borderId="12" xfId="0" applyFont="1" applyFill="1" applyBorder="1" applyAlignment="1" applyProtection="1">
      <alignment horizontal="center"/>
      <protection locked="0"/>
    </xf>
    <xf numFmtId="0" fontId="17" fillId="2" borderId="21" xfId="0" applyFont="1" applyFill="1" applyBorder="1" applyAlignment="1" applyProtection="1">
      <alignment horizontal="center"/>
      <protection locked="0"/>
    </xf>
    <xf numFmtId="0" fontId="17" fillId="2" borderId="13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164" fontId="0" fillId="0" borderId="0" xfId="1" applyNumberFormat="1" applyFont="1" applyFill="1"/>
    <xf numFmtId="164" fontId="0" fillId="0" borderId="0" xfId="0" applyNumberFormat="1" applyFill="1"/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FDA9996-58A3-4A64-9910-FF6AA02FACEC}" name="Tabel3" displayName="Tabel3" ref="A32:E48" totalsRowShown="0" dataDxfId="9" dataCellStyle="Valuta">
  <tableColumns count="5">
    <tableColumn id="1" xr3:uid="{7F835B35-B3C7-4718-A5ED-32FEAFF9ED16}" name="Per onderdeel" dataDxfId="8"/>
    <tableColumn id="2" xr3:uid="{1D2EB7A3-D2DD-483F-83ED-5EBB7DA84368}" name="#"/>
    <tableColumn id="3" xr3:uid="{CB1B167C-8254-44BD-A773-2CC7E2D6F486}" name="Onderwerp" dataDxfId="7"/>
    <tableColumn id="6" xr3:uid="{122E4320-BB0A-4F92-9314-F9AE7D5367BF}" name="Max. waardering" dataDxfId="6" dataCellStyle="Valuta"/>
    <tableColumn id="7" xr3:uid="{439C1833-2857-4557-A629-734FC9429187}" name="Percentage" dataDxfId="5" dataCellStyle="Proce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56D71A7-DFFF-495B-8C95-8B913B1A3672}" name="Tabel4" displayName="Tabel4" ref="A7:E25" totalsRowShown="0" dataDxfId="4" dataCellStyle="Valuta">
  <tableColumns count="5">
    <tableColumn id="1" xr3:uid="{040A36FA-2804-4147-81BF-76FE428BDB80}" name="Per onderdeel" dataDxfId="3" dataCellStyle="Procent"/>
    <tableColumn id="2" xr3:uid="{8DA41BCD-BC88-4417-8C8D-C4B88D272E36}" name="#"/>
    <tableColumn id="3" xr3:uid="{F874FA40-30A3-480A-830F-04F18ACFC0A8}" name="Onderwerp" dataDxfId="2"/>
    <tableColumn id="6" xr3:uid="{DFB6AB60-613A-4BD5-85F0-BEAE964FDBEF}" name="Max. waardering" dataDxfId="1" dataCellStyle="Valuta"/>
    <tableColumn id="7" xr3:uid="{6FF42647-46D4-45B1-852D-92FA69F2BFA5}" name="Percentage" dataDxfId="0" dataCellStyle="Proc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ADB4-5B31-490A-A6A7-97B8075048FA}">
  <dimension ref="A1:H53"/>
  <sheetViews>
    <sheetView tabSelected="1" zoomScale="85" zoomScaleNormal="85" workbookViewId="0">
      <selection activeCell="L12" sqref="L12"/>
    </sheetView>
  </sheetViews>
  <sheetFormatPr defaultRowHeight="15" x14ac:dyDescent="0.25"/>
  <cols>
    <col min="1" max="1" width="32.5703125" customWidth="1"/>
    <col min="2" max="2" width="25.28515625" bestFit="1" customWidth="1"/>
    <col min="3" max="5" width="15.7109375" customWidth="1"/>
    <col min="6" max="6" width="16.85546875" bestFit="1" customWidth="1"/>
    <col min="7" max="7" width="15.7109375" customWidth="1"/>
  </cols>
  <sheetData>
    <row r="1" spans="1:8" ht="18.75" x14ac:dyDescent="0.3">
      <c r="A1" s="29" t="s">
        <v>45</v>
      </c>
    </row>
    <row r="2" spans="1:8" x14ac:dyDescent="0.25">
      <c r="A2" s="3"/>
    </row>
    <row r="3" spans="1:8" x14ac:dyDescent="0.25">
      <c r="A3" s="3"/>
      <c r="B3" s="3" t="s">
        <v>54</v>
      </c>
      <c r="C3" s="3" t="s">
        <v>55</v>
      </c>
      <c r="D3" s="3" t="s">
        <v>56</v>
      </c>
      <c r="E3" s="3" t="s">
        <v>63</v>
      </c>
      <c r="F3" s="3" t="s">
        <v>12</v>
      </c>
    </row>
    <row r="4" spans="1:8" x14ac:dyDescent="0.25">
      <c r="A4" s="3" t="s">
        <v>22</v>
      </c>
      <c r="B4" s="59">
        <v>49389</v>
      </c>
      <c r="C4" s="1">
        <v>12045.185105</v>
      </c>
      <c r="D4" s="1">
        <v>2319.6909999999998</v>
      </c>
      <c r="E4" s="96">
        <v>9159</v>
      </c>
      <c r="F4" s="97">
        <f>SUM(B4:E4)</f>
        <v>72912.876105000003</v>
      </c>
      <c r="G4" s="23" t="s">
        <v>0</v>
      </c>
      <c r="H4" s="23"/>
    </row>
    <row r="5" spans="1:8" x14ac:dyDescent="0.25">
      <c r="A5" s="3" t="s">
        <v>21</v>
      </c>
      <c r="B5" s="59">
        <v>68333</v>
      </c>
      <c r="C5" s="1">
        <v>14874.872821999999</v>
      </c>
      <c r="D5" s="1">
        <v>3229.527</v>
      </c>
      <c r="E5" s="96">
        <v>8825</v>
      </c>
      <c r="F5" s="97">
        <f>SUM(B5:E5)</f>
        <v>95262.399822000007</v>
      </c>
      <c r="G5" s="23" t="s">
        <v>0</v>
      </c>
      <c r="H5" s="23"/>
    </row>
    <row r="6" spans="1:8" x14ac:dyDescent="0.25">
      <c r="A6" s="70" t="s">
        <v>76</v>
      </c>
      <c r="B6" s="74">
        <v>3064</v>
      </c>
      <c r="C6" s="1">
        <v>0</v>
      </c>
      <c r="D6" s="1">
        <v>0</v>
      </c>
      <c r="E6" s="96">
        <v>1</v>
      </c>
      <c r="F6" s="97">
        <f>SUM(B6:E6)</f>
        <v>3065</v>
      </c>
      <c r="G6" s="23" t="s">
        <v>0</v>
      </c>
      <c r="H6" s="38"/>
    </row>
    <row r="7" spans="1:8" x14ac:dyDescent="0.25">
      <c r="A7" s="70" t="s">
        <v>77</v>
      </c>
      <c r="B7" s="74">
        <v>4643</v>
      </c>
      <c r="C7" s="1">
        <v>0</v>
      </c>
      <c r="D7" s="1">
        <v>0</v>
      </c>
      <c r="E7" s="96">
        <v>49</v>
      </c>
      <c r="F7" s="97">
        <f>SUM(B7:E7)</f>
        <v>4692</v>
      </c>
      <c r="G7" s="23" t="s">
        <v>0</v>
      </c>
      <c r="H7" s="38"/>
    </row>
    <row r="8" spans="1:8" x14ac:dyDescent="0.25">
      <c r="A8" s="28"/>
      <c r="B8" s="39"/>
      <c r="C8" s="64"/>
      <c r="D8" s="28" t="str">
        <f>"= invullen"</f>
        <v>= invullen</v>
      </c>
    </row>
    <row r="9" spans="1:8" ht="15.75" thickBot="1" x14ac:dyDescent="0.3"/>
    <row r="10" spans="1:8" x14ac:dyDescent="0.25">
      <c r="A10" s="54" t="s">
        <v>19</v>
      </c>
      <c r="B10" s="47" t="s">
        <v>20</v>
      </c>
      <c r="C10" s="90"/>
      <c r="D10" s="91"/>
      <c r="E10" s="91"/>
      <c r="F10" s="92"/>
      <c r="G10" s="61"/>
    </row>
    <row r="11" spans="1:8" x14ac:dyDescent="0.25">
      <c r="A11" s="48"/>
      <c r="B11" t="s">
        <v>40</v>
      </c>
      <c r="C11" s="20">
        <v>1</v>
      </c>
      <c r="F11" s="19"/>
      <c r="G11" s="49"/>
    </row>
    <row r="12" spans="1:8" x14ac:dyDescent="0.25">
      <c r="A12" s="48"/>
      <c r="C12" s="67">
        <v>2024</v>
      </c>
      <c r="F12" s="19"/>
      <c r="G12" s="49"/>
    </row>
    <row r="13" spans="1:8" x14ac:dyDescent="0.25">
      <c r="A13" s="50" t="s">
        <v>54</v>
      </c>
      <c r="B13" t="s">
        <v>58</v>
      </c>
      <c r="C13" s="75"/>
      <c r="F13" s="19" t="s">
        <v>13</v>
      </c>
      <c r="G13" s="49"/>
    </row>
    <row r="14" spans="1:8" x14ac:dyDescent="0.25">
      <c r="A14" s="50"/>
      <c r="B14" t="s">
        <v>59</v>
      </c>
      <c r="C14" s="75"/>
      <c r="F14" s="19" t="s">
        <v>13</v>
      </c>
      <c r="G14" s="49"/>
    </row>
    <row r="15" spans="1:8" x14ac:dyDescent="0.25">
      <c r="A15" s="50" t="s">
        <v>55</v>
      </c>
      <c r="B15" t="s">
        <v>60</v>
      </c>
      <c r="C15" s="75"/>
      <c r="F15" s="19" t="s">
        <v>13</v>
      </c>
      <c r="G15" s="49"/>
    </row>
    <row r="16" spans="1:8" x14ac:dyDescent="0.25">
      <c r="A16" s="50"/>
      <c r="B16" t="s">
        <v>57</v>
      </c>
      <c r="C16" s="75"/>
      <c r="F16" s="19" t="s">
        <v>13</v>
      </c>
      <c r="G16" s="49"/>
    </row>
    <row r="17" spans="1:7" x14ac:dyDescent="0.25">
      <c r="A17" s="50" t="s">
        <v>56</v>
      </c>
      <c r="B17" t="s">
        <v>61</v>
      </c>
      <c r="C17" s="75"/>
      <c r="F17" s="19" t="s">
        <v>13</v>
      </c>
      <c r="G17" s="49"/>
    </row>
    <row r="18" spans="1:7" x14ac:dyDescent="0.25">
      <c r="A18" s="50"/>
      <c r="B18" t="s">
        <v>62</v>
      </c>
      <c r="C18" s="75"/>
      <c r="F18" s="19" t="s">
        <v>13</v>
      </c>
      <c r="G18" s="49"/>
    </row>
    <row r="19" spans="1:7" x14ac:dyDescent="0.25">
      <c r="A19" s="50" t="s">
        <v>63</v>
      </c>
      <c r="B19" t="s">
        <v>64</v>
      </c>
      <c r="C19" s="75"/>
      <c r="F19" s="19" t="s">
        <v>13</v>
      </c>
      <c r="G19" s="49"/>
    </row>
    <row r="20" spans="1:7" x14ac:dyDescent="0.25">
      <c r="A20" s="50"/>
      <c r="B20" t="s">
        <v>65</v>
      </c>
      <c r="C20" s="75"/>
      <c r="F20" s="19" t="s">
        <v>13</v>
      </c>
      <c r="G20" s="49"/>
    </row>
    <row r="21" spans="1:7" x14ac:dyDescent="0.25">
      <c r="A21" s="50"/>
      <c r="B21" t="s">
        <v>18</v>
      </c>
      <c r="C21" s="75"/>
      <c r="F21" s="19" t="s">
        <v>13</v>
      </c>
      <c r="G21" s="49"/>
    </row>
    <row r="22" spans="1:7" x14ac:dyDescent="0.25">
      <c r="A22" s="50"/>
      <c r="B22" t="s">
        <v>17</v>
      </c>
      <c r="C22" s="75"/>
      <c r="F22" s="19" t="s">
        <v>13</v>
      </c>
      <c r="G22" s="49"/>
    </row>
    <row r="23" spans="1:7" x14ac:dyDescent="0.25">
      <c r="A23" s="50" t="s">
        <v>84</v>
      </c>
      <c r="B23" t="s">
        <v>75</v>
      </c>
      <c r="C23" s="75"/>
      <c r="F23" s="19" t="s">
        <v>13</v>
      </c>
      <c r="G23" s="49"/>
    </row>
    <row r="24" spans="1:7" x14ac:dyDescent="0.25">
      <c r="A24" s="50"/>
      <c r="B24" t="s">
        <v>78</v>
      </c>
      <c r="C24" s="75"/>
      <c r="F24" s="19" t="s">
        <v>13</v>
      </c>
      <c r="G24" s="49"/>
    </row>
    <row r="25" spans="1:7" x14ac:dyDescent="0.25">
      <c r="A25" s="50"/>
      <c r="C25" s="79"/>
      <c r="F25" s="19"/>
      <c r="G25" s="49"/>
    </row>
    <row r="26" spans="1:7" x14ac:dyDescent="0.25">
      <c r="A26" s="50" t="s">
        <v>16</v>
      </c>
      <c r="C26" s="36"/>
      <c r="D26" s="65"/>
      <c r="E26" s="65"/>
      <c r="F26" s="22">
        <f>(B4*C13)+(B5*C14)+(C15*C4)+(C5*C16)+(D4*C17)+(D5*C18)+(E4*C19)+(E5*C20)+(F6*C23)+(F7*C24)</f>
        <v>0</v>
      </c>
      <c r="G26" s="51"/>
    </row>
    <row r="27" spans="1:7" x14ac:dyDescent="0.25">
      <c r="A27" s="50"/>
      <c r="C27" s="20"/>
      <c r="F27" s="44"/>
      <c r="G27" s="49"/>
    </row>
    <row r="28" spans="1:7" x14ac:dyDescent="0.25">
      <c r="A28" s="50"/>
      <c r="C28" s="20"/>
      <c r="F28" s="19"/>
      <c r="G28" s="49"/>
    </row>
    <row r="29" spans="1:7" x14ac:dyDescent="0.25">
      <c r="A29" s="50"/>
      <c r="C29" s="20"/>
      <c r="F29" s="19"/>
      <c r="G29" s="49"/>
    </row>
    <row r="30" spans="1:7" x14ac:dyDescent="0.25">
      <c r="A30" s="48" t="s">
        <v>1</v>
      </c>
      <c r="C30" s="20"/>
      <c r="F30" s="19"/>
      <c r="G30" s="49"/>
    </row>
    <row r="31" spans="1:7" x14ac:dyDescent="0.25">
      <c r="A31" s="50" t="s">
        <v>15</v>
      </c>
      <c r="B31" s="60">
        <f>Subgunning!D25</f>
        <v>500000</v>
      </c>
      <c r="C31" s="20"/>
      <c r="F31" s="19"/>
      <c r="G31" s="52"/>
    </row>
    <row r="32" spans="1:7" x14ac:dyDescent="0.25">
      <c r="A32" s="50"/>
      <c r="C32" s="20"/>
      <c r="F32" s="19"/>
      <c r="G32" s="49"/>
    </row>
    <row r="33" spans="1:7" x14ac:dyDescent="0.25">
      <c r="A33" s="88" t="str">
        <f>Subgunning!C8</f>
        <v>0% EU/NL Wind</v>
      </c>
      <c r="B33" s="5" t="s">
        <v>47</v>
      </c>
      <c r="C33" s="63"/>
      <c r="F33" s="21">
        <f>IF(C33="ja",Subgunning!$D8,0)</f>
        <v>0</v>
      </c>
      <c r="G33" s="77">
        <f>IF(C33="ja",Subgunning!$E8,0)</f>
        <v>0</v>
      </c>
    </row>
    <row r="34" spans="1:7" x14ac:dyDescent="0.25">
      <c r="A34" s="88" t="str">
        <f>Subgunning!C9</f>
        <v>30% EU/NL Wind</v>
      </c>
      <c r="B34" s="5" t="s">
        <v>48</v>
      </c>
      <c r="C34" s="63"/>
      <c r="F34" s="21">
        <f>IF(C34="ja",Subgunning!$D9,0)</f>
        <v>0</v>
      </c>
      <c r="G34" s="77">
        <f>IF(C34="ja",Subgunning!$E9,0)</f>
        <v>0</v>
      </c>
    </row>
    <row r="35" spans="1:7" x14ac:dyDescent="0.25">
      <c r="A35" s="88" t="str">
        <f>Subgunning!C10</f>
        <v>100% EU/NL Wind</v>
      </c>
      <c r="B35" s="5" t="s">
        <v>49</v>
      </c>
      <c r="C35" s="63"/>
      <c r="F35" s="21">
        <f>IF(C35="ja",Subgunning!$D10,0)</f>
        <v>0</v>
      </c>
      <c r="G35" s="77">
        <f>IF(C35="ja",Subgunning!$E10,0)</f>
        <v>0</v>
      </c>
    </row>
    <row r="36" spans="1:7" x14ac:dyDescent="0.25">
      <c r="A36" s="50" t="str">
        <f>Subgunning!C11</f>
        <v>SDG-doel</v>
      </c>
      <c r="B36" s="5" t="s">
        <v>28</v>
      </c>
      <c r="C36" s="63"/>
      <c r="F36" s="21">
        <f>IF(C36="ja",Subgunning!$D11,0)</f>
        <v>0</v>
      </c>
      <c r="G36" s="77">
        <f>IF(C36="ja",Subgunning!$E11,0)</f>
        <v>0</v>
      </c>
    </row>
    <row r="37" spans="1:7" x14ac:dyDescent="0.25">
      <c r="A37" s="50" t="str">
        <f>Subgunning!C12</f>
        <v>SDG-doel</v>
      </c>
      <c r="B37" s="5" t="s">
        <v>31</v>
      </c>
      <c r="C37" s="63"/>
      <c r="F37" s="21">
        <f>IF(C37="ja",Subgunning!$D12,0)</f>
        <v>0</v>
      </c>
      <c r="G37" s="77">
        <f>IF(C37="ja",Subgunning!$E12,0)</f>
        <v>0</v>
      </c>
    </row>
    <row r="38" spans="1:7" x14ac:dyDescent="0.25">
      <c r="A38" s="50" t="str">
        <f>Subgunning!C13</f>
        <v>SDG-doel</v>
      </c>
      <c r="B38" s="5" t="s">
        <v>32</v>
      </c>
      <c r="C38" s="63"/>
      <c r="F38" s="21">
        <f>IF(C38="ja",Subgunning!$D13,0)</f>
        <v>0</v>
      </c>
      <c r="G38" s="77">
        <f>IF(C38="ja",Subgunning!$E13,0)</f>
        <v>0</v>
      </c>
    </row>
    <row r="39" spans="1:7" x14ac:dyDescent="0.25">
      <c r="A39" s="50" t="str">
        <f>Subgunning!C14</f>
        <v>SDG-doel</v>
      </c>
      <c r="B39" s="5" t="s">
        <v>33</v>
      </c>
      <c r="C39" s="63"/>
      <c r="F39" s="21">
        <f>IF(C39="ja",Subgunning!$D14,0)</f>
        <v>0</v>
      </c>
      <c r="G39" s="77">
        <f>IF(C39="ja",Subgunning!$E14,0)</f>
        <v>0</v>
      </c>
    </row>
    <row r="40" spans="1:7" x14ac:dyDescent="0.25">
      <c r="A40" s="50" t="str">
        <f>Subgunning!C15</f>
        <v>Nieuwe entiteiten</v>
      </c>
      <c r="B40">
        <v>3</v>
      </c>
      <c r="C40" s="63"/>
      <c r="F40" s="21">
        <f>IF(C40="ja",Subgunning!$D15,0)</f>
        <v>0</v>
      </c>
      <c r="G40" s="77">
        <f>IF(C40="ja",Subgunning!$E15,0)</f>
        <v>0</v>
      </c>
    </row>
    <row r="41" spans="1:7" x14ac:dyDescent="0.25">
      <c r="A41" s="50" t="str">
        <f>Subgunning!C16</f>
        <v>Ruimere totale bandbreedte</v>
      </c>
      <c r="B41">
        <v>4</v>
      </c>
      <c r="C41" s="63"/>
      <c r="F41" s="21">
        <f>IF(C41="ja",Subgunning!$D16,0)</f>
        <v>0</v>
      </c>
      <c r="G41" s="77">
        <f>IF(C41="ja",Subgunning!$E16,0)</f>
        <v>0</v>
      </c>
    </row>
    <row r="42" spans="1:7" x14ac:dyDescent="0.25">
      <c r="A42" s="50" t="str">
        <f>Subgunning!C17</f>
        <v>Kleinverbruik bandbreedtevrij</v>
      </c>
      <c r="B42">
        <v>5</v>
      </c>
      <c r="C42" s="63"/>
      <c r="F42" s="21">
        <f>IF(C42="ja",Subgunning!$D17,0)</f>
        <v>0</v>
      </c>
      <c r="G42" s="77">
        <f>IF(C42="ja",Subgunning!$E17,0)</f>
        <v>0</v>
      </c>
    </row>
    <row r="43" spans="1:7" x14ac:dyDescent="0.25">
      <c r="A43" s="50" t="str">
        <f>Subgunning!C18</f>
        <v>Simplerinvoicing/Peppol</v>
      </c>
      <c r="B43">
        <v>6</v>
      </c>
      <c r="C43" s="63"/>
      <c r="F43" s="21">
        <f>IF(C43="ja",Subgunning!$D18,0)</f>
        <v>0</v>
      </c>
      <c r="G43" s="77">
        <f>IF(C43="ja",Subgunning!$E18,0)</f>
        <v>0</v>
      </c>
    </row>
    <row r="44" spans="1:7" x14ac:dyDescent="0.25">
      <c r="A44" s="50" t="str">
        <f>Subgunning!C19</f>
        <v>Facturatie- en aanmaningsproces</v>
      </c>
      <c r="B44">
        <v>7</v>
      </c>
      <c r="C44" s="63"/>
      <c r="F44" s="21">
        <f>IF(C44="ja",Subgunning!$D19,0)</f>
        <v>0</v>
      </c>
      <c r="G44" s="77">
        <f>IF(C44="ja",Subgunning!$E19,0)</f>
        <v>0</v>
      </c>
    </row>
    <row r="45" spans="1:7" x14ac:dyDescent="0.25">
      <c r="A45" s="50" t="str">
        <f>Subgunning!C20</f>
        <v>Kredietwaardigheid</v>
      </c>
      <c r="B45">
        <v>8</v>
      </c>
      <c r="C45" s="63"/>
      <c r="F45" s="21">
        <f>IF(C45="ja",Subgunning!$D20,0)</f>
        <v>0</v>
      </c>
      <c r="G45" s="77">
        <f>IF(C45="ja",Subgunning!$E20,0)</f>
        <v>0</v>
      </c>
    </row>
    <row r="46" spans="1:7" x14ac:dyDescent="0.25">
      <c r="A46" s="50" t="str">
        <f>Subgunning!C21</f>
        <v>Web-interface inkoop</v>
      </c>
      <c r="B46">
        <v>9</v>
      </c>
      <c r="C46" s="63"/>
      <c r="F46" s="21">
        <f>IF(C46="ja",Subgunning!$D21,0)</f>
        <v>0</v>
      </c>
      <c r="G46" s="77">
        <f>IF(C46="ja",Subgunning!$E21,0)</f>
        <v>0</v>
      </c>
    </row>
    <row r="47" spans="1:7" x14ac:dyDescent="0.25">
      <c r="A47" s="50" t="str">
        <f>Subgunning!C22</f>
        <v>Web-interface mutaties</v>
      </c>
      <c r="B47">
        <v>10</v>
      </c>
      <c r="C47" s="63"/>
      <c r="F47" s="21">
        <f>IF(C47="ja",Subgunning!$D22,0)</f>
        <v>0</v>
      </c>
      <c r="G47" s="77">
        <f>IF(C47="ja",Subgunning!$E22,0)</f>
        <v>0</v>
      </c>
    </row>
    <row r="48" spans="1:7" x14ac:dyDescent="0.25">
      <c r="A48" s="50" t="s">
        <v>27</v>
      </c>
      <c r="C48" s="20"/>
      <c r="F48" s="21">
        <f>IF(SUM(F33:F47)&gt;B31,B31,SUM(F33:F47))</f>
        <v>0</v>
      </c>
      <c r="G48" s="77">
        <f>IF(SUM(G33:G47)&gt;1,1,SUM(G33:G47))</f>
        <v>0</v>
      </c>
    </row>
    <row r="49" spans="1:7" ht="15.75" thickBot="1" x14ac:dyDescent="0.3">
      <c r="A49" s="50"/>
      <c r="C49" s="20"/>
      <c r="F49" s="19"/>
      <c r="G49" s="49"/>
    </row>
    <row r="50" spans="1:7" ht="16.5" thickBot="1" x14ac:dyDescent="0.3">
      <c r="A50" s="18" t="s">
        <v>14</v>
      </c>
      <c r="B50" s="17"/>
      <c r="C50" s="16"/>
      <c r="D50" s="66"/>
      <c r="E50" s="66"/>
      <c r="F50" s="27">
        <f>F26-F48</f>
        <v>0</v>
      </c>
      <c r="G50" s="37"/>
    </row>
    <row r="51" spans="1:7" x14ac:dyDescent="0.25">
      <c r="A51" s="69" t="s">
        <v>79</v>
      </c>
      <c r="B51" s="3"/>
      <c r="C51" s="3"/>
      <c r="D51" s="3"/>
      <c r="E51" s="3"/>
      <c r="F51" s="3"/>
    </row>
    <row r="52" spans="1:7" x14ac:dyDescent="0.25">
      <c r="A52" s="69" t="s">
        <v>80</v>
      </c>
      <c r="B52" s="3"/>
      <c r="C52" s="3"/>
      <c r="D52" s="3"/>
      <c r="E52" s="3"/>
      <c r="F52" s="3"/>
    </row>
    <row r="53" spans="1:7" x14ac:dyDescent="0.25">
      <c r="A53" s="41"/>
      <c r="B53" s="43"/>
    </row>
  </sheetData>
  <sheetProtection algorithmName="SHA-512" hashValue="uzhTgyLFHqVRPK7gDhzar4RMn6YbnXhnIiEwiMM3/f3S20w0VX1FjIr9eiAQHaJeWaGTwxkR0kJE8Y/LTL3h1w==" saltValue="SuzMww7NFZ/mZrN1RBPdxA==" spinCount="100000" sheet="1" objects="1" scenarios="1"/>
  <mergeCells count="1">
    <mergeCell ref="C10:F10"/>
  </mergeCells>
  <pageMargins left="0.70866141732283472" right="0.70866141732283472" top="0.74803149606299213" bottom="0.74803149606299213" header="0.31496062992125984" footer="0.31496062992125984"/>
  <pageSetup paperSize="9" scale="105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160164E5-5580-4622-AAED-F1FC41AD58BD}">
          <x14:formula1>
            <xm:f>Subgunning!$A$51:$A$52</xm:f>
          </x14:formula1>
          <xm:sqref>C33:C47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D42C4-5A35-4607-9D30-46D80B599461}">
  <dimension ref="A1:G50"/>
  <sheetViews>
    <sheetView zoomScale="85" zoomScaleNormal="85" workbookViewId="0">
      <selection activeCell="C18" sqref="C18"/>
    </sheetView>
  </sheetViews>
  <sheetFormatPr defaultRowHeight="15" x14ac:dyDescent="0.25"/>
  <cols>
    <col min="1" max="1" width="30.5703125" customWidth="1"/>
    <col min="2" max="2" width="25.140625" bestFit="1" customWidth="1"/>
    <col min="3" max="5" width="14.28515625" customWidth="1"/>
    <col min="6" max="6" width="17" customWidth="1"/>
    <col min="7" max="7" width="14.28515625" customWidth="1"/>
  </cols>
  <sheetData>
    <row r="1" spans="1:7" ht="18.75" x14ac:dyDescent="0.3">
      <c r="A1" s="29" t="s">
        <v>46</v>
      </c>
    </row>
    <row r="2" spans="1:7" x14ac:dyDescent="0.25">
      <c r="A2" s="3"/>
    </row>
    <row r="3" spans="1:7" x14ac:dyDescent="0.25">
      <c r="A3" s="3"/>
      <c r="B3" t="s">
        <v>54</v>
      </c>
      <c r="C3" t="s">
        <v>55</v>
      </c>
    </row>
    <row r="4" spans="1:7" x14ac:dyDescent="0.25">
      <c r="A4" s="3" t="s">
        <v>70</v>
      </c>
      <c r="B4" s="74">
        <v>4658463</v>
      </c>
      <c r="C4" s="1">
        <v>19011</v>
      </c>
      <c r="D4" s="23" t="s">
        <v>26</v>
      </c>
      <c r="E4" s="23"/>
    </row>
    <row r="5" spans="1:7" x14ac:dyDescent="0.25">
      <c r="A5" s="3" t="s">
        <v>69</v>
      </c>
      <c r="B5" s="74">
        <v>4730594</v>
      </c>
      <c r="C5" s="1">
        <v>0</v>
      </c>
      <c r="D5" s="23"/>
      <c r="E5" s="23"/>
    </row>
    <row r="6" spans="1:7" x14ac:dyDescent="0.25">
      <c r="A6" s="3" t="s">
        <v>85</v>
      </c>
      <c r="B6" s="74">
        <v>10745018</v>
      </c>
      <c r="C6" s="1">
        <v>4360092.7750000004</v>
      </c>
      <c r="D6" s="23" t="s">
        <v>26</v>
      </c>
      <c r="E6" s="23"/>
    </row>
    <row r="7" spans="1:7" x14ac:dyDescent="0.25">
      <c r="A7" s="3" t="s">
        <v>86</v>
      </c>
      <c r="B7" s="74">
        <v>5317</v>
      </c>
      <c r="C7" s="1">
        <v>1454</v>
      </c>
      <c r="D7" s="23" t="s">
        <v>25</v>
      </c>
      <c r="E7" s="23"/>
    </row>
    <row r="8" spans="1:7" x14ac:dyDescent="0.25">
      <c r="A8" s="3"/>
      <c r="B8" s="59"/>
      <c r="C8" s="23"/>
      <c r="D8" s="23"/>
      <c r="E8" s="23"/>
    </row>
    <row r="9" spans="1:7" x14ac:dyDescent="0.25">
      <c r="A9" s="3"/>
      <c r="B9" s="59"/>
      <c r="C9" s="64"/>
      <c r="D9" s="28" t="str">
        <f>"= invullen"</f>
        <v>= invullen</v>
      </c>
    </row>
    <row r="10" spans="1:7" ht="15.75" thickBot="1" x14ac:dyDescent="0.3"/>
    <row r="11" spans="1:7" x14ac:dyDescent="0.25">
      <c r="A11" s="54" t="s">
        <v>19</v>
      </c>
      <c r="B11" s="47" t="s">
        <v>20</v>
      </c>
      <c r="C11" s="93"/>
      <c r="D11" s="94"/>
      <c r="E11" s="94"/>
      <c r="F11" s="95"/>
      <c r="G11" s="62"/>
    </row>
    <row r="12" spans="1:7" x14ac:dyDescent="0.25">
      <c r="A12" s="48"/>
      <c r="B12" t="s">
        <v>40</v>
      </c>
      <c r="C12" s="26">
        <v>1</v>
      </c>
      <c r="D12" s="68"/>
      <c r="E12" s="68"/>
      <c r="F12" s="25"/>
      <c r="G12" s="55"/>
    </row>
    <row r="13" spans="1:7" x14ac:dyDescent="0.25">
      <c r="A13" s="48"/>
      <c r="C13" s="67">
        <v>2024</v>
      </c>
      <c r="F13" s="19"/>
      <c r="G13" s="49"/>
    </row>
    <row r="14" spans="1:7" x14ac:dyDescent="0.25">
      <c r="A14" s="50" t="s">
        <v>54</v>
      </c>
      <c r="B14" t="s">
        <v>81</v>
      </c>
      <c r="C14" s="63"/>
      <c r="F14" s="19" t="s">
        <v>23</v>
      </c>
      <c r="G14" s="49"/>
    </row>
    <row r="15" spans="1:7" x14ac:dyDescent="0.25">
      <c r="A15" s="50"/>
      <c r="B15" t="s">
        <v>44</v>
      </c>
      <c r="C15" s="63"/>
      <c r="F15" s="19" t="s">
        <v>23</v>
      </c>
      <c r="G15" s="49"/>
    </row>
    <row r="16" spans="1:7" x14ac:dyDescent="0.25">
      <c r="A16" s="50"/>
      <c r="B16" t="s">
        <v>68</v>
      </c>
      <c r="C16" s="63"/>
      <c r="F16" s="19" t="s">
        <v>23</v>
      </c>
      <c r="G16" s="49"/>
    </row>
    <row r="17" spans="1:7" x14ac:dyDescent="0.25">
      <c r="A17" s="50"/>
      <c r="B17" t="s">
        <v>74</v>
      </c>
      <c r="C17" s="63"/>
      <c r="F17" s="19" t="s">
        <v>23</v>
      </c>
      <c r="G17" s="49"/>
    </row>
    <row r="18" spans="1:7" x14ac:dyDescent="0.25">
      <c r="A18" s="50"/>
      <c r="B18" t="s">
        <v>66</v>
      </c>
      <c r="C18" s="63"/>
      <c r="F18" s="19" t="s">
        <v>23</v>
      </c>
      <c r="G18" s="49"/>
    </row>
    <row r="19" spans="1:7" x14ac:dyDescent="0.25">
      <c r="A19" s="50"/>
      <c r="B19" t="s">
        <v>71</v>
      </c>
      <c r="C19" s="63"/>
      <c r="F19" s="19" t="s">
        <v>24</v>
      </c>
      <c r="G19" s="49"/>
    </row>
    <row r="20" spans="1:7" x14ac:dyDescent="0.25">
      <c r="A20" s="50" t="s">
        <v>55</v>
      </c>
      <c r="B20" t="s">
        <v>82</v>
      </c>
      <c r="C20" s="63"/>
      <c r="F20" s="19" t="s">
        <v>23</v>
      </c>
      <c r="G20" s="49"/>
    </row>
    <row r="21" spans="1:7" x14ac:dyDescent="0.25">
      <c r="A21" s="50"/>
      <c r="B21" t="s">
        <v>44</v>
      </c>
      <c r="C21" s="63"/>
      <c r="F21" s="19" t="s">
        <v>23</v>
      </c>
      <c r="G21" s="49"/>
    </row>
    <row r="22" spans="1:7" ht="15.75" customHeight="1" x14ac:dyDescent="0.25">
      <c r="A22" s="50"/>
      <c r="B22" t="s">
        <v>67</v>
      </c>
      <c r="C22" s="63"/>
      <c r="F22" s="19" t="s">
        <v>23</v>
      </c>
      <c r="G22" s="49"/>
    </row>
    <row r="23" spans="1:7" x14ac:dyDescent="0.25">
      <c r="A23" s="50"/>
      <c r="B23" t="s">
        <v>71</v>
      </c>
      <c r="C23" s="63"/>
      <c r="F23" s="19" t="s">
        <v>24</v>
      </c>
      <c r="G23" s="49"/>
    </row>
    <row r="24" spans="1:7" x14ac:dyDescent="0.25">
      <c r="A24" s="50"/>
      <c r="B24" t="s">
        <v>43</v>
      </c>
      <c r="C24" s="63"/>
      <c r="F24" s="19" t="s">
        <v>23</v>
      </c>
      <c r="G24" s="49"/>
    </row>
    <row r="25" spans="1:7" x14ac:dyDescent="0.25">
      <c r="A25" s="50"/>
      <c r="C25" s="20"/>
      <c r="F25" s="19"/>
      <c r="G25" s="49"/>
    </row>
    <row r="26" spans="1:7" x14ac:dyDescent="0.25">
      <c r="A26" s="50" t="s">
        <v>16</v>
      </c>
      <c r="C26" s="20"/>
      <c r="F26" s="22">
        <f>(((C14+C15)*$B$4)+((C16+C17)*B5)+((C18*$B$6)+($B$7*C19))+((C20+C21)*C4)+(C22*C6)+(C23*C7))</f>
        <v>0</v>
      </c>
      <c r="G26" s="56"/>
    </row>
    <row r="27" spans="1:7" x14ac:dyDescent="0.25">
      <c r="A27" s="50"/>
      <c r="C27" s="20"/>
      <c r="F27" s="19"/>
      <c r="G27" s="49"/>
    </row>
    <row r="28" spans="1:7" x14ac:dyDescent="0.25">
      <c r="A28" s="50"/>
      <c r="C28" s="20"/>
      <c r="F28" s="19"/>
      <c r="G28" s="49"/>
    </row>
    <row r="29" spans="1:7" x14ac:dyDescent="0.25">
      <c r="A29" s="48" t="s">
        <v>1</v>
      </c>
      <c r="B29" s="42"/>
      <c r="C29" s="20"/>
      <c r="F29" s="19"/>
      <c r="G29" s="49"/>
    </row>
    <row r="30" spans="1:7" x14ac:dyDescent="0.25">
      <c r="A30" s="50" t="s">
        <v>15</v>
      </c>
      <c r="B30" s="60">
        <f>Subgunning!C30</f>
        <v>250000</v>
      </c>
      <c r="C30" s="20"/>
      <c r="F30" s="19"/>
      <c r="G30" s="49"/>
    </row>
    <row r="31" spans="1:7" x14ac:dyDescent="0.25">
      <c r="A31" s="50"/>
      <c r="C31" s="20"/>
      <c r="F31" s="19"/>
      <c r="G31" s="49"/>
    </row>
    <row r="32" spans="1:7" x14ac:dyDescent="0.25">
      <c r="A32" s="50" t="str">
        <f>Subgunning!C33</f>
        <v>Gecompenseerd aardgas</v>
      </c>
      <c r="B32">
        <v>1</v>
      </c>
      <c r="C32" s="63"/>
      <c r="F32" s="21">
        <f>IF(C32="ja",Subgunning!$D33,0)</f>
        <v>0</v>
      </c>
      <c r="G32" s="53">
        <f>IF(C32="ja",Subgunning!$E33,0)</f>
        <v>0</v>
      </c>
    </row>
    <row r="33" spans="1:7" x14ac:dyDescent="0.25">
      <c r="A33" s="50" t="str">
        <f>Subgunning!C34</f>
        <v>SDG-doel</v>
      </c>
      <c r="B33" s="5" t="s">
        <v>28</v>
      </c>
      <c r="C33" s="63"/>
      <c r="F33" s="21">
        <f>IF(C33="ja",Subgunning!$D34,0)</f>
        <v>0</v>
      </c>
      <c r="G33" s="53">
        <f>IF(C33="ja",Subgunning!$E34,0)</f>
        <v>0</v>
      </c>
    </row>
    <row r="34" spans="1:7" x14ac:dyDescent="0.25">
      <c r="A34" s="50" t="str">
        <f>Subgunning!C35</f>
        <v>SDG-doel</v>
      </c>
      <c r="B34" s="5" t="s">
        <v>31</v>
      </c>
      <c r="C34" s="63"/>
      <c r="F34" s="21">
        <f>IF(C34="ja",Subgunning!$D35,0)</f>
        <v>0</v>
      </c>
      <c r="G34" s="53">
        <f>IF(C34="ja",Subgunning!$E35,0)</f>
        <v>0</v>
      </c>
    </row>
    <row r="35" spans="1:7" x14ac:dyDescent="0.25">
      <c r="A35" s="50" t="str">
        <f>Subgunning!C36</f>
        <v>SDG-doel</v>
      </c>
      <c r="B35" s="5" t="s">
        <v>32</v>
      </c>
      <c r="C35" s="63"/>
      <c r="F35" s="21">
        <f>IF(C35="ja",Subgunning!$D36,0)</f>
        <v>0</v>
      </c>
      <c r="G35" s="53">
        <f>IF(C35="ja",Subgunning!$E36,0)</f>
        <v>0</v>
      </c>
    </row>
    <row r="36" spans="1:7" x14ac:dyDescent="0.25">
      <c r="A36" s="50" t="str">
        <f>Subgunning!C37</f>
        <v>SDG-doel</v>
      </c>
      <c r="B36" s="5" t="s">
        <v>33</v>
      </c>
      <c r="C36" s="63"/>
      <c r="F36" s="21">
        <f>IF(C36="ja",Subgunning!$D37,0)</f>
        <v>0</v>
      </c>
      <c r="G36" s="53">
        <f>IF(C36="ja",Subgunning!$E37,0)</f>
        <v>0</v>
      </c>
    </row>
    <row r="37" spans="1:7" x14ac:dyDescent="0.25">
      <c r="A37" s="50" t="str">
        <f>Subgunning!C38</f>
        <v>Nieuwe entiteiten</v>
      </c>
      <c r="B37">
        <v>3</v>
      </c>
      <c r="C37" s="63"/>
      <c r="F37" s="21">
        <f>IF(C37="ja",Subgunning!$D38,0)</f>
        <v>0</v>
      </c>
      <c r="G37" s="53">
        <f>IF(C37="ja",Subgunning!$E38,0)</f>
        <v>0</v>
      </c>
    </row>
    <row r="38" spans="1:7" x14ac:dyDescent="0.25">
      <c r="A38" s="50" t="str">
        <f>Subgunning!C39</f>
        <v>Ruimere totale bandbreedte</v>
      </c>
      <c r="B38">
        <v>4</v>
      </c>
      <c r="C38" s="63"/>
      <c r="F38" s="21">
        <f>IF(C38="ja",Subgunning!$D39,0)</f>
        <v>0</v>
      </c>
      <c r="G38" s="53">
        <f>IF(C38="ja",Subgunning!$E39,0)</f>
        <v>0</v>
      </c>
    </row>
    <row r="39" spans="1:7" x14ac:dyDescent="0.25">
      <c r="A39" s="50" t="str">
        <f>Subgunning!C40</f>
        <v>Profiel bandbreedtevrij</v>
      </c>
      <c r="B39">
        <v>5</v>
      </c>
      <c r="C39" s="63"/>
      <c r="F39" s="21">
        <f>IF(C39="ja",Subgunning!$D40,0)</f>
        <v>0</v>
      </c>
      <c r="G39" s="53">
        <f>IF(C39="ja",Subgunning!$E40,0)</f>
        <v>0</v>
      </c>
    </row>
    <row r="40" spans="1:7" x14ac:dyDescent="0.25">
      <c r="A40" s="50" t="str">
        <f>Subgunning!C41</f>
        <v>Simplerinvoicing/Peppol</v>
      </c>
      <c r="B40">
        <v>6</v>
      </c>
      <c r="C40" s="63"/>
      <c r="F40" s="21">
        <f>IF(C40="ja",Subgunning!$D41,0)</f>
        <v>0</v>
      </c>
      <c r="G40" s="53">
        <f>IF(C40="ja",Subgunning!$E41,0)</f>
        <v>0</v>
      </c>
    </row>
    <row r="41" spans="1:7" x14ac:dyDescent="0.25">
      <c r="A41" s="50" t="str">
        <f>Subgunning!C42</f>
        <v>Facturatie- en aanmaningsproces</v>
      </c>
      <c r="B41">
        <v>7</v>
      </c>
      <c r="C41" s="63"/>
      <c r="F41" s="21">
        <f>IF(C41="ja",Subgunning!$D42,0)</f>
        <v>0</v>
      </c>
      <c r="G41" s="53">
        <f>IF(C41="ja",Subgunning!$E42,0)</f>
        <v>0</v>
      </c>
    </row>
    <row r="42" spans="1:7" x14ac:dyDescent="0.25">
      <c r="A42" s="50" t="str">
        <f>Subgunning!C43</f>
        <v>Kredietwaardigheid</v>
      </c>
      <c r="B42">
        <v>8</v>
      </c>
      <c r="C42" s="63"/>
      <c r="F42" s="21">
        <f>IF(C42="ja",Subgunning!$D43,0)</f>
        <v>0</v>
      </c>
      <c r="G42" s="53">
        <f>IF(C42="ja",Subgunning!$E43,0)</f>
        <v>0</v>
      </c>
    </row>
    <row r="43" spans="1:7" x14ac:dyDescent="0.25">
      <c r="A43" s="50" t="str">
        <f>Subgunning!C44</f>
        <v>Web-interface inkoop</v>
      </c>
      <c r="B43">
        <v>9</v>
      </c>
      <c r="C43" s="63"/>
      <c r="F43" s="21">
        <f>IF(C43="ja",Subgunning!$D44,0)</f>
        <v>0</v>
      </c>
      <c r="G43" s="53">
        <f>IF(C43="ja",Subgunning!$E44,0)</f>
        <v>0</v>
      </c>
    </row>
    <row r="44" spans="1:7" x14ac:dyDescent="0.25">
      <c r="A44" s="50" t="str">
        <f>Subgunning!C45</f>
        <v>Web-interface mutaties</v>
      </c>
      <c r="B44">
        <v>10</v>
      </c>
      <c r="C44" s="63"/>
      <c r="F44" s="21">
        <f>IF(C44="ja",Subgunning!$D45,0)</f>
        <v>0</v>
      </c>
      <c r="G44" s="53">
        <f>IF(C44="ja",Subgunning!$E45,0)</f>
        <v>0</v>
      </c>
    </row>
    <row r="45" spans="1:7" x14ac:dyDescent="0.25">
      <c r="A45" s="50" t="s">
        <v>27</v>
      </c>
      <c r="C45" s="76"/>
      <c r="F45" s="21">
        <f>SUM(F32:F44)</f>
        <v>0</v>
      </c>
      <c r="G45" s="53">
        <f>SUM(G32:G44)</f>
        <v>0</v>
      </c>
    </row>
    <row r="46" spans="1:7" ht="15.75" thickBot="1" x14ac:dyDescent="0.3">
      <c r="A46" s="50"/>
      <c r="C46" s="20"/>
      <c r="F46" s="19"/>
      <c r="G46" s="49"/>
    </row>
    <row r="47" spans="1:7" ht="16.5" thickBot="1" x14ac:dyDescent="0.3">
      <c r="A47" s="18" t="s">
        <v>14</v>
      </c>
      <c r="B47" s="17"/>
      <c r="C47" s="24"/>
      <c r="D47" s="66"/>
      <c r="E47" s="66"/>
      <c r="F47" s="37">
        <f>F26-F45</f>
        <v>0</v>
      </c>
      <c r="G47" s="37"/>
    </row>
    <row r="48" spans="1:7" x14ac:dyDescent="0.25">
      <c r="A48" s="69" t="s">
        <v>72</v>
      </c>
      <c r="F48" s="4"/>
      <c r="G48" s="4"/>
    </row>
    <row r="49" spans="1:7" x14ac:dyDescent="0.25">
      <c r="A49" s="89" t="s">
        <v>83</v>
      </c>
      <c r="F49" s="6"/>
      <c r="G49" s="6"/>
    </row>
    <row r="50" spans="1:7" x14ac:dyDescent="0.25">
      <c r="A50" s="89" t="s">
        <v>73</v>
      </c>
    </row>
  </sheetData>
  <sheetProtection algorithmName="SHA-512" hashValue="eWtlbq1Y8U3cCNdaCexSbmuNW2Yc+m2lGz22/cpgvdFSfnOXGlJ9k3boFohrnWtp+XjyHh3/T+e6m2F6sd5/Iw==" saltValue="ZDyYfgjDyvlh1ZgZUendcw==" spinCount="100000" sheet="1" objects="1" scenarios="1"/>
  <mergeCells count="1">
    <mergeCell ref="C11:F11"/>
  </mergeCells>
  <pageMargins left="0.70866141732283472" right="0.70866141732283472" top="0.74803149606299213" bottom="0.74803149606299213" header="0.31496062992125984" footer="0.31496062992125984"/>
  <pageSetup scale="11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7F128E0-D6F6-47B2-9BC6-F8CE937048A7}">
          <x14:formula1>
            <xm:f>Subgunning!$A$51:$A$52</xm:f>
          </x14:formula1>
          <xm:sqref>C32:C45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233D-AC2A-44B2-9689-5A3317F97A7F}">
  <dimension ref="A1:M52"/>
  <sheetViews>
    <sheetView zoomScale="85" zoomScaleNormal="85" workbookViewId="0">
      <selection activeCell="C18" sqref="C18"/>
    </sheetView>
  </sheetViews>
  <sheetFormatPr defaultRowHeight="15" x14ac:dyDescent="0.25"/>
  <cols>
    <col min="1" max="1" width="24.28515625" bestFit="1" customWidth="1"/>
    <col min="2" max="2" width="8.85546875" bestFit="1" customWidth="1"/>
    <col min="3" max="3" width="30.85546875" bestFit="1" customWidth="1"/>
    <col min="4" max="4" width="16" bestFit="1" customWidth="1"/>
    <col min="5" max="5" width="13.7109375" customWidth="1"/>
    <col min="6" max="6" width="16.140625" customWidth="1"/>
    <col min="7" max="7" width="13.140625" customWidth="1"/>
    <col min="8" max="8" width="43.7109375" bestFit="1" customWidth="1"/>
    <col min="9" max="9" width="14.5703125" bestFit="1" customWidth="1"/>
    <col min="12" max="12" width="12.7109375" customWidth="1"/>
    <col min="13" max="13" width="14.140625" customWidth="1"/>
  </cols>
  <sheetData>
    <row r="1" spans="1:12" ht="18.75" x14ac:dyDescent="0.3">
      <c r="A1" s="29" t="s">
        <v>1</v>
      </c>
    </row>
    <row r="3" spans="1:12" ht="15.75" x14ac:dyDescent="0.25">
      <c r="A3" s="35" t="s">
        <v>2</v>
      </c>
      <c r="C3" s="2"/>
      <c r="D3" s="4"/>
    </row>
    <row r="4" spans="1:12" ht="15.75" thickBot="1" x14ac:dyDescent="0.3">
      <c r="B4" s="5"/>
      <c r="C4" s="1"/>
      <c r="D4" s="2"/>
      <c r="L4" s="10"/>
    </row>
    <row r="5" spans="1:12" ht="15.75" thickBot="1" x14ac:dyDescent="0.3">
      <c r="A5" s="32" t="s">
        <v>30</v>
      </c>
      <c r="B5" s="33"/>
      <c r="C5" s="34">
        <v>500000</v>
      </c>
      <c r="F5" s="40"/>
      <c r="L5" s="10"/>
    </row>
    <row r="6" spans="1:12" x14ac:dyDescent="0.25">
      <c r="B6" s="5"/>
      <c r="L6" s="10"/>
    </row>
    <row r="7" spans="1:12" x14ac:dyDescent="0.25">
      <c r="A7" t="s">
        <v>29</v>
      </c>
      <c r="B7" s="5" t="s">
        <v>3</v>
      </c>
      <c r="C7" t="s">
        <v>4</v>
      </c>
      <c r="D7" t="s">
        <v>42</v>
      </c>
      <c r="E7" t="s">
        <v>5</v>
      </c>
      <c r="H7" s="10"/>
    </row>
    <row r="8" spans="1:12" x14ac:dyDescent="0.25">
      <c r="A8" s="58">
        <f>SUM(E10:E14)</f>
        <v>0.75000000000000011</v>
      </c>
      <c r="B8" s="5" t="s">
        <v>47</v>
      </c>
      <c r="C8" s="7" t="s">
        <v>51</v>
      </c>
      <c r="D8" s="6">
        <v>0</v>
      </c>
      <c r="E8" s="4">
        <v>0</v>
      </c>
      <c r="G8" s="72"/>
      <c r="H8" s="10"/>
    </row>
    <row r="9" spans="1:12" x14ac:dyDescent="0.25">
      <c r="A9" s="15"/>
      <c r="B9" s="5" t="s">
        <v>48</v>
      </c>
      <c r="C9" t="s">
        <v>52</v>
      </c>
      <c r="D9" s="6">
        <v>200000</v>
      </c>
      <c r="E9" s="31">
        <f>D9/$C$5</f>
        <v>0.4</v>
      </c>
      <c r="H9" s="30"/>
      <c r="I9" s="30"/>
    </row>
    <row r="10" spans="1:12" x14ac:dyDescent="0.25">
      <c r="A10" s="15"/>
      <c r="B10" s="5" t="s">
        <v>49</v>
      </c>
      <c r="C10" s="7" t="s">
        <v>53</v>
      </c>
      <c r="D10" s="6">
        <v>325000</v>
      </c>
      <c r="E10" s="31">
        <f>Tabel4[[#This Row],[Max. waardering]]/C5</f>
        <v>0.65</v>
      </c>
      <c r="G10" s="2"/>
      <c r="H10" s="45"/>
      <c r="I10" s="46"/>
    </row>
    <row r="11" spans="1:12" x14ac:dyDescent="0.25">
      <c r="A11" s="15"/>
      <c r="B11" s="5" t="s">
        <v>28</v>
      </c>
      <c r="C11" s="7" t="s">
        <v>36</v>
      </c>
      <c r="D11" s="6">
        <f>$C$5*Tabel4[[#This Row],[Percentage]]</f>
        <v>12500</v>
      </c>
      <c r="E11" s="31">
        <v>2.5000000000000001E-2</v>
      </c>
      <c r="G11" s="2"/>
      <c r="H11" s="45"/>
      <c r="I11" s="46"/>
    </row>
    <row r="12" spans="1:12" x14ac:dyDescent="0.25">
      <c r="A12" s="15"/>
      <c r="B12" s="5" t="s">
        <v>31</v>
      </c>
      <c r="C12" s="7" t="s">
        <v>36</v>
      </c>
      <c r="D12" s="6">
        <f>$C$5*Tabel4[[#This Row],[Percentage]]</f>
        <v>12500</v>
      </c>
      <c r="E12" s="31">
        <v>2.5000000000000001E-2</v>
      </c>
      <c r="G12" s="2"/>
      <c r="H12" s="45"/>
      <c r="I12" s="46"/>
    </row>
    <row r="13" spans="1:12" x14ac:dyDescent="0.25">
      <c r="A13" s="15"/>
      <c r="B13" s="5" t="s">
        <v>32</v>
      </c>
      <c r="C13" s="7" t="s">
        <v>36</v>
      </c>
      <c r="D13" s="6">
        <f>$C$5*Tabel4[[#This Row],[Percentage]]</f>
        <v>12500</v>
      </c>
      <c r="E13" s="31">
        <v>2.5000000000000001E-2</v>
      </c>
      <c r="H13" s="45"/>
      <c r="I13" s="46"/>
    </row>
    <row r="14" spans="1:12" x14ac:dyDescent="0.25">
      <c r="A14" s="14"/>
      <c r="B14" s="5" t="s">
        <v>33</v>
      </c>
      <c r="C14" s="7" t="s">
        <v>36</v>
      </c>
      <c r="D14" s="6">
        <f>$C$5*Tabel4[[#This Row],[Percentage]]</f>
        <v>12500</v>
      </c>
      <c r="E14" s="31">
        <v>2.5000000000000001E-2</v>
      </c>
      <c r="H14" s="11"/>
    </row>
    <row r="15" spans="1:12" x14ac:dyDescent="0.25">
      <c r="A15" s="57">
        <f>SUM(E15:E17)</f>
        <v>0.125</v>
      </c>
      <c r="B15" s="28">
        <v>3</v>
      </c>
      <c r="C15" s="28" t="s">
        <v>6</v>
      </c>
      <c r="D15" s="6">
        <f>$C$5*Tabel4[[#This Row],[Percentage]]</f>
        <v>12500</v>
      </c>
      <c r="E15" s="31">
        <v>2.5000000000000001E-2</v>
      </c>
      <c r="H15" s="30"/>
      <c r="I15" s="30"/>
    </row>
    <row r="16" spans="1:12" x14ac:dyDescent="0.25">
      <c r="A16" s="15"/>
      <c r="B16">
        <v>4</v>
      </c>
      <c r="C16" t="s">
        <v>37</v>
      </c>
      <c r="D16" s="6">
        <f>$C$5*Tabel4[[#This Row],[Percentage]]</f>
        <v>25000</v>
      </c>
      <c r="E16" s="31">
        <v>0.05</v>
      </c>
      <c r="G16" s="78"/>
      <c r="H16" s="45"/>
      <c r="I16" s="46"/>
    </row>
    <row r="17" spans="1:13" x14ac:dyDescent="0.25">
      <c r="A17" s="15"/>
      <c r="B17">
        <v>5</v>
      </c>
      <c r="C17" s="7" t="s">
        <v>9</v>
      </c>
      <c r="D17" s="6">
        <f>$C$5*Tabel4[[#This Row],[Percentage]]</f>
        <v>25000</v>
      </c>
      <c r="E17" s="31">
        <v>0.05</v>
      </c>
      <c r="H17" s="45"/>
      <c r="I17" s="46"/>
    </row>
    <row r="18" spans="1:13" x14ac:dyDescent="0.25">
      <c r="A18" s="57">
        <f>SUM(E18:E22)</f>
        <v>0.125</v>
      </c>
      <c r="B18">
        <v>6</v>
      </c>
      <c r="C18" t="s">
        <v>38</v>
      </c>
      <c r="D18" s="6">
        <f>$C$5*Tabel4[[#This Row],[Percentage]]</f>
        <v>12500</v>
      </c>
      <c r="E18" s="31">
        <v>2.5000000000000001E-2</v>
      </c>
      <c r="H18" s="45"/>
      <c r="I18" s="46"/>
    </row>
    <row r="19" spans="1:13" x14ac:dyDescent="0.25">
      <c r="A19" s="15"/>
      <c r="B19">
        <v>7</v>
      </c>
      <c r="C19" s="7" t="s">
        <v>50</v>
      </c>
      <c r="D19" s="6">
        <f>$C$5*Tabel4[[#This Row],[Percentage]]</f>
        <v>12500</v>
      </c>
      <c r="E19" s="31">
        <v>2.5000000000000001E-2</v>
      </c>
      <c r="H19" s="45"/>
      <c r="I19" s="46"/>
    </row>
    <row r="20" spans="1:13" x14ac:dyDescent="0.25">
      <c r="A20" s="15"/>
      <c r="B20">
        <v>8</v>
      </c>
      <c r="C20" t="s">
        <v>7</v>
      </c>
      <c r="D20" s="6">
        <f>$C$5*Tabel4[[#This Row],[Percentage]]</f>
        <v>12500</v>
      </c>
      <c r="E20" s="31">
        <v>2.5000000000000001E-2</v>
      </c>
      <c r="H20" s="11"/>
    </row>
    <row r="21" spans="1:13" x14ac:dyDescent="0.25">
      <c r="A21" s="15"/>
      <c r="B21">
        <v>9</v>
      </c>
      <c r="C21" s="7" t="s">
        <v>10</v>
      </c>
      <c r="D21" s="6">
        <f>$C$5*Tabel4[[#This Row],[Percentage]]</f>
        <v>12500</v>
      </c>
      <c r="E21" s="31">
        <v>2.5000000000000001E-2</v>
      </c>
    </row>
    <row r="22" spans="1:13" x14ac:dyDescent="0.25">
      <c r="A22" s="15"/>
      <c r="B22">
        <v>10</v>
      </c>
      <c r="C22" s="7" t="s">
        <v>11</v>
      </c>
      <c r="D22" s="6">
        <f>$C$5*Tabel4[[#This Row],[Percentage]]</f>
        <v>12500</v>
      </c>
      <c r="E22" s="31">
        <v>2.5000000000000001E-2</v>
      </c>
    </row>
    <row r="23" spans="1:13" x14ac:dyDescent="0.25">
      <c r="A23" s="15"/>
      <c r="C23" s="7"/>
      <c r="D23" s="6"/>
      <c r="E23" s="31"/>
    </row>
    <row r="24" spans="1:13" x14ac:dyDescent="0.25">
      <c r="A24" s="15"/>
      <c r="C24" s="7"/>
      <c r="D24" s="6"/>
      <c r="E24" s="31"/>
    </row>
    <row r="25" spans="1:13" x14ac:dyDescent="0.25">
      <c r="C25" s="9" t="s">
        <v>12</v>
      </c>
      <c r="D25" s="12">
        <f>SUM(D10:D24)</f>
        <v>500000</v>
      </c>
      <c r="E25" s="71">
        <f>SUM(E10:E24)</f>
        <v>1.0000000000000002</v>
      </c>
    </row>
    <row r="26" spans="1:13" x14ac:dyDescent="0.25">
      <c r="A26" s="15"/>
      <c r="C26" s="7"/>
      <c r="D26" s="6"/>
      <c r="E26" s="4"/>
    </row>
    <row r="28" spans="1:13" ht="15.75" x14ac:dyDescent="0.25">
      <c r="A28" s="35" t="s">
        <v>8</v>
      </c>
      <c r="I28" s="6"/>
      <c r="L28" s="10"/>
    </row>
    <row r="29" spans="1:13" ht="15.75" thickBot="1" x14ac:dyDescent="0.3">
      <c r="C29" s="8"/>
      <c r="F29" s="40"/>
      <c r="I29" s="6"/>
      <c r="L29" s="30"/>
      <c r="M29" s="30"/>
    </row>
    <row r="30" spans="1:13" ht="15.75" thickBot="1" x14ac:dyDescent="0.3">
      <c r="A30" s="32" t="s">
        <v>30</v>
      </c>
      <c r="B30" s="33"/>
      <c r="C30" s="34">
        <v>250000</v>
      </c>
      <c r="I30" s="6"/>
      <c r="L30" s="45"/>
      <c r="M30" s="46"/>
    </row>
    <row r="31" spans="1:13" x14ac:dyDescent="0.25">
      <c r="C31" s="8"/>
      <c r="G31" s="80"/>
      <c r="H31" s="81"/>
      <c r="I31" s="82"/>
      <c r="J31" s="80"/>
      <c r="K31" s="80"/>
      <c r="L31" s="80"/>
    </row>
    <row r="32" spans="1:13" x14ac:dyDescent="0.25">
      <c r="A32" t="s">
        <v>29</v>
      </c>
      <c r="B32" s="5" t="s">
        <v>3</v>
      </c>
      <c r="C32" t="s">
        <v>4</v>
      </c>
      <c r="D32" t="s">
        <v>42</v>
      </c>
      <c r="E32" t="s">
        <v>5</v>
      </c>
      <c r="G32" s="80"/>
      <c r="H32" s="81"/>
      <c r="I32" s="82"/>
      <c r="J32" s="80"/>
      <c r="K32" s="80"/>
      <c r="L32" s="80"/>
    </row>
    <row r="33" spans="1:12" x14ac:dyDescent="0.25">
      <c r="A33" s="14">
        <f>SUM(E33:E37)</f>
        <v>0.54000000000000015</v>
      </c>
      <c r="B33">
        <v>1</v>
      </c>
      <c r="C33" s="7" t="s">
        <v>39</v>
      </c>
      <c r="D33" s="6">
        <v>100000</v>
      </c>
      <c r="E33" s="31">
        <f>Tabel3[[#This Row],[Max. waardering]]/C30</f>
        <v>0.4</v>
      </c>
      <c r="G33" s="83"/>
      <c r="H33" s="84"/>
      <c r="I33" s="82"/>
      <c r="J33" s="80"/>
      <c r="K33" s="80"/>
      <c r="L33" s="80"/>
    </row>
    <row r="34" spans="1:12" x14ac:dyDescent="0.25">
      <c r="A34" s="15"/>
      <c r="B34" s="5" t="s">
        <v>28</v>
      </c>
      <c r="C34" s="7" t="s">
        <v>36</v>
      </c>
      <c r="D34" s="6">
        <v>8750</v>
      </c>
      <c r="E34" s="31">
        <f>D34/$C$30</f>
        <v>3.5000000000000003E-2</v>
      </c>
      <c r="G34" s="85"/>
      <c r="H34" s="86"/>
      <c r="I34" s="80"/>
      <c r="J34" s="80"/>
      <c r="K34" s="80"/>
      <c r="L34" s="80"/>
    </row>
    <row r="35" spans="1:12" x14ac:dyDescent="0.25">
      <c r="A35" s="15"/>
      <c r="B35" s="5" t="s">
        <v>31</v>
      </c>
      <c r="C35" s="7" t="s">
        <v>36</v>
      </c>
      <c r="D35" s="6">
        <f>D34</f>
        <v>8750</v>
      </c>
      <c r="E35" s="31">
        <f t="shared" ref="E35:E45" si="0">D35/$C$30</f>
        <v>3.5000000000000003E-2</v>
      </c>
      <c r="G35" s="80"/>
      <c r="H35" s="82"/>
      <c r="I35" s="82"/>
      <c r="J35" s="80"/>
      <c r="K35" s="80"/>
      <c r="L35" s="80"/>
    </row>
    <row r="36" spans="1:12" x14ac:dyDescent="0.25">
      <c r="A36" s="15"/>
      <c r="B36" s="5" t="s">
        <v>32</v>
      </c>
      <c r="C36" s="7" t="s">
        <v>36</v>
      </c>
      <c r="D36" s="6">
        <f>D34</f>
        <v>8750</v>
      </c>
      <c r="E36" s="31">
        <f t="shared" si="0"/>
        <v>3.5000000000000003E-2</v>
      </c>
      <c r="G36" s="80"/>
      <c r="H36" s="81"/>
      <c r="I36" s="82"/>
      <c r="J36" s="80"/>
      <c r="K36" s="80"/>
      <c r="L36" s="80"/>
    </row>
    <row r="37" spans="1:12" x14ac:dyDescent="0.25">
      <c r="A37" s="14"/>
      <c r="B37" s="5" t="s">
        <v>33</v>
      </c>
      <c r="C37" s="7" t="s">
        <v>36</v>
      </c>
      <c r="D37" s="6">
        <f>D34</f>
        <v>8750</v>
      </c>
      <c r="E37" s="31">
        <f t="shared" si="0"/>
        <v>3.5000000000000003E-2</v>
      </c>
      <c r="G37" s="80"/>
      <c r="H37" s="81"/>
      <c r="I37" s="82"/>
      <c r="J37" s="80"/>
      <c r="K37" s="80"/>
      <c r="L37" s="80"/>
    </row>
    <row r="38" spans="1:12" x14ac:dyDescent="0.25">
      <c r="A38" s="14">
        <f>SUM(E38:E40)</f>
        <v>0.21000000000000002</v>
      </c>
      <c r="B38">
        <v>3</v>
      </c>
      <c r="C38" s="28" t="s">
        <v>6</v>
      </c>
      <c r="D38" s="6">
        <v>15000</v>
      </c>
      <c r="E38" s="31">
        <f t="shared" si="0"/>
        <v>0.06</v>
      </c>
      <c r="G38" s="80"/>
      <c r="H38" s="81"/>
      <c r="I38" s="82"/>
      <c r="J38" s="80"/>
      <c r="K38" s="80"/>
      <c r="L38" s="80"/>
    </row>
    <row r="39" spans="1:12" x14ac:dyDescent="0.25">
      <c r="A39" s="28"/>
      <c r="B39" s="28">
        <v>4</v>
      </c>
      <c r="C39" t="s">
        <v>37</v>
      </c>
      <c r="D39" s="6">
        <v>25000</v>
      </c>
      <c r="E39" s="31">
        <f t="shared" si="0"/>
        <v>0.1</v>
      </c>
      <c r="G39" s="87"/>
      <c r="H39" s="80"/>
      <c r="I39" s="80"/>
      <c r="J39" s="80"/>
      <c r="K39" s="80"/>
      <c r="L39" s="80"/>
    </row>
    <row r="40" spans="1:12" x14ac:dyDescent="0.25">
      <c r="A40" s="14"/>
      <c r="B40">
        <v>5</v>
      </c>
      <c r="C40" s="7" t="s">
        <v>34</v>
      </c>
      <c r="D40" s="6">
        <v>12500</v>
      </c>
      <c r="E40" s="31">
        <f t="shared" si="0"/>
        <v>0.05</v>
      </c>
      <c r="G40" s="80"/>
      <c r="H40" s="80"/>
      <c r="I40" s="80"/>
      <c r="J40" s="80"/>
      <c r="K40" s="80"/>
      <c r="L40" s="80"/>
    </row>
    <row r="41" spans="1:12" x14ac:dyDescent="0.25">
      <c r="A41" s="14">
        <f>SUM(E41:E45)</f>
        <v>0.25</v>
      </c>
      <c r="B41">
        <v>6</v>
      </c>
      <c r="C41" t="s">
        <v>38</v>
      </c>
      <c r="D41" s="6">
        <v>12500</v>
      </c>
      <c r="E41" s="31">
        <f t="shared" si="0"/>
        <v>0.05</v>
      </c>
      <c r="G41" s="80"/>
      <c r="H41" s="80"/>
      <c r="I41" s="80"/>
      <c r="J41" s="80"/>
      <c r="K41" s="80"/>
      <c r="L41" s="80"/>
    </row>
    <row r="42" spans="1:12" x14ac:dyDescent="0.25">
      <c r="A42" s="14"/>
      <c r="B42">
        <v>7</v>
      </c>
      <c r="C42" s="7" t="s">
        <v>50</v>
      </c>
      <c r="D42" s="6">
        <v>12500</v>
      </c>
      <c r="E42" s="31">
        <f t="shared" si="0"/>
        <v>0.05</v>
      </c>
      <c r="G42" s="80"/>
      <c r="H42" s="80"/>
      <c r="I42" s="80"/>
      <c r="J42" s="80"/>
      <c r="K42" s="80"/>
      <c r="L42" s="80"/>
    </row>
    <row r="43" spans="1:12" x14ac:dyDescent="0.25">
      <c r="A43" s="14"/>
      <c r="B43">
        <v>8</v>
      </c>
      <c r="C43" s="7" t="s">
        <v>7</v>
      </c>
      <c r="D43" s="6">
        <v>12500</v>
      </c>
      <c r="E43" s="31">
        <f t="shared" si="0"/>
        <v>0.05</v>
      </c>
      <c r="G43" s="80"/>
      <c r="H43" s="80"/>
      <c r="I43" s="80"/>
      <c r="J43" s="80"/>
      <c r="K43" s="80"/>
      <c r="L43" s="80"/>
    </row>
    <row r="44" spans="1:12" x14ac:dyDescent="0.25">
      <c r="A44" s="13"/>
      <c r="B44">
        <v>9</v>
      </c>
      <c r="C44" s="7" t="s">
        <v>10</v>
      </c>
      <c r="D44" s="6">
        <v>12500</v>
      </c>
      <c r="E44" s="31">
        <f t="shared" si="0"/>
        <v>0.05</v>
      </c>
      <c r="G44" s="80"/>
      <c r="H44" s="80"/>
      <c r="I44" s="80"/>
      <c r="J44" s="80"/>
      <c r="K44" s="80"/>
      <c r="L44" s="80"/>
    </row>
    <row r="45" spans="1:12" x14ac:dyDescent="0.25">
      <c r="A45" s="13"/>
      <c r="B45">
        <v>10</v>
      </c>
      <c r="C45" s="7" t="s">
        <v>11</v>
      </c>
      <c r="D45" s="6">
        <v>12500</v>
      </c>
      <c r="E45" s="31">
        <f t="shared" si="0"/>
        <v>0.05</v>
      </c>
      <c r="G45" s="80"/>
      <c r="H45" s="80"/>
      <c r="I45" s="80"/>
      <c r="J45" s="80"/>
      <c r="K45" s="80"/>
      <c r="L45" s="80"/>
    </row>
    <row r="46" spans="1:12" x14ac:dyDescent="0.25">
      <c r="A46" s="13"/>
      <c r="C46" s="7"/>
      <c r="D46" s="6"/>
      <c r="E46" s="4"/>
      <c r="G46" s="80"/>
      <c r="H46" s="80"/>
      <c r="I46" s="80"/>
      <c r="J46" s="80"/>
      <c r="K46" s="80"/>
      <c r="L46" s="80"/>
    </row>
    <row r="47" spans="1:12" x14ac:dyDescent="0.25">
      <c r="A47" s="13"/>
      <c r="C47" s="7"/>
      <c r="D47" s="6"/>
      <c r="E47" s="4"/>
      <c r="G47" s="80"/>
      <c r="H47" s="80"/>
      <c r="I47" s="80"/>
      <c r="J47" s="80"/>
      <c r="K47" s="80"/>
      <c r="L47" s="80"/>
    </row>
    <row r="48" spans="1:12" x14ac:dyDescent="0.25">
      <c r="C48" s="9" t="s">
        <v>12</v>
      </c>
      <c r="D48" s="12">
        <f>SUM(D33:D47)</f>
        <v>250000</v>
      </c>
      <c r="E48" s="71">
        <f>SUM(E33:E47)</f>
        <v>1.0000000000000002</v>
      </c>
      <c r="F48" s="6"/>
      <c r="G48" s="4"/>
    </row>
    <row r="49" spans="1:6" x14ac:dyDescent="0.25">
      <c r="A49" s="13"/>
      <c r="C49" s="7"/>
      <c r="D49" s="6"/>
      <c r="E49" s="6"/>
      <c r="F49" s="12"/>
    </row>
    <row r="51" spans="1:6" x14ac:dyDescent="0.25">
      <c r="A51" s="73" t="s">
        <v>35</v>
      </c>
    </row>
    <row r="52" spans="1:6" x14ac:dyDescent="0.25">
      <c r="A52" s="73" t="s">
        <v>41</v>
      </c>
    </row>
  </sheetData>
  <sheetProtection algorithmName="SHA-512" hashValue="Up4J0jqr0bok5D9c/i+tsWebZ5XrD5OluPW0l2wJWVEuQTgq4/7hPQ/fOs13TqgLad85VhzZeMvbl06zU60NNA==" saltValue="2lwzXoAFjb2SLuySYxroyg==" spinCount="100000" sheet="1" objects="1" scenarios="1"/>
  <phoneticPr fontId="15" type="noConversion"/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Contractwaarde perceel 1 (E)</vt:lpstr>
      <vt:lpstr>Contractwaarde perceel 2 (G)</vt:lpstr>
      <vt:lpstr>Subgunning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Verleun</dc:creator>
  <cp:lastModifiedBy>EE Care | Arjen Verleun</cp:lastModifiedBy>
  <cp:lastPrinted>2018-11-08T07:19:22Z</cp:lastPrinted>
  <dcterms:created xsi:type="dcterms:W3CDTF">2018-09-03T07:58:53Z</dcterms:created>
  <dcterms:modified xsi:type="dcterms:W3CDTF">2023-01-24T12:46:00Z</dcterms:modified>
</cp:coreProperties>
</file>