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mconnl.sharepoint.com/sites/Mijnopdrachten/Gedeelde documenten/Docs/Gemeente SWF/2022.SF02 EUD/3.BD/"/>
    </mc:Choice>
  </mc:AlternateContent>
  <xr:revisionPtr revIDLastSave="320" documentId="8_{131F5FA7-F5D7-42CB-8ECA-AAE37AE49A45}" xr6:coauthVersionLast="47" xr6:coauthVersionMax="47" xr10:uidLastSave="{4BDD3FFA-C5A9-4644-94EA-D4110D307E38}"/>
  <workbookProtection workbookAlgorithmName="SHA-512" workbookHashValue="HBpPvXq4LLXQ5Fq/DejUCQTyeCQYPBXhmp4hgN4xPLbvaU1zT0NXH3UBlNLPDyc6LquT1sO+CjBs7wKEBXIJow==" workbookSaltValue="ue82HMVXdA74iYZNkek/1Q==" workbookSpinCount="100000" lockStructure="1"/>
  <bookViews>
    <workbookView xWindow="-108" yWindow="-108" windowWidth="23256" windowHeight="12456" activeTab="3" xr2:uid="{02FB6EF8-17FA-4B69-A3B1-0CC8257C8C77}"/>
  </bookViews>
  <sheets>
    <sheet name="Merken" sheetId="1" r:id="rId1"/>
    <sheet name="Onderdelen" sheetId="2" r:id="rId2"/>
    <sheet name="Weging" sheetId="3" r:id="rId3"/>
    <sheet name="Opgave opslag%" sheetId="8" r:id="rId4"/>
  </sheets>
  <definedNames>
    <definedName name="Minimum">0.025</definedName>
    <definedName name="WaardeP1">725000</definedName>
    <definedName name="WaardeP2">2200000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8" l="1"/>
  <c r="F61" i="8"/>
  <c r="F60" i="8"/>
  <c r="F55" i="8"/>
  <c r="F54" i="8"/>
  <c r="F53" i="8"/>
  <c r="F49" i="8"/>
  <c r="F48" i="8"/>
  <c r="F47" i="8"/>
  <c r="F44" i="8"/>
  <c r="F43" i="8"/>
  <c r="F37" i="8"/>
  <c r="F36" i="8"/>
  <c r="F30" i="8"/>
  <c r="F29" i="8"/>
  <c r="F23" i="8"/>
  <c r="F22" i="8"/>
  <c r="C51" i="3"/>
  <c r="C50" i="3"/>
  <c r="C49" i="3"/>
  <c r="C43" i="3"/>
  <c r="C42" i="3"/>
  <c r="C41" i="3"/>
  <c r="C37" i="3"/>
  <c r="C36" i="3"/>
  <c r="C35" i="3"/>
  <c r="C32" i="3"/>
  <c r="C31" i="3"/>
  <c r="C25" i="3"/>
  <c r="C24" i="3"/>
  <c r="C18" i="3"/>
  <c r="C17" i="3"/>
  <c r="B51" i="3"/>
  <c r="D64" i="8" s="1"/>
  <c r="B50" i="3"/>
  <c r="D63" i="8" s="1"/>
  <c r="B49" i="3"/>
  <c r="D62" i="8" s="1"/>
  <c r="B43" i="3"/>
  <c r="D56" i="8" s="1"/>
  <c r="B42" i="3"/>
  <c r="D55" i="8" s="1"/>
  <c r="B41" i="3"/>
  <c r="D54" i="8" s="1"/>
  <c r="B37" i="3"/>
  <c r="D50" i="8" s="1"/>
  <c r="B36" i="3"/>
  <c r="D49" i="8" s="1"/>
  <c r="B35" i="3"/>
  <c r="D48" i="8" s="1"/>
  <c r="B32" i="3"/>
  <c r="D45" i="8" s="1"/>
  <c r="B31" i="3"/>
  <c r="D44" i="8" s="1"/>
  <c r="B25" i="3"/>
  <c r="D38" i="8" s="1"/>
  <c r="B24" i="3"/>
  <c r="D37" i="8" s="1"/>
  <c r="B18" i="3"/>
  <c r="D31" i="8" s="1"/>
  <c r="B17" i="3"/>
  <c r="D30" i="8" s="1"/>
  <c r="B11" i="3"/>
  <c r="D24" i="8" s="1"/>
  <c r="B10" i="3"/>
  <c r="D23" i="8" s="1"/>
  <c r="B9" i="3"/>
  <c r="D22" i="8" s="1"/>
  <c r="B8" i="3"/>
  <c r="D21" i="8" s="1"/>
  <c r="B7" i="3"/>
  <c r="D20" i="8" s="1"/>
  <c r="B6" i="3"/>
  <c r="D19" i="8" s="1"/>
  <c r="C11" i="3"/>
  <c r="C10" i="3"/>
  <c r="A2" i="3"/>
  <c r="A2" i="2"/>
  <c r="D1" i="8"/>
  <c r="F64" i="8"/>
  <c r="F63" i="8"/>
  <c r="F59" i="8"/>
  <c r="F58" i="8"/>
  <c r="F56" i="8"/>
  <c r="F52" i="8"/>
  <c r="F51" i="8"/>
  <c r="F50" i="8"/>
  <c r="F46" i="8"/>
  <c r="F45" i="8"/>
  <c r="F42" i="8"/>
  <c r="F41" i="8"/>
  <c r="F40" i="8"/>
  <c r="F38" i="8"/>
  <c r="F35" i="8"/>
  <c r="F34" i="8"/>
  <c r="F33" i="8"/>
  <c r="F31" i="8"/>
  <c r="F28" i="8"/>
  <c r="F27" i="8"/>
  <c r="F26" i="8"/>
  <c r="F24" i="8"/>
  <c r="F21" i="8"/>
  <c r="F20" i="8"/>
  <c r="F19" i="8"/>
  <c r="F57" i="8"/>
  <c r="F39" i="8"/>
  <c r="F32" i="8"/>
  <c r="F25" i="8"/>
  <c r="F18" i="8"/>
  <c r="C48" i="3"/>
  <c r="C47" i="3"/>
  <c r="C46" i="3"/>
  <c r="C45" i="3"/>
  <c r="C44" i="3"/>
  <c r="C40" i="3"/>
  <c r="C39" i="3"/>
  <c r="C38" i="3"/>
  <c r="C34" i="3"/>
  <c r="C33" i="3"/>
  <c r="C30" i="3"/>
  <c r="C29" i="3"/>
  <c r="C28" i="3"/>
  <c r="C27" i="3"/>
  <c r="C26" i="3"/>
  <c r="C23" i="3"/>
  <c r="C22" i="3"/>
  <c r="C21" i="3"/>
  <c r="C20" i="3"/>
  <c r="C19" i="3"/>
  <c r="C16" i="3"/>
  <c r="C15" i="3"/>
  <c r="C14" i="3"/>
  <c r="C13" i="3"/>
  <c r="C12" i="3"/>
  <c r="C9" i="3"/>
  <c r="C8" i="3"/>
  <c r="C7" i="3"/>
  <c r="C6" i="3"/>
  <c r="C5" i="3"/>
  <c r="B48" i="3"/>
  <c r="D61" i="8" s="1"/>
  <c r="B47" i="3"/>
  <c r="D60" i="8" s="1"/>
  <c r="B46" i="3"/>
  <c r="D59" i="8" s="1"/>
  <c r="B45" i="3"/>
  <c r="D58" i="8" s="1"/>
  <c r="B44" i="3"/>
  <c r="D57" i="8" s="1"/>
  <c r="B40" i="3"/>
  <c r="D53" i="8" s="1"/>
  <c r="B39" i="3"/>
  <c r="D52" i="8" s="1"/>
  <c r="B38" i="3"/>
  <c r="D51" i="8" s="1"/>
  <c r="B34" i="3"/>
  <c r="D47" i="8" s="1"/>
  <c r="B33" i="3"/>
  <c r="D46" i="8" s="1"/>
  <c r="B30" i="3"/>
  <c r="D43" i="8" s="1"/>
  <c r="B29" i="3"/>
  <c r="D42" i="8" s="1"/>
  <c r="B28" i="3"/>
  <c r="D41" i="8" s="1"/>
  <c r="B27" i="3"/>
  <c r="D40" i="8" s="1"/>
  <c r="B26" i="3"/>
  <c r="D39" i="8" s="1"/>
  <c r="B23" i="3"/>
  <c r="D36" i="8" s="1"/>
  <c r="B22" i="3"/>
  <c r="D35" i="8" s="1"/>
  <c r="B21" i="3"/>
  <c r="D34" i="8" s="1"/>
  <c r="B20" i="3"/>
  <c r="D33" i="8" s="1"/>
  <c r="B19" i="3"/>
  <c r="D32" i="8" s="1"/>
  <c r="B16" i="3"/>
  <c r="D29" i="8" s="1"/>
  <c r="B15" i="3"/>
  <c r="D28" i="8" s="1"/>
  <c r="B14" i="3"/>
  <c r="D27" i="8" s="1"/>
  <c r="B13" i="3"/>
  <c r="D26" i="8" s="1"/>
  <c r="B12" i="3"/>
  <c r="D25" i="8" s="1"/>
  <c r="B5" i="3"/>
  <c r="D18" i="8" s="1"/>
  <c r="A44" i="3"/>
  <c r="A57" i="8" s="1"/>
  <c r="A38" i="3"/>
  <c r="A51" i="8" s="1"/>
  <c r="B52" i="8" s="1"/>
  <c r="A33" i="3"/>
  <c r="A46" i="8" s="1"/>
  <c r="B47" i="8" s="1"/>
  <c r="A26" i="3"/>
  <c r="A39" i="8" s="1"/>
  <c r="B40" i="8" s="1"/>
  <c r="A19" i="3"/>
  <c r="A32" i="8" s="1"/>
  <c r="B33" i="8" s="1"/>
  <c r="A12" i="3"/>
  <c r="A25" i="8" s="1"/>
  <c r="B26" i="8" s="1"/>
  <c r="A5" i="3"/>
  <c r="A18" i="8" s="1"/>
  <c r="B19" i="8" s="1"/>
  <c r="C53" i="3" l="1"/>
  <c r="I58" i="8" s="1"/>
  <c r="J58" i="8" s="1"/>
  <c r="G33" i="8" l="1"/>
  <c r="G39" i="8"/>
  <c r="G52" i="8"/>
  <c r="G37" i="8"/>
  <c r="G45" i="8"/>
  <c r="G51" i="8"/>
  <c r="G19" i="8"/>
  <c r="I42" i="8"/>
  <c r="J42" i="8" s="1"/>
  <c r="I51" i="8"/>
  <c r="J51" i="8" s="1"/>
  <c r="G40" i="8"/>
  <c r="I41" i="8"/>
  <c r="J41" i="8" s="1"/>
  <c r="I54" i="8"/>
  <c r="J54" i="8" s="1"/>
  <c r="I57" i="8"/>
  <c r="J57" i="8" s="1"/>
  <c r="G56" i="8"/>
  <c r="G43" i="8"/>
  <c r="G54" i="8"/>
  <c r="I48" i="8"/>
  <c r="J48" i="8" s="1"/>
  <c r="I53" i="8"/>
  <c r="J53" i="8" s="1"/>
  <c r="I62" i="8"/>
  <c r="J62" i="8" s="1"/>
  <c r="I24" i="8"/>
  <c r="J24" i="8" s="1"/>
  <c r="I20" i="8"/>
  <c r="J20" i="8" s="1"/>
  <c r="I33" i="8"/>
  <c r="J33" i="8" s="1"/>
  <c r="G29" i="8"/>
  <c r="G55" i="8"/>
  <c r="G22" i="8"/>
  <c r="G62" i="8"/>
  <c r="G41" i="8"/>
  <c r="G61" i="8"/>
  <c r="G59" i="8"/>
  <c r="I60" i="8"/>
  <c r="J60" i="8" s="1"/>
  <c r="I61" i="8"/>
  <c r="J61" i="8" s="1"/>
  <c r="I23" i="8"/>
  <c r="J23" i="8" s="1"/>
  <c r="I31" i="8"/>
  <c r="J31" i="8" s="1"/>
  <c r="I18" i="8"/>
  <c r="J18" i="8" s="1"/>
  <c r="I40" i="8"/>
  <c r="J40" i="8" s="1"/>
  <c r="I64" i="8"/>
  <c r="J64" i="8" s="1"/>
  <c r="G63" i="8"/>
  <c r="G21" i="8"/>
  <c r="I26" i="8"/>
  <c r="J26" i="8" s="1"/>
  <c r="G49" i="8"/>
  <c r="G27" i="8"/>
  <c r="G48" i="8"/>
  <c r="G32" i="8"/>
  <c r="G34" i="8"/>
  <c r="I21" i="8"/>
  <c r="J21" i="8" s="1"/>
  <c r="I22" i="8"/>
  <c r="J22" i="8" s="1"/>
  <c r="I37" i="8"/>
  <c r="J37" i="8" s="1"/>
  <c r="I45" i="8"/>
  <c r="J45" i="8" s="1"/>
  <c r="I32" i="8"/>
  <c r="J32" i="8" s="1"/>
  <c r="I52" i="8"/>
  <c r="J52" i="8" s="1"/>
  <c r="G18" i="8"/>
  <c r="I27" i="8"/>
  <c r="J27" i="8" s="1"/>
  <c r="I35" i="8"/>
  <c r="J35" i="8" s="1"/>
  <c r="I36" i="8"/>
  <c r="J36" i="8" s="1"/>
  <c r="I49" i="8"/>
  <c r="J49" i="8" s="1"/>
  <c r="I56" i="8"/>
  <c r="J56" i="8" s="1"/>
  <c r="I46" i="8"/>
  <c r="J46" i="8" s="1"/>
  <c r="G24" i="8"/>
  <c r="G44" i="8"/>
  <c r="G36" i="8"/>
  <c r="G46" i="8"/>
  <c r="I34" i="8"/>
  <c r="J34" i="8" s="1"/>
  <c r="I43" i="8"/>
  <c r="J43" i="8" s="1"/>
  <c r="I55" i="8"/>
  <c r="J55" i="8" s="1"/>
  <c r="G30" i="8"/>
  <c r="G28" i="8"/>
  <c r="G53" i="8"/>
  <c r="I63" i="8"/>
  <c r="J63" i="8" s="1"/>
  <c r="G23" i="8"/>
  <c r="G58" i="8"/>
  <c r="G64" i="8"/>
  <c r="G42" i="8"/>
  <c r="I59" i="8"/>
  <c r="J59" i="8" s="1"/>
  <c r="G25" i="8"/>
  <c r="I30" i="8"/>
  <c r="J30" i="8" s="1"/>
  <c r="I38" i="8"/>
  <c r="J38" i="8" s="1"/>
  <c r="I25" i="8"/>
  <c r="J25" i="8" s="1"/>
  <c r="I47" i="8"/>
  <c r="J47" i="8" s="1"/>
  <c r="G26" i="8"/>
  <c r="G47" i="8"/>
  <c r="G31" i="8"/>
  <c r="G35" i="8"/>
  <c r="G50" i="8"/>
  <c r="G38" i="8"/>
  <c r="G57" i="8"/>
  <c r="G60" i="8"/>
  <c r="G20" i="8"/>
  <c r="I19" i="8"/>
  <c r="J19" i="8" s="1"/>
  <c r="I28" i="8"/>
  <c r="J28" i="8" s="1"/>
  <c r="I29" i="8"/>
  <c r="J29" i="8" s="1"/>
  <c r="I44" i="8"/>
  <c r="J44" i="8" s="1"/>
  <c r="I50" i="8"/>
  <c r="J50" i="8" s="1"/>
  <c r="I39" i="8"/>
  <c r="J39" i="8" s="1"/>
  <c r="G66" i="8" l="1"/>
  <c r="J66" i="8"/>
</calcChain>
</file>

<file path=xl/sharedStrings.xml><?xml version="1.0" encoding="utf-8"?>
<sst xmlns="http://schemas.openxmlformats.org/spreadsheetml/2006/main" count="66" uniqueCount="59">
  <si>
    <t>Accessoires</t>
  </si>
  <si>
    <t>Overzicht Merken</t>
  </si>
  <si>
    <t>Merken</t>
  </si>
  <si>
    <t>Wegingsfactor</t>
  </si>
  <si>
    <t>Dell</t>
  </si>
  <si>
    <t>HP</t>
  </si>
  <si>
    <t>Lenovo</t>
  </si>
  <si>
    <t>Apple</t>
  </si>
  <si>
    <t>Overige merken</t>
  </si>
  <si>
    <t>Onderdeel/categorie</t>
  </si>
  <si>
    <t>chromebooks, convertibles, detachables</t>
  </si>
  <si>
    <t>versie 1.0</t>
  </si>
  <si>
    <t>Overzicht wegingsfactoren</t>
  </si>
  <si>
    <t>Merk</t>
  </si>
  <si>
    <t>Onderdeel</t>
  </si>
  <si>
    <t>Totale weging</t>
  </si>
  <si>
    <t>Prijsopgaveformulier</t>
  </si>
  <si>
    <t>Alleen groen gearceerde velden kunnen ingevuld worden!</t>
  </si>
  <si>
    <t>Als het percentage voor een merk ingevuld wordt (kolom B) dan geldt het percentage voor alle onderdelen.</t>
  </si>
  <si>
    <t>Afgegeven</t>
  </si>
  <si>
    <t>Raming</t>
  </si>
  <si>
    <t>Beoordelingsprijs</t>
  </si>
  <si>
    <t>Opslag%</t>
  </si>
  <si>
    <t>die van het merk besteld wordt</t>
  </si>
  <si>
    <t>Inkoopwaarde</t>
  </si>
  <si>
    <t>(raming+opslag)</t>
  </si>
  <si>
    <t>Randapparatuur</t>
  </si>
  <si>
    <t>Overzicht Onderdelen zijnde productgroepen</t>
  </si>
  <si>
    <t>Instructie/toelichting:</t>
  </si>
  <si>
    <t>Voer het maximale opslagspercentage per productgroep in t.o.v. de inkoopprijs</t>
  </si>
  <si>
    <t>Naam inschrijver:</t>
  </si>
  <si>
    <t>Datum:</t>
  </si>
  <si>
    <t xml:space="preserve">Uw inschrijfprijs en beoordelingsprijs (exclusief btw): </t>
  </si>
  <si>
    <t>excl.btw</t>
  </si>
  <si>
    <t>Desgewenst kan voor een merk voor elk onderdeel/productgroep een specifiek percentage ingevuld worden; vult u dan alleen kolom D in.</t>
  </si>
  <si>
    <t>Als beide kolommen worden ingevoerd (zowel merk (B) als onderdeel/productgroep (D)), dan geldt het laagste percentage, zie kolom E.</t>
  </si>
  <si>
    <t>In kolom E komt te staan welk percentage Inschrijver voor de combinatie merk en onderdeel/productgroep heeft afgegeven.</t>
  </si>
  <si>
    <t>Aanbesteding SWF 23017: End User Devices</t>
  </si>
  <si>
    <t>Het minimum afgegeven opslagpercentage is 2,5%; derhalve kan lager niet worden ingevuld.</t>
  </si>
  <si>
    <t>Als zowel merk als onderdeel/productgroep niet wordt ingevuld geldt een opslagpercentage van 2,5%.</t>
  </si>
  <si>
    <t>Productgroep</t>
  </si>
  <si>
    <t>Samsung</t>
  </si>
  <si>
    <t>Laptop standaard</t>
  </si>
  <si>
    <t>Laptop op maat gemaakt</t>
  </si>
  <si>
    <t>Hieronder valt ook o.a.</t>
  </si>
  <si>
    <t>Totale weging:</t>
  </si>
  <si>
    <t>Desktops</t>
  </si>
  <si>
    <t>wekstations, thinclients</t>
  </si>
  <si>
    <t>Monitoren</t>
  </si>
  <si>
    <t>Tablets</t>
  </si>
  <si>
    <t>Smartphones</t>
  </si>
  <si>
    <t>Telefoons</t>
  </si>
  <si>
    <t>Laders, beschermhoezen</t>
  </si>
  <si>
    <t>Dockingstations, muizen, toetsenborden</t>
  </si>
  <si>
    <t>Gewogen</t>
  </si>
  <si>
    <t>Opslag</t>
  </si>
  <si>
    <t xml:space="preserve">Uw gewogen opslagpercentage: </t>
  </si>
  <si>
    <t>Microsoft</t>
  </si>
  <si>
    <t>op basis van opgegeven specs en/of componenten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</si>
</sst>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10" fontId="0" fillId="0" borderId="0" xfId="0" applyNumberFormat="1"/>
    <xf numFmtId="1" fontId="0" fillId="0" borderId="0" xfId="0" applyNumberFormat="1"/>
    <xf numFmtId="10" fontId="3" fillId="0" borderId="0" xfId="0" applyNumberFormat="1" applyFont="1"/>
    <xf numFmtId="0" fontId="3" fillId="0" borderId="0" xfId="0" applyFont="1"/>
    <xf numFmtId="10" fontId="0" fillId="0" borderId="0" xfId="0" applyNumberFormat="1" applyAlignment="1">
      <alignment horizontal="right"/>
    </xf>
    <xf numFmtId="10" fontId="3" fillId="0" borderId="0" xfId="0" applyNumberFormat="1" applyFont="1" applyAlignment="1">
      <alignment horizontal="right"/>
    </xf>
    <xf numFmtId="10" fontId="3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0" fontId="0" fillId="0" borderId="0" xfId="0" applyNumberFormat="1" applyAlignment="1">
      <alignment vertical="top"/>
    </xf>
    <xf numFmtId="0" fontId="3" fillId="0" borderId="0" xfId="0" applyFont="1" applyAlignment="1">
      <alignment vertical="top"/>
    </xf>
    <xf numFmtId="10" fontId="5" fillId="0" borderId="0" xfId="0" applyNumberFormat="1" applyFont="1"/>
    <xf numFmtId="10" fontId="5" fillId="0" borderId="0" xfId="0" applyNumberFormat="1" applyFont="1" applyAlignment="1">
      <alignment vertical="top"/>
    </xf>
    <xf numFmtId="10" fontId="2" fillId="3" borderId="0" xfId="0" applyNumberFormat="1" applyFont="1" applyFill="1" applyAlignment="1">
      <alignment vertical="top"/>
    </xf>
    <xf numFmtId="1" fontId="0" fillId="0" borderId="0" xfId="0" applyNumberFormat="1" applyAlignment="1">
      <alignment vertical="top"/>
    </xf>
    <xf numFmtId="0" fontId="3" fillId="0" borderId="0" xfId="0" applyFont="1" applyAlignment="1">
      <alignment horizontal="right" vertical="top"/>
    </xf>
    <xf numFmtId="1" fontId="3" fillId="0" borderId="0" xfId="0" applyNumberFormat="1" applyFont="1" applyAlignment="1">
      <alignment vertical="top"/>
    </xf>
    <xf numFmtId="10" fontId="2" fillId="3" borderId="0" xfId="0" applyNumberFormat="1" applyFont="1" applyFill="1" applyAlignment="1">
      <alignment horizontal="right" vertical="top"/>
    </xf>
    <xf numFmtId="164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2" borderId="3" xfId="0" applyFont="1" applyFill="1" applyBorder="1" applyAlignment="1">
      <alignment vertical="top"/>
    </xf>
    <xf numFmtId="10" fontId="2" fillId="2" borderId="4" xfId="0" applyNumberFormat="1" applyFont="1" applyFill="1" applyBorder="1" applyAlignment="1">
      <alignment horizontal="right" vertical="top"/>
    </xf>
    <xf numFmtId="10" fontId="2" fillId="2" borderId="4" xfId="0" applyNumberFormat="1" applyFont="1" applyFill="1" applyBorder="1" applyAlignment="1">
      <alignment vertical="top"/>
    </xf>
    <xf numFmtId="10" fontId="2" fillId="2" borderId="5" xfId="0" applyNumberFormat="1" applyFont="1" applyFill="1" applyBorder="1" applyAlignment="1">
      <alignment horizontal="right" vertical="top"/>
    </xf>
    <xf numFmtId="164" fontId="0" fillId="0" borderId="7" xfId="0" applyNumberForma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10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0" fillId="0" borderId="9" xfId="0" applyNumberFormat="1" applyBorder="1" applyAlignment="1">
      <alignment vertical="top"/>
    </xf>
    <xf numFmtId="10" fontId="2" fillId="2" borderId="8" xfId="0" applyNumberFormat="1" applyFont="1" applyFill="1" applyBorder="1" applyAlignment="1">
      <alignment vertical="top"/>
    </xf>
    <xf numFmtId="10" fontId="2" fillId="2" borderId="1" xfId="0" applyNumberFormat="1" applyFont="1" applyFill="1" applyBorder="1" applyAlignment="1">
      <alignment horizontal="right" vertical="top"/>
    </xf>
    <xf numFmtId="10" fontId="2" fillId="2" borderId="1" xfId="0" applyNumberFormat="1" applyFont="1" applyFill="1" applyBorder="1" applyAlignment="1">
      <alignment vertical="top"/>
    </xf>
    <xf numFmtId="10" fontId="2" fillId="2" borderId="9" xfId="0" applyNumberFormat="1" applyFont="1" applyFill="1" applyBorder="1" applyAlignment="1">
      <alignment horizontal="right" vertical="top"/>
    </xf>
    <xf numFmtId="10" fontId="0" fillId="0" borderId="3" xfId="0" applyNumberFormat="1" applyBorder="1" applyAlignment="1">
      <alignment vertical="top"/>
    </xf>
    <xf numFmtId="10" fontId="0" fillId="0" borderId="4" xfId="0" applyNumberFormat="1" applyBorder="1" applyAlignment="1">
      <alignment vertical="top"/>
    </xf>
    <xf numFmtId="164" fontId="0" fillId="0" borderId="4" xfId="1" applyNumberFormat="1" applyFont="1" applyBorder="1" applyAlignment="1">
      <alignment vertical="top"/>
    </xf>
    <xf numFmtId="164" fontId="0" fillId="0" borderId="5" xfId="0" applyNumberFormat="1" applyBorder="1" applyAlignment="1">
      <alignment vertical="top"/>
    </xf>
    <xf numFmtId="0" fontId="4" fillId="0" borderId="0" xfId="0" applyFont="1" applyAlignment="1">
      <alignment horizontal="right" vertical="top"/>
    </xf>
    <xf numFmtId="164" fontId="7" fillId="0" borderId="2" xfId="0" applyNumberFormat="1" applyFont="1" applyBorder="1" applyAlignment="1">
      <alignment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vertical="center"/>
    </xf>
    <xf numFmtId="10" fontId="0" fillId="4" borderId="4" xfId="0" applyNumberFormat="1" applyFill="1" applyBorder="1" applyAlignment="1" applyProtection="1">
      <alignment vertical="top"/>
      <protection locked="0"/>
    </xf>
    <xf numFmtId="10" fontId="0" fillId="4" borderId="1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Alignment="1">
      <alignment vertical="top"/>
    </xf>
    <xf numFmtId="0" fontId="0" fillId="4" borderId="6" xfId="0" applyFill="1" applyBorder="1" applyAlignment="1" applyProtection="1">
      <alignment vertical="top"/>
      <protection locked="0"/>
    </xf>
    <xf numFmtId="165" fontId="3" fillId="0" borderId="2" xfId="2" applyNumberFormat="1" applyFont="1" applyBorder="1" applyAlignment="1">
      <alignment vertical="top"/>
    </xf>
    <xf numFmtId="10" fontId="0" fillId="4" borderId="0" xfId="0" applyNumberFormat="1" applyFill="1" applyAlignment="1" applyProtection="1">
      <alignment vertical="top"/>
      <protection locked="0"/>
    </xf>
    <xf numFmtId="0" fontId="0" fillId="0" borderId="5" xfId="2" applyNumberFormat="1" applyFont="1" applyBorder="1" applyAlignment="1">
      <alignment vertical="top"/>
    </xf>
    <xf numFmtId="0" fontId="0" fillId="0" borderId="7" xfId="2" applyNumberFormat="1" applyFont="1" applyBorder="1" applyAlignment="1">
      <alignment vertical="top"/>
    </xf>
    <xf numFmtId="0" fontId="0" fillId="0" borderId="9" xfId="2" applyNumberFormat="1" applyFont="1" applyBorder="1" applyAlignment="1">
      <alignment vertical="top"/>
    </xf>
    <xf numFmtId="0" fontId="0" fillId="0" borderId="2" xfId="0" applyBorder="1" applyAlignment="1" applyProtection="1">
      <alignment horizontal="left"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7">
    <dxf>
      <numFmt numFmtId="14" formatCode="0.00%"/>
    </dxf>
    <dxf>
      <numFmt numFmtId="1" formatCode="0"/>
    </dxf>
    <dxf>
      <numFmt numFmtId="14" formatCode="0.00%"/>
    </dxf>
    <dxf>
      <numFmt numFmtId="14" formatCode="0.00%"/>
    </dxf>
    <dxf>
      <numFmt numFmtId="1" formatCode="0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7F38A9-1B7E-4D60-A255-B005445A078A}" name="Tabel2" displayName="Tabel2" ref="A4:B11" totalsRowShown="0" headerRowDxfId="6">
  <tableColumns count="2">
    <tableColumn id="1" xr3:uid="{736A16A1-F468-44A8-B9BB-5FC5F8DE0588}" name="Merken" dataDxfId="5"/>
    <tableColumn id="2" xr3:uid="{DF0FBCA9-3A04-4F1C-8843-9C5E6355E26E}" name="Wegingsfactor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3CF18E-1738-4331-81B9-070BFD3E9B46}" name="Tabel4" displayName="Tabel4" ref="A4:C12" totalsRowShown="0" headerRowDxfId="3">
  <tableColumns count="3">
    <tableColumn id="1" xr3:uid="{29ECB535-CC97-4C6F-A8DC-DFB6F6304AD7}" name="Onderdeel/categorie" dataDxfId="2"/>
    <tableColumn id="2" xr3:uid="{461F2F41-31DF-416B-9D06-E2D51847FE1F}" name="Wegingsfactor" dataDxfId="1"/>
    <tableColumn id="3" xr3:uid="{F57A1FDF-E8F5-4C6D-B23F-F4187E02D03C}" name="Hieronder valt ook o.a.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D9DD-8C83-4717-A713-F55D6E17D793}">
  <dimension ref="A1:E24"/>
  <sheetViews>
    <sheetView workbookViewId="0"/>
  </sheetViews>
  <sheetFormatPr defaultRowHeight="14.4" x14ac:dyDescent="0.3"/>
  <cols>
    <col min="1" max="2" width="20.77734375" customWidth="1"/>
    <col min="3" max="3" width="6.109375" customWidth="1"/>
    <col min="4" max="5" width="20.77734375" customWidth="1"/>
  </cols>
  <sheetData>
    <row r="1" spans="1:5" ht="18" x14ac:dyDescent="0.35">
      <c r="A1" s="11" t="s">
        <v>1</v>
      </c>
      <c r="B1" s="4"/>
      <c r="C1" s="4"/>
      <c r="D1" s="4"/>
      <c r="E1" s="4"/>
    </row>
    <row r="2" spans="1:5" x14ac:dyDescent="0.3">
      <c r="A2" s="3" t="s">
        <v>37</v>
      </c>
      <c r="B2" s="3"/>
      <c r="C2" s="3"/>
      <c r="D2" s="3"/>
      <c r="E2" s="3"/>
    </row>
    <row r="3" spans="1:5" x14ac:dyDescent="0.3">
      <c r="A3" s="3"/>
      <c r="B3" s="3"/>
      <c r="C3" s="3"/>
      <c r="D3" s="3"/>
      <c r="E3" s="3"/>
    </row>
    <row r="4" spans="1:5" x14ac:dyDescent="0.3">
      <c r="A4" s="1" t="s">
        <v>2</v>
      </c>
      <c r="B4" s="5" t="s">
        <v>3</v>
      </c>
      <c r="C4" s="3"/>
      <c r="D4" s="3"/>
      <c r="E4" s="3"/>
    </row>
    <row r="5" spans="1:5" x14ac:dyDescent="0.3">
      <c r="A5" s="1" t="s">
        <v>4</v>
      </c>
      <c r="B5" s="2">
        <v>5</v>
      </c>
      <c r="C5" s="3"/>
      <c r="D5" s="1"/>
      <c r="E5" s="1"/>
    </row>
    <row r="6" spans="1:5" x14ac:dyDescent="0.3">
      <c r="A6" s="1" t="s">
        <v>5</v>
      </c>
      <c r="B6" s="2">
        <v>4</v>
      </c>
      <c r="C6" s="3"/>
    </row>
    <row r="7" spans="1:5" x14ac:dyDescent="0.3">
      <c r="A7" s="1" t="s">
        <v>6</v>
      </c>
      <c r="B7" s="2">
        <v>4</v>
      </c>
      <c r="C7" s="3"/>
    </row>
    <row r="8" spans="1:5" x14ac:dyDescent="0.3">
      <c r="A8" s="1" t="s">
        <v>57</v>
      </c>
      <c r="B8" s="2">
        <v>4</v>
      </c>
      <c r="C8" s="3"/>
    </row>
    <row r="9" spans="1:5" x14ac:dyDescent="0.3">
      <c r="A9" s="1" t="s">
        <v>7</v>
      </c>
      <c r="B9" s="2">
        <v>5</v>
      </c>
      <c r="C9" s="3"/>
    </row>
    <row r="10" spans="1:5" x14ac:dyDescent="0.3">
      <c r="A10" s="1" t="s">
        <v>41</v>
      </c>
      <c r="B10" s="2">
        <v>5</v>
      </c>
      <c r="C10" s="3"/>
    </row>
    <row r="11" spans="1:5" x14ac:dyDescent="0.3">
      <c r="A11" s="1" t="s">
        <v>8</v>
      </c>
      <c r="B11" s="2">
        <v>1</v>
      </c>
      <c r="C11" s="3"/>
    </row>
    <row r="12" spans="1:5" x14ac:dyDescent="0.3">
      <c r="A12" s="1"/>
      <c r="B12" s="1"/>
      <c r="C12" s="3"/>
    </row>
    <row r="13" spans="1:5" x14ac:dyDescent="0.3">
      <c r="A13" s="3"/>
      <c r="B13" s="3"/>
      <c r="C13" s="3"/>
    </row>
    <row r="14" spans="1:5" x14ac:dyDescent="0.3">
      <c r="A14" s="3"/>
      <c r="B14" s="3"/>
      <c r="C14" s="3"/>
    </row>
    <row r="15" spans="1:5" x14ac:dyDescent="0.3">
      <c r="A15" s="3"/>
      <c r="B15" s="3"/>
      <c r="C15" s="3"/>
      <c r="D15" s="1"/>
      <c r="E15" s="1"/>
    </row>
    <row r="16" spans="1:5" x14ac:dyDescent="0.3">
      <c r="A16" s="3"/>
      <c r="B16" s="3"/>
      <c r="C16" s="3"/>
      <c r="D16" s="1"/>
      <c r="E16" s="1"/>
    </row>
    <row r="17" spans="1:5" x14ac:dyDescent="0.3">
      <c r="A17" s="3"/>
      <c r="B17" s="3"/>
      <c r="C17" s="3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  <row r="24" spans="1:5" x14ac:dyDescent="0.3">
      <c r="A24" s="1"/>
      <c r="B24" s="1"/>
      <c r="C24" s="1"/>
      <c r="D24" s="1"/>
      <c r="E24" s="1"/>
    </row>
  </sheetData>
  <sheetProtection algorithmName="SHA-512" hashValue="/1YIJNSHv0FvzEXAr1CP07lSAUvlDG13Jcmpj6eO0CoqbzVayIZXUpc+3alIK4uAdlJMFTYFO4m4IfQ3Hbdxhg==" saltValue="3po6kX0QPSyM6wsKQpWQSA==" spinCount="100000" sheet="1" objects="1" scenarios="1" selectLockedCells="1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B1A4-B441-4C66-AF26-05E9FBDD80DD}">
  <dimension ref="A1:F17"/>
  <sheetViews>
    <sheetView workbookViewId="0">
      <selection activeCell="A7" sqref="A7"/>
    </sheetView>
  </sheetViews>
  <sheetFormatPr defaultRowHeight="14.4" x14ac:dyDescent="0.3"/>
  <cols>
    <col min="1" max="1" width="25.77734375" customWidth="1"/>
    <col min="2" max="2" width="15.77734375" customWidth="1"/>
    <col min="3" max="3" width="49" customWidth="1"/>
    <col min="4" max="4" width="6.33203125" customWidth="1"/>
    <col min="5" max="5" width="25.77734375" customWidth="1"/>
    <col min="6" max="6" width="15.77734375" customWidth="1"/>
    <col min="7" max="7" width="40.77734375" customWidth="1"/>
  </cols>
  <sheetData>
    <row r="1" spans="1:6" ht="18" x14ac:dyDescent="0.35">
      <c r="A1" s="11" t="s">
        <v>27</v>
      </c>
      <c r="B1" s="11"/>
      <c r="C1" s="4"/>
      <c r="D1" s="4"/>
      <c r="E1" s="4"/>
      <c r="F1" s="4"/>
    </row>
    <row r="2" spans="1:6" x14ac:dyDescent="0.3">
      <c r="A2" s="3" t="str">
        <f>Merken!A2</f>
        <v>Aanbesteding SWF 23017: End User Devices</v>
      </c>
      <c r="B2" s="3"/>
      <c r="C2" s="4"/>
      <c r="D2" s="4"/>
      <c r="E2" s="4"/>
      <c r="F2" s="4"/>
    </row>
    <row r="3" spans="1:6" x14ac:dyDescent="0.3">
      <c r="A3" s="4"/>
      <c r="B3" s="4"/>
      <c r="C3" s="4"/>
      <c r="D3" s="4"/>
      <c r="E3" s="4"/>
      <c r="F3" s="4"/>
    </row>
    <row r="4" spans="1:6" x14ac:dyDescent="0.3">
      <c r="A4" s="1" t="s">
        <v>9</v>
      </c>
      <c r="B4" s="5" t="s">
        <v>3</v>
      </c>
      <c r="C4" s="1" t="s">
        <v>44</v>
      </c>
      <c r="D4" s="4"/>
      <c r="E4" s="4"/>
      <c r="F4" s="4"/>
    </row>
    <row r="5" spans="1:6" x14ac:dyDescent="0.3">
      <c r="A5" s="1" t="s">
        <v>46</v>
      </c>
      <c r="B5" s="2">
        <v>1</v>
      </c>
      <c r="C5" s="1" t="s">
        <v>47</v>
      </c>
    </row>
    <row r="6" spans="1:6" x14ac:dyDescent="0.3">
      <c r="A6" s="1" t="s">
        <v>42</v>
      </c>
      <c r="B6" s="2">
        <v>5</v>
      </c>
      <c r="C6" s="1" t="s">
        <v>10</v>
      </c>
    </row>
    <row r="7" spans="1:6" x14ac:dyDescent="0.3">
      <c r="A7" s="1" t="s">
        <v>43</v>
      </c>
      <c r="B7" s="2">
        <v>5</v>
      </c>
      <c r="C7" s="1" t="s">
        <v>58</v>
      </c>
    </row>
    <row r="8" spans="1:6" x14ac:dyDescent="0.3">
      <c r="A8" s="1" t="s">
        <v>48</v>
      </c>
      <c r="B8" s="2">
        <v>2</v>
      </c>
      <c r="C8" s="1"/>
    </row>
    <row r="9" spans="1:6" x14ac:dyDescent="0.3">
      <c r="A9" s="1" t="s">
        <v>49</v>
      </c>
      <c r="B9" s="2">
        <v>3</v>
      </c>
    </row>
    <row r="10" spans="1:6" x14ac:dyDescent="0.3">
      <c r="A10" s="1" t="s">
        <v>50</v>
      </c>
      <c r="B10" s="2">
        <v>5</v>
      </c>
      <c r="C10" s="1" t="s">
        <v>51</v>
      </c>
    </row>
    <row r="11" spans="1:6" x14ac:dyDescent="0.3">
      <c r="A11" t="s">
        <v>26</v>
      </c>
      <c r="B11">
        <v>1</v>
      </c>
      <c r="C11" s="1" t="s">
        <v>53</v>
      </c>
    </row>
    <row r="12" spans="1:6" x14ac:dyDescent="0.3">
      <c r="A12" t="s">
        <v>0</v>
      </c>
      <c r="B12">
        <v>1</v>
      </c>
      <c r="C12" s="1" t="s">
        <v>52</v>
      </c>
    </row>
    <row r="13" spans="1:6" x14ac:dyDescent="0.3">
      <c r="A13" s="4"/>
      <c r="B13" s="4"/>
      <c r="C13" s="4"/>
    </row>
    <row r="14" spans="1:6" x14ac:dyDescent="0.3">
      <c r="A14" s="4"/>
      <c r="B14" s="4"/>
      <c r="C14" s="4"/>
    </row>
    <row r="15" spans="1:6" x14ac:dyDescent="0.3">
      <c r="A15" s="4"/>
      <c r="B15" s="4"/>
      <c r="C15" s="4"/>
    </row>
    <row r="16" spans="1:6" x14ac:dyDescent="0.3">
      <c r="A16" s="4"/>
      <c r="B16" s="4"/>
      <c r="C16" s="4"/>
    </row>
    <row r="17" spans="1:3" x14ac:dyDescent="0.3">
      <c r="A17" s="4"/>
      <c r="B17" s="4"/>
      <c r="C17" s="4"/>
    </row>
  </sheetData>
  <sheetProtection algorithmName="SHA-512" hashValue="ibkFNdrmwbFv1zx0gcVhPUDEkos32Vu5Shly8gTX1XxnVc4jsbG8TW27FwqV/2PTJaiD70H03SFryV3Js82eGg==" saltValue="E1ltHi/zC4QTghCXN/JkYg==" spinCount="100000" sheet="1" objects="1" scenarios="1" selectLockedCells="1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A4A0-148C-46E1-B211-799F09831FE7}">
  <dimension ref="A1:C60"/>
  <sheetViews>
    <sheetView workbookViewId="0"/>
  </sheetViews>
  <sheetFormatPr defaultRowHeight="14.4" x14ac:dyDescent="0.3"/>
  <cols>
    <col min="1" max="1" width="16.77734375" style="8" customWidth="1"/>
    <col min="2" max="2" width="25.77734375" style="8" customWidth="1"/>
    <col min="3" max="3" width="14.77734375" style="8" customWidth="1"/>
    <col min="4" max="16384" width="8.88671875" style="8"/>
  </cols>
  <sheetData>
    <row r="1" spans="1:3" ht="18" x14ac:dyDescent="0.3">
      <c r="A1" s="12" t="s">
        <v>12</v>
      </c>
      <c r="B1" s="10"/>
    </row>
    <row r="2" spans="1:3" x14ac:dyDescent="0.3">
      <c r="A2" s="7" t="str">
        <f>Merken!A2</f>
        <v>Aanbesteding SWF 23017: End User Devices</v>
      </c>
      <c r="B2" s="10"/>
    </row>
    <row r="3" spans="1:3" x14ac:dyDescent="0.3">
      <c r="A3" s="10"/>
      <c r="B3" s="10"/>
    </row>
    <row r="4" spans="1:3" x14ac:dyDescent="0.3">
      <c r="A4" s="13" t="s">
        <v>13</v>
      </c>
      <c r="B4" s="13" t="s">
        <v>14</v>
      </c>
      <c r="C4" s="17" t="s">
        <v>15</v>
      </c>
    </row>
    <row r="5" spans="1:3" x14ac:dyDescent="0.3">
      <c r="A5" s="9" t="str">
        <f>Merken!A5</f>
        <v>Dell</v>
      </c>
      <c r="B5" s="9" t="str">
        <f>Onderdelen!$A$5</f>
        <v>Desktops</v>
      </c>
      <c r="C5" s="14">
        <f>Merken!B$5*Onderdelen!B$5</f>
        <v>5</v>
      </c>
    </row>
    <row r="6" spans="1:3" x14ac:dyDescent="0.3">
      <c r="B6" s="9" t="str">
        <f>Onderdelen!$A$6</f>
        <v>Laptop standaard</v>
      </c>
      <c r="C6" s="14">
        <f>Merken!B$5*Onderdelen!B$6</f>
        <v>25</v>
      </c>
    </row>
    <row r="7" spans="1:3" x14ac:dyDescent="0.3">
      <c r="B7" s="9" t="str">
        <f>Onderdelen!$A$7</f>
        <v>Laptop op maat gemaakt</v>
      </c>
      <c r="C7" s="14">
        <f>Merken!B$5*Onderdelen!B$7</f>
        <v>25</v>
      </c>
    </row>
    <row r="8" spans="1:3" x14ac:dyDescent="0.3">
      <c r="B8" s="9" t="str">
        <f>Onderdelen!$A$8</f>
        <v>Monitoren</v>
      </c>
      <c r="C8" s="14">
        <f>Merken!B$5*Onderdelen!B$8</f>
        <v>10</v>
      </c>
    </row>
    <row r="9" spans="1:3" x14ac:dyDescent="0.3">
      <c r="B9" s="9" t="str">
        <f>Onderdelen!$A$9</f>
        <v>Tablets</v>
      </c>
      <c r="C9" s="14">
        <f>Merken!B$5*Onderdelen!B$9</f>
        <v>15</v>
      </c>
    </row>
    <row r="10" spans="1:3" x14ac:dyDescent="0.3">
      <c r="B10" s="9" t="str">
        <f>Onderdelen!$A$11</f>
        <v>Randapparatuur</v>
      </c>
      <c r="C10" s="14">
        <f>Merken!B$5*Onderdelen!B$11</f>
        <v>5</v>
      </c>
    </row>
    <row r="11" spans="1:3" x14ac:dyDescent="0.3">
      <c r="B11" s="9" t="str">
        <f>Onderdelen!$A$12</f>
        <v>Accessoires</v>
      </c>
      <c r="C11" s="14">
        <f>Merken!B$5*Onderdelen!B$12</f>
        <v>5</v>
      </c>
    </row>
    <row r="12" spans="1:3" x14ac:dyDescent="0.3">
      <c r="A12" s="9" t="str">
        <f>Merken!A6</f>
        <v>HP</v>
      </c>
      <c r="B12" s="9" t="str">
        <f>Onderdelen!$A$5</f>
        <v>Desktops</v>
      </c>
      <c r="C12" s="14">
        <f>Merken!B$6*Onderdelen!B$5</f>
        <v>4</v>
      </c>
    </row>
    <row r="13" spans="1:3" x14ac:dyDescent="0.3">
      <c r="B13" s="9" t="str">
        <f>Onderdelen!$A$6</f>
        <v>Laptop standaard</v>
      </c>
      <c r="C13" s="14">
        <f>Merken!B$6*Onderdelen!B$6</f>
        <v>20</v>
      </c>
    </row>
    <row r="14" spans="1:3" x14ac:dyDescent="0.3">
      <c r="B14" s="9" t="str">
        <f>Onderdelen!$A$7</f>
        <v>Laptop op maat gemaakt</v>
      </c>
      <c r="C14" s="14">
        <f>Merken!B$6*Onderdelen!B$7</f>
        <v>20</v>
      </c>
    </row>
    <row r="15" spans="1:3" x14ac:dyDescent="0.3">
      <c r="B15" s="9" t="str">
        <f>Onderdelen!$A$8</f>
        <v>Monitoren</v>
      </c>
      <c r="C15" s="14">
        <f>Merken!B$6*Onderdelen!B$8</f>
        <v>8</v>
      </c>
    </row>
    <row r="16" spans="1:3" x14ac:dyDescent="0.3">
      <c r="B16" s="9" t="str">
        <f>Onderdelen!$A$9</f>
        <v>Tablets</v>
      </c>
      <c r="C16" s="14">
        <f>Merken!B$6*Onderdelen!B$9</f>
        <v>12</v>
      </c>
    </row>
    <row r="17" spans="1:3" x14ac:dyDescent="0.3">
      <c r="B17" s="9" t="str">
        <f>Onderdelen!$A$11</f>
        <v>Randapparatuur</v>
      </c>
      <c r="C17" s="14">
        <f>Merken!B$6*Onderdelen!B$11</f>
        <v>4</v>
      </c>
    </row>
    <row r="18" spans="1:3" x14ac:dyDescent="0.3">
      <c r="B18" s="9" t="str">
        <f>Onderdelen!$A$12</f>
        <v>Accessoires</v>
      </c>
      <c r="C18" s="14">
        <f>Merken!B$6*Onderdelen!B$12</f>
        <v>4</v>
      </c>
    </row>
    <row r="19" spans="1:3" x14ac:dyDescent="0.3">
      <c r="A19" s="9" t="str">
        <f>Merken!A7</f>
        <v>Lenovo</v>
      </c>
      <c r="B19" s="9" t="str">
        <f>Onderdelen!$A$5</f>
        <v>Desktops</v>
      </c>
      <c r="C19" s="14">
        <f>Merken!B$7*Onderdelen!B$5</f>
        <v>4</v>
      </c>
    </row>
    <row r="20" spans="1:3" x14ac:dyDescent="0.3">
      <c r="B20" s="9" t="str">
        <f>Onderdelen!$A$6</f>
        <v>Laptop standaard</v>
      </c>
      <c r="C20" s="14">
        <f>Merken!B$7*Onderdelen!B$6</f>
        <v>20</v>
      </c>
    </row>
    <row r="21" spans="1:3" x14ac:dyDescent="0.3">
      <c r="B21" s="9" t="str">
        <f>Onderdelen!$A$7</f>
        <v>Laptop op maat gemaakt</v>
      </c>
      <c r="C21" s="14">
        <f>Merken!B$7*Onderdelen!B$7</f>
        <v>20</v>
      </c>
    </row>
    <row r="22" spans="1:3" x14ac:dyDescent="0.3">
      <c r="B22" s="9" t="str">
        <f>Onderdelen!$A$8</f>
        <v>Monitoren</v>
      </c>
      <c r="C22" s="14">
        <f>Merken!B$7*Onderdelen!B$8</f>
        <v>8</v>
      </c>
    </row>
    <row r="23" spans="1:3" x14ac:dyDescent="0.3">
      <c r="B23" s="9" t="str">
        <f>Onderdelen!$A$9</f>
        <v>Tablets</v>
      </c>
      <c r="C23" s="14">
        <f>Merken!B$7*Onderdelen!B$9</f>
        <v>12</v>
      </c>
    </row>
    <row r="24" spans="1:3" x14ac:dyDescent="0.3">
      <c r="B24" s="9" t="str">
        <f>Onderdelen!$A$11</f>
        <v>Randapparatuur</v>
      </c>
      <c r="C24" s="14">
        <f>Merken!B$7*Onderdelen!B$11</f>
        <v>4</v>
      </c>
    </row>
    <row r="25" spans="1:3" x14ac:dyDescent="0.3">
      <c r="B25" s="9" t="str">
        <f>Onderdelen!$A$12</f>
        <v>Accessoires</v>
      </c>
      <c r="C25" s="14">
        <f>Merken!B$7*Onderdelen!B$12</f>
        <v>4</v>
      </c>
    </row>
    <row r="26" spans="1:3" x14ac:dyDescent="0.3">
      <c r="A26" s="9" t="str">
        <f>Merken!A8</f>
        <v>Microsoft</v>
      </c>
      <c r="B26" s="9" t="str">
        <f>Onderdelen!$A$5</f>
        <v>Desktops</v>
      </c>
      <c r="C26" s="14">
        <f>Merken!B$8*Onderdelen!B$5</f>
        <v>4</v>
      </c>
    </row>
    <row r="27" spans="1:3" x14ac:dyDescent="0.3">
      <c r="B27" s="9" t="str">
        <f>Onderdelen!$A$6</f>
        <v>Laptop standaard</v>
      </c>
      <c r="C27" s="14">
        <f>Merken!B$8*Onderdelen!B$6</f>
        <v>20</v>
      </c>
    </row>
    <row r="28" spans="1:3" x14ac:dyDescent="0.3">
      <c r="B28" s="9" t="str">
        <f>Onderdelen!$A$7</f>
        <v>Laptop op maat gemaakt</v>
      </c>
      <c r="C28" s="14">
        <f>Merken!B$8*Onderdelen!B$7</f>
        <v>20</v>
      </c>
    </row>
    <row r="29" spans="1:3" x14ac:dyDescent="0.3">
      <c r="B29" s="9" t="str">
        <f>Onderdelen!$A$8</f>
        <v>Monitoren</v>
      </c>
      <c r="C29" s="14">
        <f>Merken!B$8*Onderdelen!B$8</f>
        <v>8</v>
      </c>
    </row>
    <row r="30" spans="1:3" x14ac:dyDescent="0.3">
      <c r="B30" s="9" t="str">
        <f>Onderdelen!$A$9</f>
        <v>Tablets</v>
      </c>
      <c r="C30" s="14">
        <f>Merken!B$8*Onderdelen!B$9</f>
        <v>12</v>
      </c>
    </row>
    <row r="31" spans="1:3" x14ac:dyDescent="0.3">
      <c r="B31" s="9" t="str">
        <f>Onderdelen!$A$11</f>
        <v>Randapparatuur</v>
      </c>
      <c r="C31" s="14">
        <f>Merken!B$8*Onderdelen!B$11</f>
        <v>4</v>
      </c>
    </row>
    <row r="32" spans="1:3" x14ac:dyDescent="0.3">
      <c r="B32" s="9" t="str">
        <f>Onderdelen!$A$12</f>
        <v>Accessoires</v>
      </c>
      <c r="C32" s="14">
        <f>Merken!B$8*Onderdelen!B$12</f>
        <v>4</v>
      </c>
    </row>
    <row r="33" spans="1:3" x14ac:dyDescent="0.3">
      <c r="A33" s="9" t="str">
        <f>Merken!A9</f>
        <v>Apple</v>
      </c>
      <c r="B33" s="9" t="str">
        <f>Onderdelen!$A$8</f>
        <v>Monitoren</v>
      </c>
      <c r="C33" s="14">
        <f>Merken!B$9*Onderdelen!B$8</f>
        <v>10</v>
      </c>
    </row>
    <row r="34" spans="1:3" x14ac:dyDescent="0.3">
      <c r="B34" s="9" t="str">
        <f>Onderdelen!$A$9</f>
        <v>Tablets</v>
      </c>
      <c r="C34" s="14">
        <f>Merken!B$9*Onderdelen!B$9</f>
        <v>15</v>
      </c>
    </row>
    <row r="35" spans="1:3" x14ac:dyDescent="0.3">
      <c r="B35" s="9" t="str">
        <f>Onderdelen!$A$10</f>
        <v>Smartphones</v>
      </c>
      <c r="C35" s="14">
        <f>Merken!B$9*Onderdelen!B$10</f>
        <v>25</v>
      </c>
    </row>
    <row r="36" spans="1:3" x14ac:dyDescent="0.3">
      <c r="B36" s="9" t="str">
        <f>Onderdelen!$A$11</f>
        <v>Randapparatuur</v>
      </c>
      <c r="C36" s="14">
        <f>Merken!B$9*Onderdelen!B$11</f>
        <v>5</v>
      </c>
    </row>
    <row r="37" spans="1:3" x14ac:dyDescent="0.3">
      <c r="B37" s="9" t="str">
        <f>Onderdelen!$A$12</f>
        <v>Accessoires</v>
      </c>
      <c r="C37" s="14">
        <f>Merken!B$9*Onderdelen!B$12</f>
        <v>5</v>
      </c>
    </row>
    <row r="38" spans="1:3" x14ac:dyDescent="0.3">
      <c r="A38" s="9" t="str">
        <f>Merken!A10</f>
        <v>Samsung</v>
      </c>
      <c r="B38" s="9" t="str">
        <f>Onderdelen!$A$6</f>
        <v>Laptop standaard</v>
      </c>
      <c r="C38" s="14">
        <f>Merken!B$10*Onderdelen!B$6</f>
        <v>25</v>
      </c>
    </row>
    <row r="39" spans="1:3" x14ac:dyDescent="0.3">
      <c r="B39" s="9" t="str">
        <f>Onderdelen!$A$8</f>
        <v>Monitoren</v>
      </c>
      <c r="C39" s="14">
        <f>Merken!B$10*Onderdelen!B$8</f>
        <v>10</v>
      </c>
    </row>
    <row r="40" spans="1:3" x14ac:dyDescent="0.3">
      <c r="B40" s="9" t="str">
        <f>Onderdelen!$A$9</f>
        <v>Tablets</v>
      </c>
      <c r="C40" s="14">
        <f>Merken!B$10*Onderdelen!B$9</f>
        <v>15</v>
      </c>
    </row>
    <row r="41" spans="1:3" x14ac:dyDescent="0.3">
      <c r="B41" s="9" t="str">
        <f>Onderdelen!$A$10</f>
        <v>Smartphones</v>
      </c>
      <c r="C41" s="14">
        <f>Merken!B$10*Onderdelen!B$10</f>
        <v>25</v>
      </c>
    </row>
    <row r="42" spans="1:3" x14ac:dyDescent="0.3">
      <c r="B42" s="9" t="str">
        <f>Onderdelen!$A$11</f>
        <v>Randapparatuur</v>
      </c>
      <c r="C42" s="14">
        <f>Merken!B$10*Onderdelen!B$11</f>
        <v>5</v>
      </c>
    </row>
    <row r="43" spans="1:3" x14ac:dyDescent="0.3">
      <c r="B43" s="9" t="str">
        <f>Onderdelen!$A$12</f>
        <v>Accessoires</v>
      </c>
      <c r="C43" s="14">
        <f>Merken!B$10*Onderdelen!B$12</f>
        <v>5</v>
      </c>
    </row>
    <row r="44" spans="1:3" x14ac:dyDescent="0.3">
      <c r="A44" s="9" t="str">
        <f>Merken!A11</f>
        <v>Overige merken</v>
      </c>
      <c r="B44" s="9" t="str">
        <f>Onderdelen!$A$5</f>
        <v>Desktops</v>
      </c>
      <c r="C44" s="14">
        <f>Merken!B$11*Onderdelen!B$5</f>
        <v>1</v>
      </c>
    </row>
    <row r="45" spans="1:3" x14ac:dyDescent="0.3">
      <c r="B45" s="9" t="str">
        <f>Onderdelen!$A$6</f>
        <v>Laptop standaard</v>
      </c>
      <c r="C45" s="14">
        <f>Merken!B$11*Onderdelen!B$6</f>
        <v>5</v>
      </c>
    </row>
    <row r="46" spans="1:3" x14ac:dyDescent="0.3">
      <c r="B46" s="9" t="str">
        <f>Onderdelen!$A$7</f>
        <v>Laptop op maat gemaakt</v>
      </c>
      <c r="C46" s="14">
        <f>Merken!B$11*Onderdelen!B$7</f>
        <v>5</v>
      </c>
    </row>
    <row r="47" spans="1:3" x14ac:dyDescent="0.3">
      <c r="B47" s="9" t="str">
        <f>Onderdelen!$A$8</f>
        <v>Monitoren</v>
      </c>
      <c r="C47" s="14">
        <f>Merken!B$11*Onderdelen!B$8</f>
        <v>2</v>
      </c>
    </row>
    <row r="48" spans="1:3" x14ac:dyDescent="0.3">
      <c r="B48" s="9" t="str">
        <f>Onderdelen!$A$9</f>
        <v>Tablets</v>
      </c>
      <c r="C48" s="14">
        <f>Merken!B$11*Onderdelen!B$9</f>
        <v>3</v>
      </c>
    </row>
    <row r="49" spans="2:3" x14ac:dyDescent="0.3">
      <c r="B49" s="9" t="str">
        <f>Onderdelen!$A$10</f>
        <v>Smartphones</v>
      </c>
      <c r="C49" s="14">
        <f>Merken!B$11*Onderdelen!B$10</f>
        <v>5</v>
      </c>
    </row>
    <row r="50" spans="2:3" x14ac:dyDescent="0.3">
      <c r="B50" s="9" t="str">
        <f>Onderdelen!$A$11</f>
        <v>Randapparatuur</v>
      </c>
      <c r="C50" s="14">
        <f>Merken!B$11*Onderdelen!B$11</f>
        <v>1</v>
      </c>
    </row>
    <row r="51" spans="2:3" x14ac:dyDescent="0.3">
      <c r="B51" s="9" t="str">
        <f>Onderdelen!$A$12</f>
        <v>Accessoires</v>
      </c>
      <c r="C51" s="14">
        <f>Merken!B$11*Onderdelen!B$12</f>
        <v>1</v>
      </c>
    </row>
    <row r="52" spans="2:3" x14ac:dyDescent="0.3">
      <c r="B52" s="9"/>
    </row>
    <row r="53" spans="2:3" x14ac:dyDescent="0.3">
      <c r="B53" s="15" t="s">
        <v>45</v>
      </c>
      <c r="C53" s="16">
        <f>SUM(C5:C52)</f>
        <v>474</v>
      </c>
    </row>
    <row r="54" spans="2:3" x14ac:dyDescent="0.3">
      <c r="B54" s="9"/>
    </row>
    <row r="55" spans="2:3" x14ac:dyDescent="0.3">
      <c r="B55" s="9"/>
    </row>
    <row r="56" spans="2:3" x14ac:dyDescent="0.3">
      <c r="B56" s="9"/>
    </row>
    <row r="57" spans="2:3" x14ac:dyDescent="0.3">
      <c r="B57" s="9"/>
    </row>
    <row r="58" spans="2:3" x14ac:dyDescent="0.3">
      <c r="B58" s="9"/>
    </row>
    <row r="59" spans="2:3" x14ac:dyDescent="0.3">
      <c r="B59" s="9"/>
    </row>
    <row r="60" spans="2:3" x14ac:dyDescent="0.3">
      <c r="B60" s="9"/>
    </row>
  </sheetData>
  <sheetProtection algorithmName="SHA-512" hashValue="rBS0HyqZyuoNADhrUzrtH0Mzaeh9zCVxQ0qojsASMDUsCQUVNzuyTht1iaOcQ3sf9f2AzzfI6uy4SlcKXXBKTA==" saltValue="oVuTSxUWr7nPGWI7cLDetg==" spinCount="100000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F025-747C-45A2-B370-8B1CD36E60AB}">
  <sheetPr>
    <pageSetUpPr fitToPage="1"/>
  </sheetPr>
  <dimension ref="A1:J66"/>
  <sheetViews>
    <sheetView tabSelected="1" zoomScaleNormal="100" workbookViewId="0">
      <selection activeCell="C3" sqref="C3:E3"/>
    </sheetView>
  </sheetViews>
  <sheetFormatPr defaultRowHeight="14.4" x14ac:dyDescent="0.3"/>
  <cols>
    <col min="1" max="1" width="4.77734375" style="8" customWidth="1"/>
    <col min="2" max="2" width="12.33203125" style="8" customWidth="1"/>
    <col min="3" max="3" width="14.77734375" style="8" customWidth="1"/>
    <col min="4" max="4" width="29.77734375" style="8" customWidth="1"/>
    <col min="5" max="6" width="12.77734375" style="8" customWidth="1"/>
    <col min="7" max="7" width="14" style="8" customWidth="1"/>
    <col min="8" max="8" width="8.88671875" style="8" bestFit="1" customWidth="1"/>
    <col min="9" max="9" width="0" style="8" hidden="1" customWidth="1"/>
    <col min="10" max="10" width="3.21875" style="8" hidden="1" customWidth="1"/>
    <col min="11" max="16384" width="8.88671875" style="8"/>
  </cols>
  <sheetData>
    <row r="1" spans="1:10" ht="18" x14ac:dyDescent="0.35">
      <c r="A1" s="12" t="s">
        <v>16</v>
      </c>
      <c r="B1" s="12"/>
      <c r="D1" s="11" t="str">
        <f>Merken!A2</f>
        <v>Aanbesteding SWF 23017: End User Devices</v>
      </c>
      <c r="H1" s="6" t="s">
        <v>11</v>
      </c>
    </row>
    <row r="3" spans="1:10" ht="19.95" customHeight="1" x14ac:dyDescent="0.3">
      <c r="A3" s="42" t="s">
        <v>30</v>
      </c>
      <c r="B3" s="42"/>
      <c r="C3" s="52"/>
      <c r="D3" s="52"/>
      <c r="E3" s="52"/>
    </row>
    <row r="4" spans="1:10" ht="19.95" customHeight="1" x14ac:dyDescent="0.3">
      <c r="A4" s="42" t="s">
        <v>31</v>
      </c>
      <c r="B4" s="42"/>
      <c r="C4" s="52"/>
      <c r="D4" s="52"/>
      <c r="E4" s="52"/>
    </row>
    <row r="5" spans="1:10" ht="19.95" customHeight="1" x14ac:dyDescent="0.3"/>
    <row r="6" spans="1:10" x14ac:dyDescent="0.3">
      <c r="A6" s="20" t="s">
        <v>28</v>
      </c>
      <c r="B6" s="20"/>
      <c r="C6" s="19"/>
      <c r="D6" s="19"/>
      <c r="E6" s="19"/>
      <c r="F6" s="19"/>
      <c r="G6" s="19"/>
      <c r="H6" s="19"/>
    </row>
    <row r="7" spans="1:10" x14ac:dyDescent="0.3">
      <c r="A7" s="9" t="s">
        <v>29</v>
      </c>
      <c r="B7" s="9"/>
    </row>
    <row r="8" spans="1:10" x14ac:dyDescent="0.3">
      <c r="A8" s="9" t="s">
        <v>17</v>
      </c>
      <c r="B8" s="9"/>
    </row>
    <row r="9" spans="1:10" x14ac:dyDescent="0.3">
      <c r="A9" s="9" t="s">
        <v>18</v>
      </c>
      <c r="B9" s="9"/>
    </row>
    <row r="10" spans="1:10" x14ac:dyDescent="0.3">
      <c r="A10" s="9" t="s">
        <v>34</v>
      </c>
      <c r="B10" s="9"/>
    </row>
    <row r="11" spans="1:10" x14ac:dyDescent="0.3">
      <c r="A11" s="9" t="s">
        <v>35</v>
      </c>
      <c r="B11" s="9"/>
    </row>
    <row r="12" spans="1:10" x14ac:dyDescent="0.3">
      <c r="A12" s="9" t="s">
        <v>36</v>
      </c>
      <c r="B12" s="9"/>
    </row>
    <row r="13" spans="1:10" x14ac:dyDescent="0.3">
      <c r="A13" s="9" t="s">
        <v>39</v>
      </c>
      <c r="B13" s="9"/>
    </row>
    <row r="14" spans="1:10" x14ac:dyDescent="0.3">
      <c r="A14" s="9" t="s">
        <v>38</v>
      </c>
      <c r="B14" s="9"/>
    </row>
    <row r="15" spans="1:10" x14ac:dyDescent="0.3">
      <c r="I15" s="41" t="s">
        <v>33</v>
      </c>
      <c r="J15" s="41" t="s">
        <v>33</v>
      </c>
    </row>
    <row r="16" spans="1:10" x14ac:dyDescent="0.3">
      <c r="A16" s="21"/>
      <c r="B16" s="45"/>
      <c r="C16" s="22" t="s">
        <v>13</v>
      </c>
      <c r="D16" s="23" t="s">
        <v>40</v>
      </c>
      <c r="E16" s="22" t="s">
        <v>40</v>
      </c>
      <c r="F16" s="22" t="s">
        <v>19</v>
      </c>
      <c r="G16" s="22" t="s">
        <v>54</v>
      </c>
      <c r="I16" s="22" t="s">
        <v>20</v>
      </c>
      <c r="J16" s="24" t="s">
        <v>21</v>
      </c>
    </row>
    <row r="17" spans="1:10" x14ac:dyDescent="0.3">
      <c r="A17" s="31" t="s">
        <v>13</v>
      </c>
      <c r="B17" s="33"/>
      <c r="C17" s="32" t="s">
        <v>22</v>
      </c>
      <c r="D17" s="33" t="s">
        <v>23</v>
      </c>
      <c r="E17" s="32" t="s">
        <v>22</v>
      </c>
      <c r="F17" s="32" t="s">
        <v>22</v>
      </c>
      <c r="G17" s="32" t="s">
        <v>55</v>
      </c>
      <c r="I17" s="32" t="s">
        <v>24</v>
      </c>
      <c r="J17" s="34" t="s">
        <v>25</v>
      </c>
    </row>
    <row r="18" spans="1:10" x14ac:dyDescent="0.3">
      <c r="A18" s="35" t="str">
        <f>Weging!A5</f>
        <v>Dell</v>
      </c>
      <c r="B18" s="36"/>
      <c r="C18" s="43"/>
      <c r="D18" s="36" t="str">
        <f>Weging!B5</f>
        <v>Desktops</v>
      </c>
      <c r="E18" s="43"/>
      <c r="F18" s="36">
        <f t="shared" ref="F18:F24" si="0">IF(AND(C$18&lt;&gt;"",E18&lt;&gt;""),IF(C$18&gt;E18,E18,C$18),IF(OR(C$18&lt;&gt;"",E18&lt;&gt;""),IF(C$18="",E18,IF(E18="",C$18,Minimum)),Minimum))</f>
        <v>2.5000000000000001E-2</v>
      </c>
      <c r="G18" s="49">
        <f>F18*100*Weging!C5/Weging!$C$53</f>
        <v>2.6371308016877638E-2</v>
      </c>
      <c r="I18" s="37">
        <f>ROUND(WaardeP2/Weging!$C$53*Weging!C5/115,0)*100</f>
        <v>20200</v>
      </c>
      <c r="J18" s="38">
        <f t="shared" ref="J18:J45" si="1">(100%+F18)*I18</f>
        <v>20705</v>
      </c>
    </row>
    <row r="19" spans="1:10" x14ac:dyDescent="0.3">
      <c r="A19" s="46"/>
      <c r="B19" s="8" t="str">
        <f>"Levering van A-merk "&amp;A18</f>
        <v>Levering van A-merk Dell</v>
      </c>
      <c r="D19" s="9" t="str">
        <f>Weging!B6</f>
        <v>Laptop standaard</v>
      </c>
      <c r="E19" s="48"/>
      <c r="F19" s="9">
        <f t="shared" si="0"/>
        <v>2.5000000000000001E-2</v>
      </c>
      <c r="G19" s="50">
        <f>F19*100*Weging!C6/Weging!$C$53</f>
        <v>0.13185654008438819</v>
      </c>
      <c r="I19" s="18">
        <f>ROUND(WaardeP2/Weging!$C$53*Weging!C6/115,0)*100</f>
        <v>100900</v>
      </c>
      <c r="J19" s="25">
        <f t="shared" si="1"/>
        <v>103422.49999999999</v>
      </c>
    </row>
    <row r="20" spans="1:10" x14ac:dyDescent="0.3">
      <c r="A20" s="26"/>
      <c r="D20" s="9" t="str">
        <f>Weging!B7</f>
        <v>Laptop op maat gemaakt</v>
      </c>
      <c r="E20" s="48"/>
      <c r="F20" s="9">
        <f t="shared" si="0"/>
        <v>2.5000000000000001E-2</v>
      </c>
      <c r="G20" s="50">
        <f>F20*100*Weging!C7/Weging!$C$53</f>
        <v>0.13185654008438819</v>
      </c>
      <c r="I20" s="18">
        <f>ROUND(WaardeP2/Weging!$C$53*Weging!C7/115,0)*100</f>
        <v>100900</v>
      </c>
      <c r="J20" s="25">
        <f t="shared" si="1"/>
        <v>103422.49999999999</v>
      </c>
    </row>
    <row r="21" spans="1:10" x14ac:dyDescent="0.3">
      <c r="A21" s="26"/>
      <c r="D21" s="9" t="str">
        <f>Weging!B8</f>
        <v>Monitoren</v>
      </c>
      <c r="E21" s="48"/>
      <c r="F21" s="9">
        <f t="shared" si="0"/>
        <v>2.5000000000000001E-2</v>
      </c>
      <c r="G21" s="50">
        <f>F21*100*Weging!C8/Weging!$C$53</f>
        <v>5.2742616033755275E-2</v>
      </c>
      <c r="I21" s="18">
        <f>ROUND(WaardeP2/Weging!$C$53*Weging!C8/115,0)*100</f>
        <v>40400</v>
      </c>
      <c r="J21" s="25">
        <f t="shared" si="1"/>
        <v>41410</v>
      </c>
    </row>
    <row r="22" spans="1:10" x14ac:dyDescent="0.3">
      <c r="A22" s="26"/>
      <c r="D22" s="9" t="str">
        <f>Weging!B9</f>
        <v>Tablets</v>
      </c>
      <c r="E22" s="48"/>
      <c r="F22" s="9">
        <f t="shared" si="0"/>
        <v>2.5000000000000001E-2</v>
      </c>
      <c r="G22" s="50">
        <f>F22*100*Weging!C9/Weging!$C$53</f>
        <v>7.9113924050632917E-2</v>
      </c>
      <c r="I22" s="18">
        <f>ROUND(WaardeP2/Weging!$C$53*Weging!C9/115,0)*100</f>
        <v>60500</v>
      </c>
      <c r="J22" s="25">
        <f t="shared" si="1"/>
        <v>62012.499999999993</v>
      </c>
    </row>
    <row r="23" spans="1:10" x14ac:dyDescent="0.3">
      <c r="A23" s="26"/>
      <c r="D23" s="9" t="str">
        <f>Weging!B10</f>
        <v>Randapparatuur</v>
      </c>
      <c r="E23" s="48"/>
      <c r="F23" s="9">
        <f t="shared" si="0"/>
        <v>2.5000000000000001E-2</v>
      </c>
      <c r="G23" s="50">
        <f>F23*100*Weging!C10/Weging!$C$53</f>
        <v>2.6371308016877638E-2</v>
      </c>
      <c r="I23" s="18">
        <f>ROUND(WaardeP2/Weging!$C$53*Weging!C10/115,0)*100</f>
        <v>20200</v>
      </c>
      <c r="J23" s="25">
        <f t="shared" si="1"/>
        <v>20705</v>
      </c>
    </row>
    <row r="24" spans="1:10" x14ac:dyDescent="0.3">
      <c r="A24" s="27"/>
      <c r="B24" s="19"/>
      <c r="C24" s="19"/>
      <c r="D24" s="28" t="str">
        <f>Weging!B11</f>
        <v>Accessoires</v>
      </c>
      <c r="E24" s="44"/>
      <c r="F24" s="28">
        <f t="shared" si="0"/>
        <v>2.5000000000000001E-2</v>
      </c>
      <c r="G24" s="51">
        <f>F24*100*Weging!C11/Weging!$C$53</f>
        <v>2.6371308016877638E-2</v>
      </c>
      <c r="I24" s="29">
        <f>ROUND(WaardeP2/Weging!$C$53*Weging!C9/115,0)*100</f>
        <v>60500</v>
      </c>
      <c r="J24" s="30">
        <f t="shared" si="1"/>
        <v>62012.499999999993</v>
      </c>
    </row>
    <row r="25" spans="1:10" x14ac:dyDescent="0.3">
      <c r="A25" s="35" t="str">
        <f>Weging!A12</f>
        <v>HP</v>
      </c>
      <c r="B25" s="36"/>
      <c r="C25" s="43"/>
      <c r="D25" s="36" t="str">
        <f>Weging!B12</f>
        <v>Desktops</v>
      </c>
      <c r="E25" s="43"/>
      <c r="F25" s="36">
        <f t="shared" ref="F25:F31" si="2">IF(AND(C$25&lt;&gt;"",E25&lt;&gt;""),IF(C$25&gt;E25,E25,C$25),IF(OR(C$25&lt;&gt;"",E25&lt;&gt;""),IF(C$25="",E25,IF(E25="",C$25,Minimum)),Minimum))</f>
        <v>2.5000000000000001E-2</v>
      </c>
      <c r="G25" s="49">
        <f>F25*100*Weging!C12/Weging!$C$53</f>
        <v>2.1097046413502109E-2</v>
      </c>
      <c r="I25" s="37">
        <f>ROUND(WaardeP2/Weging!$C$53*Weging!C12/115,0)*100</f>
        <v>16100</v>
      </c>
      <c r="J25" s="38">
        <f t="shared" si="1"/>
        <v>16502.5</v>
      </c>
    </row>
    <row r="26" spans="1:10" x14ac:dyDescent="0.3">
      <c r="A26" s="46"/>
      <c r="B26" s="8" t="str">
        <f>"Levering van A-merk "&amp;A25</f>
        <v>Levering van A-merk HP</v>
      </c>
      <c r="D26" s="9" t="str">
        <f>Weging!B13</f>
        <v>Laptop standaard</v>
      </c>
      <c r="E26" s="48"/>
      <c r="F26" s="9">
        <f t="shared" si="2"/>
        <v>2.5000000000000001E-2</v>
      </c>
      <c r="G26" s="50">
        <f>F26*100*Weging!C13/Weging!$C$53</f>
        <v>0.10548523206751055</v>
      </c>
      <c r="I26" s="18">
        <f>ROUND(WaardeP2/Weging!$C$53*Weging!C13/115,0)*100</f>
        <v>80700</v>
      </c>
      <c r="J26" s="25">
        <f t="shared" si="1"/>
        <v>82717.5</v>
      </c>
    </row>
    <row r="27" spans="1:10" x14ac:dyDescent="0.3">
      <c r="A27" s="26"/>
      <c r="D27" s="9" t="str">
        <f>Weging!B14</f>
        <v>Laptop op maat gemaakt</v>
      </c>
      <c r="E27" s="48"/>
      <c r="F27" s="9">
        <f t="shared" si="2"/>
        <v>2.5000000000000001E-2</v>
      </c>
      <c r="G27" s="50">
        <f>F27*100*Weging!C14/Weging!$C$53</f>
        <v>0.10548523206751055</v>
      </c>
      <c r="I27" s="18">
        <f>ROUND(WaardeP2/Weging!$C$53*Weging!C14/115,0)*100</f>
        <v>80700</v>
      </c>
      <c r="J27" s="25">
        <f t="shared" si="1"/>
        <v>82717.5</v>
      </c>
    </row>
    <row r="28" spans="1:10" x14ac:dyDescent="0.3">
      <c r="A28" s="26"/>
      <c r="D28" s="9" t="str">
        <f>Weging!B15</f>
        <v>Monitoren</v>
      </c>
      <c r="E28" s="48"/>
      <c r="F28" s="9">
        <f t="shared" si="2"/>
        <v>2.5000000000000001E-2</v>
      </c>
      <c r="G28" s="50">
        <f>F28*100*Weging!C15/Weging!$C$53</f>
        <v>4.2194092827004218E-2</v>
      </c>
      <c r="I28" s="18">
        <f>ROUND(WaardeP2/Weging!$C$53*Weging!C15/115,0)*100</f>
        <v>32300</v>
      </c>
      <c r="J28" s="25">
        <f t="shared" si="1"/>
        <v>33107.5</v>
      </c>
    </row>
    <row r="29" spans="1:10" x14ac:dyDescent="0.3">
      <c r="A29" s="26"/>
      <c r="D29" s="9" t="str">
        <f>Weging!B16</f>
        <v>Tablets</v>
      </c>
      <c r="E29" s="48"/>
      <c r="F29" s="9">
        <f t="shared" si="2"/>
        <v>2.5000000000000001E-2</v>
      </c>
      <c r="G29" s="50">
        <f>F29*100*Weging!C16/Weging!$C$53</f>
        <v>6.3291139240506333E-2</v>
      </c>
      <c r="I29" s="18">
        <f>ROUND(WaardeP2/Weging!$C$53*Weging!C16/115,0)*100</f>
        <v>48400</v>
      </c>
      <c r="J29" s="25">
        <f t="shared" si="1"/>
        <v>49609.999999999993</v>
      </c>
    </row>
    <row r="30" spans="1:10" x14ac:dyDescent="0.3">
      <c r="A30" s="26"/>
      <c r="D30" s="9" t="str">
        <f>Weging!B17</f>
        <v>Randapparatuur</v>
      </c>
      <c r="E30" s="48"/>
      <c r="F30" s="9">
        <f t="shared" si="2"/>
        <v>2.5000000000000001E-2</v>
      </c>
      <c r="G30" s="50">
        <f>F30*100*Weging!C17/Weging!$C$53</f>
        <v>2.1097046413502109E-2</v>
      </c>
      <c r="I30" s="18">
        <f>ROUND(WaardeP2/Weging!$C$53*Weging!C17/115,0)*100</f>
        <v>16100</v>
      </c>
      <c r="J30" s="25">
        <f t="shared" si="1"/>
        <v>16502.5</v>
      </c>
    </row>
    <row r="31" spans="1:10" x14ac:dyDescent="0.3">
      <c r="A31" s="27"/>
      <c r="B31" s="19"/>
      <c r="C31" s="19"/>
      <c r="D31" s="28" t="str">
        <f>Weging!B18</f>
        <v>Accessoires</v>
      </c>
      <c r="E31" s="44"/>
      <c r="F31" s="28">
        <f t="shared" si="2"/>
        <v>2.5000000000000001E-2</v>
      </c>
      <c r="G31" s="51">
        <f>F31*100*Weging!C18/Weging!$C$53</f>
        <v>2.1097046413502109E-2</v>
      </c>
      <c r="I31" s="29">
        <f>ROUND(WaardeP2/Weging!$C$53*Weging!C16/115,0)*100</f>
        <v>48400</v>
      </c>
      <c r="J31" s="30">
        <f t="shared" si="1"/>
        <v>49609.999999999993</v>
      </c>
    </row>
    <row r="32" spans="1:10" x14ac:dyDescent="0.3">
      <c r="A32" s="35" t="str">
        <f>Weging!A19</f>
        <v>Lenovo</v>
      </c>
      <c r="B32" s="36"/>
      <c r="C32" s="43"/>
      <c r="D32" s="36" t="str">
        <f>Weging!B19</f>
        <v>Desktops</v>
      </c>
      <c r="E32" s="43"/>
      <c r="F32" s="36">
        <f t="shared" ref="F32:F38" si="3">IF(AND(C$32&lt;&gt;"",E32&lt;&gt;""),IF(C$32&gt;E32,E32,C$32),IF(OR(C$32&lt;&gt;"",E32&lt;&gt;""),IF(C$32="",E32,IF(E32="",C$32,Minimum)),Minimum))</f>
        <v>2.5000000000000001E-2</v>
      </c>
      <c r="G32" s="49">
        <f>F32*100*Weging!C19/Weging!$C$53</f>
        <v>2.1097046413502109E-2</v>
      </c>
      <c r="I32" s="37">
        <f>ROUND(WaardeP2/Weging!$C$53*Weging!C19/115,0)*100</f>
        <v>16100</v>
      </c>
      <c r="J32" s="38">
        <f t="shared" si="1"/>
        <v>16502.5</v>
      </c>
    </row>
    <row r="33" spans="1:10" x14ac:dyDescent="0.3">
      <c r="A33" s="46"/>
      <c r="B33" s="8" t="str">
        <f>"Levering van A-merk "&amp;A32</f>
        <v>Levering van A-merk Lenovo</v>
      </c>
      <c r="D33" s="9" t="str">
        <f>Weging!B20</f>
        <v>Laptop standaard</v>
      </c>
      <c r="E33" s="48"/>
      <c r="F33" s="9">
        <f t="shared" si="3"/>
        <v>2.5000000000000001E-2</v>
      </c>
      <c r="G33" s="50">
        <f>F33*100*Weging!C20/Weging!$C$53</f>
        <v>0.10548523206751055</v>
      </c>
      <c r="I33" s="18">
        <f>ROUND(WaardeP2/Weging!$C$53*Weging!C20/115,0)*100</f>
        <v>80700</v>
      </c>
      <c r="J33" s="25">
        <f t="shared" si="1"/>
        <v>82717.5</v>
      </c>
    </row>
    <row r="34" spans="1:10" x14ac:dyDescent="0.3">
      <c r="A34" s="26"/>
      <c r="D34" s="9" t="str">
        <f>Weging!B21</f>
        <v>Laptop op maat gemaakt</v>
      </c>
      <c r="E34" s="48"/>
      <c r="F34" s="9">
        <f t="shared" si="3"/>
        <v>2.5000000000000001E-2</v>
      </c>
      <c r="G34" s="50">
        <f>F34*100*Weging!C21/Weging!$C$53</f>
        <v>0.10548523206751055</v>
      </c>
      <c r="I34" s="18">
        <f>ROUND(WaardeP2/Weging!$C$53*Weging!C21/115,0)*100</f>
        <v>80700</v>
      </c>
      <c r="J34" s="25">
        <f t="shared" si="1"/>
        <v>82717.5</v>
      </c>
    </row>
    <row r="35" spans="1:10" x14ac:dyDescent="0.3">
      <c r="A35" s="26"/>
      <c r="D35" s="9" t="str">
        <f>Weging!B22</f>
        <v>Monitoren</v>
      </c>
      <c r="E35" s="48"/>
      <c r="F35" s="9">
        <f t="shared" si="3"/>
        <v>2.5000000000000001E-2</v>
      </c>
      <c r="G35" s="50">
        <f>F35*100*Weging!C22/Weging!$C$53</f>
        <v>4.2194092827004218E-2</v>
      </c>
      <c r="I35" s="18">
        <f>ROUND(WaardeP2/Weging!$C$53*Weging!C22/115,0)*100</f>
        <v>32300</v>
      </c>
      <c r="J35" s="25">
        <f t="shared" si="1"/>
        <v>33107.5</v>
      </c>
    </row>
    <row r="36" spans="1:10" x14ac:dyDescent="0.3">
      <c r="A36" s="26"/>
      <c r="D36" s="9" t="str">
        <f>Weging!B23</f>
        <v>Tablets</v>
      </c>
      <c r="E36" s="48"/>
      <c r="F36" s="9">
        <f t="shared" si="3"/>
        <v>2.5000000000000001E-2</v>
      </c>
      <c r="G36" s="50">
        <f>F36*100*Weging!C23/Weging!$C$53</f>
        <v>6.3291139240506333E-2</v>
      </c>
      <c r="I36" s="18">
        <f>ROUND(WaardeP2/Weging!$C$53*Weging!C23/115,0)*100</f>
        <v>48400</v>
      </c>
      <c r="J36" s="25">
        <f t="shared" si="1"/>
        <v>49609.999999999993</v>
      </c>
    </row>
    <row r="37" spans="1:10" x14ac:dyDescent="0.3">
      <c r="A37" s="26"/>
      <c r="D37" s="9" t="str">
        <f>Weging!B24</f>
        <v>Randapparatuur</v>
      </c>
      <c r="E37" s="48"/>
      <c r="F37" s="9">
        <f t="shared" si="3"/>
        <v>2.5000000000000001E-2</v>
      </c>
      <c r="G37" s="50">
        <f>F37*100*Weging!C24/Weging!$C$53</f>
        <v>2.1097046413502109E-2</v>
      </c>
      <c r="I37" s="18">
        <f>ROUND(WaardeP2/Weging!$C$53*Weging!C24/115,0)*100</f>
        <v>16100</v>
      </c>
      <c r="J37" s="25">
        <f t="shared" si="1"/>
        <v>16502.5</v>
      </c>
    </row>
    <row r="38" spans="1:10" x14ac:dyDescent="0.3">
      <c r="A38" s="27"/>
      <c r="B38" s="19"/>
      <c r="C38" s="19"/>
      <c r="D38" s="28" t="str">
        <f>Weging!B25</f>
        <v>Accessoires</v>
      </c>
      <c r="E38" s="44"/>
      <c r="F38" s="28">
        <f t="shared" si="3"/>
        <v>2.5000000000000001E-2</v>
      </c>
      <c r="G38" s="51">
        <f>F38*100*Weging!C25/Weging!$C$53</f>
        <v>2.1097046413502109E-2</v>
      </c>
      <c r="I38" s="29">
        <f>ROUND(WaardeP2/Weging!$C$53*Weging!C23/115,0)*100</f>
        <v>48400</v>
      </c>
      <c r="J38" s="30">
        <f t="shared" si="1"/>
        <v>49609.999999999993</v>
      </c>
    </row>
    <row r="39" spans="1:10" x14ac:dyDescent="0.3">
      <c r="A39" s="35" t="str">
        <f>Weging!A26</f>
        <v>Microsoft</v>
      </c>
      <c r="B39" s="36"/>
      <c r="C39" s="43"/>
      <c r="D39" s="36" t="str">
        <f>Weging!B26</f>
        <v>Desktops</v>
      </c>
      <c r="E39" s="43"/>
      <c r="F39" s="36">
        <f t="shared" ref="F39:F45" si="4">IF(AND(C$39&lt;&gt;"",E39&lt;&gt;""),IF(C$39&gt;E39,E39,C$39),IF(OR(C$39&lt;&gt;"",E39&lt;&gt;""),IF(C$39="",E39,IF(E39="",C$39,Minimum)),Minimum))</f>
        <v>2.5000000000000001E-2</v>
      </c>
      <c r="G39" s="49">
        <f>F39*100*Weging!C26/Weging!$C$53</f>
        <v>2.1097046413502109E-2</v>
      </c>
      <c r="I39" s="37">
        <f>ROUND(WaardeP2/Weging!$C$53*Weging!C26/115,0)*100</f>
        <v>16100</v>
      </c>
      <c r="J39" s="38">
        <f t="shared" si="1"/>
        <v>16502.5</v>
      </c>
    </row>
    <row r="40" spans="1:10" x14ac:dyDescent="0.3">
      <c r="A40" s="46"/>
      <c r="B40" s="8" t="str">
        <f>"Levering van A-merk "&amp;A39</f>
        <v>Levering van A-merk Microsoft</v>
      </c>
      <c r="D40" s="9" t="str">
        <f>Weging!B27</f>
        <v>Laptop standaard</v>
      </c>
      <c r="E40" s="48"/>
      <c r="F40" s="9">
        <f t="shared" si="4"/>
        <v>2.5000000000000001E-2</v>
      </c>
      <c r="G40" s="50">
        <f>F40*100*Weging!C27/Weging!$C$53</f>
        <v>0.10548523206751055</v>
      </c>
      <c r="I40" s="18">
        <f>ROUND(WaardeP2/Weging!$C$53*Weging!C27/115,0)*100</f>
        <v>80700</v>
      </c>
      <c r="J40" s="25">
        <f t="shared" si="1"/>
        <v>82717.5</v>
      </c>
    </row>
    <row r="41" spans="1:10" x14ac:dyDescent="0.3">
      <c r="A41" s="26"/>
      <c r="D41" s="9" t="str">
        <f>Weging!B28</f>
        <v>Laptop op maat gemaakt</v>
      </c>
      <c r="E41" s="48"/>
      <c r="F41" s="9">
        <f t="shared" si="4"/>
        <v>2.5000000000000001E-2</v>
      </c>
      <c r="G41" s="50">
        <f>F41*100*Weging!C28/Weging!$C$53</f>
        <v>0.10548523206751055</v>
      </c>
      <c r="I41" s="18">
        <f>ROUND(WaardeP2/Weging!$C$53*Weging!C28/115,0)*100</f>
        <v>80700</v>
      </c>
      <c r="J41" s="25">
        <f t="shared" si="1"/>
        <v>82717.5</v>
      </c>
    </row>
    <row r="42" spans="1:10" x14ac:dyDescent="0.3">
      <c r="A42" s="26"/>
      <c r="D42" s="9" t="str">
        <f>Weging!B29</f>
        <v>Monitoren</v>
      </c>
      <c r="E42" s="48"/>
      <c r="F42" s="9">
        <f t="shared" si="4"/>
        <v>2.5000000000000001E-2</v>
      </c>
      <c r="G42" s="50">
        <f>F42*100*Weging!C29/Weging!$C$53</f>
        <v>4.2194092827004218E-2</v>
      </c>
      <c r="I42" s="18">
        <f>ROUND(WaardeP2/Weging!$C$53*Weging!C29/115,0)*100</f>
        <v>32300</v>
      </c>
      <c r="J42" s="25">
        <f t="shared" si="1"/>
        <v>33107.5</v>
      </c>
    </row>
    <row r="43" spans="1:10" x14ac:dyDescent="0.3">
      <c r="A43" s="26"/>
      <c r="D43" s="9" t="str">
        <f>Weging!B30</f>
        <v>Tablets</v>
      </c>
      <c r="E43" s="48"/>
      <c r="F43" s="9">
        <f t="shared" si="4"/>
        <v>2.5000000000000001E-2</v>
      </c>
      <c r="G43" s="50">
        <f>F43*100*Weging!C30/Weging!$C$53</f>
        <v>6.3291139240506333E-2</v>
      </c>
      <c r="I43" s="18">
        <f>ROUND(WaardeP2/Weging!$C$53*Weging!C30/115,0)*100</f>
        <v>48400</v>
      </c>
      <c r="J43" s="25">
        <f t="shared" si="1"/>
        <v>49609.999999999993</v>
      </c>
    </row>
    <row r="44" spans="1:10" x14ac:dyDescent="0.3">
      <c r="A44" s="26"/>
      <c r="D44" s="9" t="str">
        <f>Weging!B31</f>
        <v>Randapparatuur</v>
      </c>
      <c r="E44" s="48"/>
      <c r="F44" s="9">
        <f t="shared" si="4"/>
        <v>2.5000000000000001E-2</v>
      </c>
      <c r="G44" s="50">
        <f>F44*100*Weging!C31/Weging!$C$53</f>
        <v>2.1097046413502109E-2</v>
      </c>
      <c r="I44" s="18">
        <f>ROUND(WaardeP2/Weging!$C$53*Weging!C31/115,0)*100</f>
        <v>16100</v>
      </c>
      <c r="J44" s="25">
        <f t="shared" si="1"/>
        <v>16502.5</v>
      </c>
    </row>
    <row r="45" spans="1:10" x14ac:dyDescent="0.3">
      <c r="A45" s="27"/>
      <c r="B45" s="19"/>
      <c r="C45" s="19"/>
      <c r="D45" s="28" t="str">
        <f>Weging!B32</f>
        <v>Accessoires</v>
      </c>
      <c r="E45" s="44"/>
      <c r="F45" s="28">
        <f t="shared" si="4"/>
        <v>2.5000000000000001E-2</v>
      </c>
      <c r="G45" s="51">
        <f>F45*100*Weging!C32/Weging!$C$53</f>
        <v>2.1097046413502109E-2</v>
      </c>
      <c r="I45" s="29">
        <f>ROUND(WaardeP2/Weging!$C$53*Weging!C30/115,0)*100</f>
        <v>48400</v>
      </c>
      <c r="J45" s="30">
        <f t="shared" si="1"/>
        <v>49609.999999999993</v>
      </c>
    </row>
    <row r="46" spans="1:10" x14ac:dyDescent="0.3">
      <c r="A46" s="35" t="str">
        <f>Weging!A33</f>
        <v>Apple</v>
      </c>
      <c r="B46" s="36"/>
      <c r="C46" s="43"/>
      <c r="D46" s="9" t="str">
        <f>Weging!B33</f>
        <v>Monitoren</v>
      </c>
      <c r="E46" s="48"/>
      <c r="F46" s="9">
        <f>IF(AND(C$46&lt;&gt;"",E46&lt;&gt;""),IF(C$46&gt;E46,E46,C$46),IF(OR(C$46&lt;&gt;"",E46&lt;&gt;""),IF(C$46="",E46,IF(E46="",C$46,Minimum)),Minimum))</f>
        <v>2.5000000000000001E-2</v>
      </c>
      <c r="G46" s="50">
        <f>F46*100*Weging!C33/Weging!$C$53</f>
        <v>5.2742616033755275E-2</v>
      </c>
      <c r="I46" s="37" t="e">
        <f>ROUND(WaardeP2/Weging!$C$53*Weging!#REF!/115,0)*100</f>
        <v>#REF!</v>
      </c>
      <c r="J46" s="38" t="e">
        <f>(100%+#REF!)*I46</f>
        <v>#REF!</v>
      </c>
    </row>
    <row r="47" spans="1:10" x14ac:dyDescent="0.3">
      <c r="A47" s="46"/>
      <c r="B47" s="8" t="str">
        <f>"Levering van A-merk "&amp;A46</f>
        <v>Levering van A-merk Apple</v>
      </c>
      <c r="D47" s="9" t="str">
        <f>Weging!B34</f>
        <v>Tablets</v>
      </c>
      <c r="E47" s="48"/>
      <c r="F47" s="9">
        <f>IF(AND(C$46&lt;&gt;"",E47&lt;&gt;""),IF(C$46&gt;E47,E47,C$46),IF(OR(C$46&lt;&gt;"",E47&lt;&gt;""),IF(C$46="",E47,IF(E47="",C$46,Minimum)),Minimum))</f>
        <v>2.5000000000000001E-2</v>
      </c>
      <c r="G47" s="50">
        <f>F47*100*Weging!C34/Weging!$C$53</f>
        <v>7.9113924050632917E-2</v>
      </c>
      <c r="I47" s="18" t="e">
        <f>ROUND(WaardeP2/Weging!$C$53*Weging!#REF!/115,0)*100</f>
        <v>#REF!</v>
      </c>
      <c r="J47" s="25" t="e">
        <f>(100%+#REF!)*I47</f>
        <v>#REF!</v>
      </c>
    </row>
    <row r="48" spans="1:10" x14ac:dyDescent="0.3">
      <c r="A48" s="26"/>
      <c r="D48" s="9" t="str">
        <f>Weging!B35</f>
        <v>Smartphones</v>
      </c>
      <c r="E48" s="48"/>
      <c r="F48" s="9">
        <f>IF(AND(C$46&lt;&gt;"",E48&lt;&gt;""),IF(C$46&gt;E48,E48,C$46),IF(OR(C$46&lt;&gt;"",E48&lt;&gt;""),IF(C$46="",E48,IF(E48="",C$46,Minimum)),Minimum))</f>
        <v>2.5000000000000001E-2</v>
      </c>
      <c r="G48" s="50">
        <f>F48*100*Weging!C35/Weging!$C$53</f>
        <v>0.13185654008438819</v>
      </c>
      <c r="I48" s="18" t="e">
        <f>ROUND(WaardeP2/Weging!$C$53*Weging!#REF!/115,0)*100</f>
        <v>#REF!</v>
      </c>
      <c r="J48" s="25" t="e">
        <f>(100%+#REF!)*I48</f>
        <v>#REF!</v>
      </c>
    </row>
    <row r="49" spans="1:10" x14ac:dyDescent="0.3">
      <c r="A49" s="26"/>
      <c r="D49" s="9" t="str">
        <f>Weging!B36</f>
        <v>Randapparatuur</v>
      </c>
      <c r="E49" s="48"/>
      <c r="F49" s="9">
        <f t="shared" ref="F49:F50" si="5">IF(AND(C$46&lt;&gt;"",E49&lt;&gt;""),IF(C$46&gt;E49,E49,C$46),IF(OR(C$46&lt;&gt;"",E49&lt;&gt;""),IF(C$46="",E49,IF(E49="",C$46,Minimum)),Minimum))</f>
        <v>2.5000000000000001E-2</v>
      </c>
      <c r="G49" s="50">
        <f>F49*100*Weging!C36/Weging!$C$53</f>
        <v>2.6371308016877638E-2</v>
      </c>
      <c r="I49" s="18">
        <f>ROUND(WaardeP2/Weging!$C$53*Weging!C36/115,0)*100</f>
        <v>20200</v>
      </c>
      <c r="J49" s="25">
        <f t="shared" ref="J49:J64" si="6">(100%+F49)*I49</f>
        <v>20705</v>
      </c>
    </row>
    <row r="50" spans="1:10" x14ac:dyDescent="0.3">
      <c r="A50" s="27"/>
      <c r="B50" s="19"/>
      <c r="C50" s="19"/>
      <c r="D50" s="28" t="str">
        <f>Weging!B37</f>
        <v>Accessoires</v>
      </c>
      <c r="E50" s="44"/>
      <c r="F50" s="28">
        <f t="shared" si="5"/>
        <v>2.5000000000000001E-2</v>
      </c>
      <c r="G50" s="51">
        <f>F50*100*Weging!C37/Weging!$C$53</f>
        <v>2.6371308016877638E-2</v>
      </c>
      <c r="I50" s="29">
        <f>ROUND(WaardeP2/Weging!$C$53*Weging!C34/115,0)*100</f>
        <v>60500</v>
      </c>
      <c r="J50" s="30">
        <f t="shared" si="6"/>
        <v>62012.499999999993</v>
      </c>
    </row>
    <row r="51" spans="1:10" x14ac:dyDescent="0.3">
      <c r="A51" s="35" t="str">
        <f>Weging!A38</f>
        <v>Samsung</v>
      </c>
      <c r="B51" s="36"/>
      <c r="C51" s="43"/>
      <c r="D51" s="9" t="str">
        <f>Weging!B38</f>
        <v>Laptop standaard</v>
      </c>
      <c r="E51" s="48"/>
      <c r="F51" s="9">
        <f>IF(AND(C$51&lt;&gt;"",E51&lt;&gt;""),IF(C$51&gt;E51,E51,C$51),IF(OR(C$51&lt;&gt;"",E51&lt;&gt;""),IF(C$51="",E51,IF(E51="",C$51,Minimum)),Minimum))</f>
        <v>2.5000000000000001E-2</v>
      </c>
      <c r="G51" s="50">
        <f>F51*100*Weging!C38/Weging!$C$53</f>
        <v>0.13185654008438819</v>
      </c>
      <c r="I51" s="37" t="e">
        <f>ROUND(WaardeP2/Weging!$C$53*Weging!#REF!/115,0)*100</f>
        <v>#REF!</v>
      </c>
      <c r="J51" s="38" t="e">
        <f>(100%+#REF!)*I51</f>
        <v>#REF!</v>
      </c>
    </row>
    <row r="52" spans="1:10" x14ac:dyDescent="0.3">
      <c r="A52" s="46"/>
      <c r="B52" s="8" t="str">
        <f>"Levering van A-merk "&amp;A51</f>
        <v>Levering van A-merk Samsung</v>
      </c>
      <c r="D52" s="9" t="str">
        <f>Weging!B39</f>
        <v>Monitoren</v>
      </c>
      <c r="E52" s="48"/>
      <c r="F52" s="9">
        <f>IF(AND(C$51&lt;&gt;"",E52&lt;&gt;""),IF(C$51&gt;E52,E52,C$51),IF(OR(C$51&lt;&gt;"",E52&lt;&gt;""),IF(C$51="",E52,IF(E52="",C$51,Minimum)),Minimum))</f>
        <v>2.5000000000000001E-2</v>
      </c>
      <c r="G52" s="50">
        <f>F52*100*Weging!C39/Weging!$C$53</f>
        <v>5.2742616033755275E-2</v>
      </c>
      <c r="I52" s="18">
        <f>ROUND(WaardeP2/Weging!$C$53*Weging!C38/115,0)*100</f>
        <v>100900</v>
      </c>
      <c r="J52" s="25">
        <f>(100%+F51)*I52</f>
        <v>103422.49999999999</v>
      </c>
    </row>
    <row r="53" spans="1:10" x14ac:dyDescent="0.3">
      <c r="A53" s="26"/>
      <c r="D53" s="9" t="str">
        <f>Weging!B40</f>
        <v>Tablets</v>
      </c>
      <c r="E53" s="48"/>
      <c r="F53" s="9">
        <f t="shared" ref="F53:F56" si="7">IF(AND(C$51&lt;&gt;"",E53&lt;&gt;""),IF(C$51&gt;E53,E53,C$51),IF(OR(C$51&lt;&gt;"",E53&lt;&gt;""),IF(C$51="",E53,IF(E53="",C$51,Minimum)),Minimum))</f>
        <v>2.5000000000000001E-2</v>
      </c>
      <c r="G53" s="50">
        <f>F53*100*Weging!C40/Weging!$C$53</f>
        <v>7.9113924050632917E-2</v>
      </c>
      <c r="I53" s="18">
        <f>ROUND(WaardeP2/Weging!$C$53*Weging!C40/115,0)*100</f>
        <v>60500</v>
      </c>
      <c r="J53" s="25">
        <f t="shared" si="6"/>
        <v>62012.499999999993</v>
      </c>
    </row>
    <row r="54" spans="1:10" x14ac:dyDescent="0.3">
      <c r="A54" s="26"/>
      <c r="D54" s="9" t="str">
        <f>Weging!B41</f>
        <v>Smartphones</v>
      </c>
      <c r="E54" s="48"/>
      <c r="F54" s="9">
        <f t="shared" si="7"/>
        <v>2.5000000000000001E-2</v>
      </c>
      <c r="G54" s="50">
        <f>F54*100*Weging!C41/Weging!$C$53</f>
        <v>0.13185654008438819</v>
      </c>
      <c r="I54" s="18">
        <f>ROUND(WaardeP2/Weging!$C$53*Weging!C41/115,0)*100</f>
        <v>100900</v>
      </c>
      <c r="J54" s="25">
        <f t="shared" si="6"/>
        <v>103422.49999999999</v>
      </c>
    </row>
    <row r="55" spans="1:10" x14ac:dyDescent="0.3">
      <c r="A55" s="26"/>
      <c r="D55" s="9" t="str">
        <f>Weging!B42</f>
        <v>Randapparatuur</v>
      </c>
      <c r="E55" s="48"/>
      <c r="F55" s="9">
        <f t="shared" si="7"/>
        <v>2.5000000000000001E-2</v>
      </c>
      <c r="G55" s="50">
        <f>F55*100*Weging!C42/Weging!$C$53</f>
        <v>2.6371308016877638E-2</v>
      </c>
      <c r="I55" s="18">
        <f>ROUND(WaardeP2/Weging!$C$53*Weging!C42/115,0)*100</f>
        <v>20200</v>
      </c>
      <c r="J55" s="25">
        <f t="shared" si="6"/>
        <v>20705</v>
      </c>
    </row>
    <row r="56" spans="1:10" x14ac:dyDescent="0.3">
      <c r="A56" s="27"/>
      <c r="B56" s="19"/>
      <c r="C56" s="19"/>
      <c r="D56" s="28" t="str">
        <f>Weging!B43</f>
        <v>Accessoires</v>
      </c>
      <c r="E56" s="44"/>
      <c r="F56" s="28">
        <f t="shared" si="7"/>
        <v>2.5000000000000001E-2</v>
      </c>
      <c r="G56" s="51">
        <f>F56*100*Weging!C43/Weging!$C$53</f>
        <v>2.6371308016877638E-2</v>
      </c>
      <c r="I56" s="29">
        <f>ROUND(WaardeP2/Weging!$C$53*Weging!C40/115,0)*100</f>
        <v>60500</v>
      </c>
      <c r="J56" s="30">
        <f t="shared" si="6"/>
        <v>62012.499999999993</v>
      </c>
    </row>
    <row r="57" spans="1:10" x14ac:dyDescent="0.3">
      <c r="A57" s="35" t="str">
        <f>Weging!A44</f>
        <v>Overige merken</v>
      </c>
      <c r="B57" s="36"/>
      <c r="C57" s="43"/>
      <c r="D57" s="36" t="str">
        <f>Weging!B44</f>
        <v>Desktops</v>
      </c>
      <c r="E57" s="43"/>
      <c r="F57" s="36">
        <f t="shared" ref="F57:F64" si="8">IF(AND(C$57&lt;&gt;"",E57&lt;&gt;""),IF(C$57&gt;E57,E57,C$57),IF(OR(C$57&lt;&gt;"",E57&lt;&gt;""),IF(C$57="",E57,IF(E57="",C$57,Minimum)),Minimum))</f>
        <v>2.5000000000000001E-2</v>
      </c>
      <c r="G57" s="49">
        <f>F57*100*Weging!C44/Weging!$C$53</f>
        <v>5.2742616033755272E-3</v>
      </c>
      <c r="I57" s="37">
        <f>ROUND(WaardeP2/Weging!$C$53*Weging!C44/115,0)*100</f>
        <v>4000</v>
      </c>
      <c r="J57" s="38">
        <f t="shared" si="6"/>
        <v>4100</v>
      </c>
    </row>
    <row r="58" spans="1:10" x14ac:dyDescent="0.3">
      <c r="A58" s="26"/>
      <c r="D58" s="9" t="str">
        <f>Weging!B45</f>
        <v>Laptop standaard</v>
      </c>
      <c r="E58" s="48"/>
      <c r="F58" s="9">
        <f t="shared" si="8"/>
        <v>2.5000000000000001E-2</v>
      </c>
      <c r="G58" s="50">
        <f>F58*100*Weging!C45/Weging!$C$53</f>
        <v>2.6371308016877638E-2</v>
      </c>
      <c r="I58" s="18">
        <f>ROUND(WaardeP2/Weging!$C$53*Weging!C45/115,0)*100</f>
        <v>20200</v>
      </c>
      <c r="J58" s="25">
        <f t="shared" si="6"/>
        <v>20705</v>
      </c>
    </row>
    <row r="59" spans="1:10" x14ac:dyDescent="0.3">
      <c r="A59" s="26"/>
      <c r="D59" s="9" t="str">
        <f>Weging!B46</f>
        <v>Laptop op maat gemaakt</v>
      </c>
      <c r="E59" s="48"/>
      <c r="F59" s="9">
        <f t="shared" si="8"/>
        <v>2.5000000000000001E-2</v>
      </c>
      <c r="G59" s="50">
        <f>F59*100*Weging!C46/Weging!$C$53</f>
        <v>2.6371308016877638E-2</v>
      </c>
      <c r="I59" s="18">
        <f>ROUND(WaardeP2/Weging!$C$53*Weging!C46/115,0)*100</f>
        <v>20200</v>
      </c>
      <c r="J59" s="25">
        <f t="shared" si="6"/>
        <v>20705</v>
      </c>
    </row>
    <row r="60" spans="1:10" x14ac:dyDescent="0.3">
      <c r="A60" s="26"/>
      <c r="D60" s="9" t="str">
        <f>Weging!B47</f>
        <v>Monitoren</v>
      </c>
      <c r="E60" s="48"/>
      <c r="F60" s="9">
        <f t="shared" si="8"/>
        <v>2.5000000000000001E-2</v>
      </c>
      <c r="G60" s="50">
        <f>F60*100*Weging!C47/Weging!$C$53</f>
        <v>1.0548523206751054E-2</v>
      </c>
      <c r="I60" s="18">
        <f>ROUND(WaardeP2/Weging!$C$53*Weging!C47/115,0)*100</f>
        <v>8100</v>
      </c>
      <c r="J60" s="25">
        <f t="shared" si="6"/>
        <v>8302.5</v>
      </c>
    </row>
    <row r="61" spans="1:10" x14ac:dyDescent="0.3">
      <c r="A61" s="26"/>
      <c r="D61" s="9" t="str">
        <f>Weging!B48</f>
        <v>Tablets</v>
      </c>
      <c r="E61" s="48"/>
      <c r="F61" s="9">
        <f t="shared" si="8"/>
        <v>2.5000000000000001E-2</v>
      </c>
      <c r="G61" s="50">
        <f>F61*100*Weging!C48/Weging!$C$53</f>
        <v>1.5822784810126583E-2</v>
      </c>
      <c r="I61" s="18">
        <f>ROUND(WaardeP2/Weging!$C$53*Weging!C48/115,0)*100</f>
        <v>12100</v>
      </c>
      <c r="J61" s="25">
        <f t="shared" si="6"/>
        <v>12402.499999999998</v>
      </c>
    </row>
    <row r="62" spans="1:10" x14ac:dyDescent="0.3">
      <c r="A62" s="26"/>
      <c r="D62" s="9" t="str">
        <f>Weging!B49</f>
        <v>Smartphones</v>
      </c>
      <c r="E62" s="48"/>
      <c r="F62" s="9">
        <f t="shared" si="8"/>
        <v>2.5000000000000001E-2</v>
      </c>
      <c r="G62" s="50">
        <f>F62*100*Weging!C49/Weging!$C$53</f>
        <v>2.6371308016877638E-2</v>
      </c>
      <c r="I62" s="18">
        <f>ROUND(WaardeP2/Weging!$C$53*Weging!C49/115,0)*100</f>
        <v>20200</v>
      </c>
      <c r="J62" s="25">
        <f t="shared" si="6"/>
        <v>20705</v>
      </c>
    </row>
    <row r="63" spans="1:10" x14ac:dyDescent="0.3">
      <c r="A63" s="26"/>
      <c r="D63" s="9" t="str">
        <f>Weging!B50</f>
        <v>Randapparatuur</v>
      </c>
      <c r="E63" s="48"/>
      <c r="F63" s="9">
        <f t="shared" si="8"/>
        <v>2.5000000000000001E-2</v>
      </c>
      <c r="G63" s="50">
        <f>F63*100*Weging!C50/Weging!$C$53</f>
        <v>5.2742616033755272E-3</v>
      </c>
      <c r="I63" s="18">
        <f>ROUND(WaardeP2/Weging!$C$53*Weging!C47/115,0)*100</f>
        <v>8100</v>
      </c>
      <c r="J63" s="25">
        <f t="shared" si="6"/>
        <v>8302.5</v>
      </c>
    </row>
    <row r="64" spans="1:10" x14ac:dyDescent="0.3">
      <c r="A64" s="27"/>
      <c r="B64" s="19"/>
      <c r="C64" s="19"/>
      <c r="D64" s="28" t="str">
        <f>Weging!B51</f>
        <v>Accessoires</v>
      </c>
      <c r="E64" s="44"/>
      <c r="F64" s="28">
        <f t="shared" si="8"/>
        <v>2.5000000000000001E-2</v>
      </c>
      <c r="G64" s="51">
        <f>F64*100*Weging!C51/Weging!$C$53</f>
        <v>5.2742616033755272E-3</v>
      </c>
      <c r="I64" s="29">
        <f>ROUND(WaardeP2/Weging!$C$53*Weging!C48/115,0)*100</f>
        <v>12100</v>
      </c>
      <c r="J64" s="30">
        <f t="shared" si="6"/>
        <v>12402.499999999998</v>
      </c>
    </row>
    <row r="65" spans="6:10" x14ac:dyDescent="0.3">
      <c r="I65" s="18"/>
    </row>
    <row r="66" spans="6:10" ht="15.6" x14ac:dyDescent="0.3">
      <c r="F66" s="39" t="s">
        <v>56</v>
      </c>
      <c r="G66" s="47">
        <f>SUM(G18:G65)/100</f>
        <v>2.4999999999999991E-2</v>
      </c>
      <c r="I66" s="39" t="s">
        <v>32</v>
      </c>
      <c r="J66" s="40" t="e">
        <f>SUM(J18:J65)</f>
        <v>#REF!</v>
      </c>
    </row>
  </sheetData>
  <sheetProtection algorithmName="SHA-512" hashValue="HXrw+IBzcL2FZEIX6B+p8Xpw+qrs5vzQ6B9zd9mVW5eru8ZlPMX4MJM3wDcPqgAglAkEBqLteCOI0TuGjUa5XA==" saltValue="FnpQYc8H7YPrji3jlvUZTw==" spinCount="100000" sheet="1" objects="1" scenarios="1" selectLockedCells="1"/>
  <mergeCells count="2">
    <mergeCell ref="C3:E3"/>
    <mergeCell ref="C4:E4"/>
  </mergeCells>
  <dataValidations count="2">
    <dataValidation type="list" allowBlank="1" showInputMessage="1" showErrorMessage="1" sqref="A19 A26 A33 A40 A47 A52" xr:uid="{51708F82-BBDB-4E44-8A0A-DBD0DE07DDD5}">
      <formula1>"Ja,Nee"</formula1>
    </dataValidation>
    <dataValidation type="decimal" operator="greaterThanOrEqual" allowBlank="1" showInputMessage="1" showErrorMessage="1" prompt="Voer een percentage in groter of gelijk aan 2,5%" sqref="C57 C18 C25 C32 C39 C46 C51 E18:E52 E53:E64" xr:uid="{36E54005-57B3-4435-AFEA-F02B9136B204}">
      <formula1>0.025</formula1>
    </dataValidation>
  </dataValidations>
  <pageMargins left="0.31496062992125984" right="0.31496062992125984" top="0.74803149606299213" bottom="0.74803149606299213" header="0.31496062992125984" footer="0.31496062992125984"/>
  <pageSetup paperSize="9" scale="75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cf28b0-3525-4693-bcab-ac5a739860ac">
      <Terms xmlns="http://schemas.microsoft.com/office/infopath/2007/PartnerControls"/>
    </lcf76f155ced4ddcb4097134ff3c332f>
    <TaxCatchAll xmlns="d7e5301e-3d60-4023-ab3c-ba6eae03d8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F23D95BE7F5246825BCA0E83D56499" ma:contentTypeVersion="13" ma:contentTypeDescription="Een nieuw document maken." ma:contentTypeScope="" ma:versionID="dac8511c118a4fa47382c6eb512c60f0">
  <xsd:schema xmlns:xsd="http://www.w3.org/2001/XMLSchema" xmlns:xs="http://www.w3.org/2001/XMLSchema" xmlns:p="http://schemas.microsoft.com/office/2006/metadata/properties" xmlns:ns2="f9cf28b0-3525-4693-bcab-ac5a739860ac" xmlns:ns3="d7e5301e-3d60-4023-ab3c-ba6eae03d8bb" targetNamespace="http://schemas.microsoft.com/office/2006/metadata/properties" ma:root="true" ma:fieldsID="59d1748993c2408d9672596ba8791910" ns2:_="" ns3:_="">
    <xsd:import namespace="f9cf28b0-3525-4693-bcab-ac5a739860ac"/>
    <xsd:import namespace="d7e5301e-3d60-4023-ab3c-ba6eae03d8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f28b0-3525-4693-bcab-ac5a739860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a1b6e65a-0343-4902-bc71-71e6e8375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e5301e-3d60-4023-ab3c-ba6eae03d8b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78e2d689-dbb3-4154-adc9-3a270958e3b1}" ma:internalName="TaxCatchAll" ma:showField="CatchAllData" ma:web="d7e5301e-3d60-4023-ab3c-ba6eae03d8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B06108-8786-4A4E-B42E-0940A344FB77}">
  <ds:schemaRefs>
    <ds:schemaRef ds:uri="http://schemas.microsoft.com/office/2006/metadata/properties"/>
    <ds:schemaRef ds:uri="http://schemas.microsoft.com/office/infopath/2007/PartnerControls"/>
    <ds:schemaRef ds:uri="f9cf28b0-3525-4693-bcab-ac5a739860ac"/>
    <ds:schemaRef ds:uri="d7e5301e-3d60-4023-ab3c-ba6eae03d8bb"/>
  </ds:schemaRefs>
</ds:datastoreItem>
</file>

<file path=customXml/itemProps2.xml><?xml version="1.0" encoding="utf-8"?>
<ds:datastoreItem xmlns:ds="http://schemas.openxmlformats.org/officeDocument/2006/customXml" ds:itemID="{46A3139F-4654-4F09-8B77-641EEDCAC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08A005-7576-4553-9773-78EECBC45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cf28b0-3525-4693-bcab-ac5a739860ac"/>
    <ds:schemaRef ds:uri="d7e5301e-3d60-4023-ab3c-ba6eae03d8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Merken</vt:lpstr>
      <vt:lpstr>Onderdelen</vt:lpstr>
      <vt:lpstr>Weging</vt:lpstr>
      <vt:lpstr>Opgave opslag%</vt:lpstr>
    </vt:vector>
  </TitlesOfParts>
  <Company>Tempert Consultancy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JanTempert</dc:creator>
  <cp:lastModifiedBy>Jan Tempert</cp:lastModifiedBy>
  <cp:lastPrinted>2021-11-11T11:24:44Z</cp:lastPrinted>
  <dcterms:created xsi:type="dcterms:W3CDTF">2021-11-11T08:07:28Z</dcterms:created>
  <dcterms:modified xsi:type="dcterms:W3CDTF">2023-03-09T13:58:14Z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0x0101009EF23D95BE7F5246825BCA0E83D56499</vt:lpwstr>
  </property>
  <property fmtid="{D5CDD505-2E9C-101B-9397-08002B2CF9AE}" pid="3" name="MediaServiceImageTags">
    <vt:lpwstr/>
  </property>
</Properties>
</file>